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Settings" sheetId="1" r:id="rId3"/>
    <sheet state="visible" name="Archive" sheetId="2" r:id="rId4"/>
    <sheet state="visible" name="Pivot Table 4" sheetId="3" r:id="rId5"/>
    <sheet state="visible" name="Pivot Table 3" sheetId="4" r:id="rId6"/>
    <sheet state="visible" name="Pivot Table 2" sheetId="5" r:id="rId7"/>
    <sheet state="visible" name="Pivot Table 1" sheetId="6" r:id="rId8"/>
    <sheet state="visible" name="Summary" sheetId="7" r:id="rId9"/>
    <sheet state="visible" name="Dashboard" sheetId="8" r:id="rId10"/>
  </sheets>
  <definedNames>
    <definedName localSheetId="6" name="sCalc">Summary!$L$1</definedName>
    <definedName localSheetId="7" name="dCalc">Dashboard!$V$1</definedName>
    <definedName localSheetId="0" name="searchTerm">ReadmeSettings!$B$9</definedName>
  </definedNames>
  <calcPr/>
  <pivotCaches>
    <pivotCache cacheId="0" r:id="rId11"/>
    <pivotCache cacheId="1" r:id="rId12"/>
    <pivotCache cacheId="2" r:id="rId13"/>
    <pivotCache cacheId="3" r:id="rId14"/>
  </pivotCaches>
</workbook>
</file>

<file path=xl/sharedStrings.xml><?xml version="1.0" encoding="utf-8"?>
<sst xmlns="http://schemas.openxmlformats.org/spreadsheetml/2006/main" count="33032" uniqueCount="18275">
  <si>
    <t>TAGS v6.1.9.1</t>
  </si>
  <si>
    <t xml:space="preserve">
Created by mhawksey. Read more about this at:</t>
  </si>
  <si>
    <t>http://tags.hawksey.info</t>
  </si>
  <si>
    <t>With this spreadsheet you can:</t>
  </si>
  <si>
    <t>- automatically pull results from a Twitter Search into a Google Spreadsheet</t>
  </si>
  <si>
    <t>Instructions:</t>
  </si>
  <si>
    <r>
      <rPr>
        <rFont val="Roboto"/>
        <sz val="10.0"/>
      </rPr>
      <t xml:space="preserve">1. If you've never run </t>
    </r>
    <r>
      <rPr>
        <rFont val="Courier New"/>
        <sz val="10.0"/>
      </rPr>
      <t>TAGS &gt; Setup Twitter Access</t>
    </r>
    <r>
      <rPr>
        <rFont val="Roboto"/>
        <sz val="10.0"/>
      </rPr>
      <t xml:space="preserve"> do so now (this should only need be done once for all your TAGS sheets) </t>
    </r>
  </si>
  <si>
    <t>2. Enter term</t>
  </si>
  <si>
    <t>#BrexitReality</t>
  </si>
  <si>
    <r>
      <rPr>
        <rFont val="Roboto"/>
        <b/>
        <sz val="10.0"/>
      </rPr>
      <t>Note:</t>
    </r>
    <r>
      <rPr>
        <rFont val="Roboto"/>
        <sz val="10.0"/>
      </rPr>
      <t xml:space="preserve">  Make a one off collection with </t>
    </r>
    <r>
      <rPr>
        <rFont val="Courier New"/>
        <sz val="10.0"/>
      </rPr>
      <t>TAGS &gt; Run now!</t>
    </r>
    <r>
      <rPr>
        <rFont val="Roboto"/>
        <sz val="10.0"/>
      </rPr>
      <t xml:space="preserve"> or set a trigger to collect every hour </t>
    </r>
    <r>
      <rPr>
        <rFont val="Courier New"/>
        <sz val="10.0"/>
      </rPr>
      <t>TAGS &gt; Update archive every hour</t>
    </r>
    <r>
      <rPr>
        <rFont val="Roboto"/>
        <sz val="10.0"/>
      </rPr>
      <t xml:space="preserve">. To change the frequency open </t>
    </r>
    <r>
      <rPr>
        <rFont val="Courier New"/>
        <sz val="10.0"/>
      </rPr>
      <t>Tools &gt; Script Editor</t>
    </r>
    <r>
      <rPr>
        <rFont val="Roboto"/>
        <sz val="10.0"/>
      </rPr>
      <t xml:space="preserve"> then </t>
    </r>
    <r>
      <rPr>
        <rFont val="Courier New"/>
        <sz val="10.0"/>
      </rPr>
      <t>Triggers &gt; Current script's triggers...</t>
    </r>
    <r>
      <rPr>
        <rFont val="Roboto"/>
        <sz val="10.0"/>
      </rP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</si>
  <si>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</si>
  <si>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</si>
  <si>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</si>
  <si>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</si>
  <si>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</si>
  <si>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</si>
  <si>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</si>
  <si>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</si>
  <si>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</si>
  <si>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</si>
  <si>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</si>
  <si>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</si>
  <si>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</si>
  <si>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</si>
  <si>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</si>
  <si>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</si>
  <si>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</si>
  <si>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</si>
  <si>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</si>
  <si>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rPr>
        <rFont val="Roboto"/>
        <b/>
        <sz val="10.0"/>
      </rPr>
      <t xml:space="preserve">Note: </t>
    </r>
    <r>
      <rPr>
        <rFont val="Courier New"/>
        <b/>
        <sz val="10.0"/>
      </rPr>
      <t>Share &gt; Anyone with link</t>
    </r>
    <r>
      <rPr>
        <rFont val="Roboto"/>
        <b val="0"/>
        <sz val="10.0"/>
      </rPr>
      <t xml:space="preserve"> to use these views</t>
    </r>
  </si>
  <si>
    <t>&lt;- conversation explorer</t>
  </si>
  <si>
    <t>&lt;- searchable archive</t>
  </si>
  <si>
    <t>News</t>
  </si>
  <si>
    <t>id_str</t>
  </si>
  <si>
    <t>from_user</t>
  </si>
  <si>
    <t>text</t>
  </si>
  <si>
    <t>Referendum</t>
  </si>
  <si>
    <t>Gender</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</si>
  <si>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</si>
  <si>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</si>
  <si>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</si>
  <si>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</si>
  <si>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</si>
  <si>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</si>
  <si>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</si>
  <si>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</si>
  <si>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</si>
  <si>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</si>
  <si>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</si>
  <si>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</si>
  <si>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</si>
  <si>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</si>
  <si>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</si>
  <si>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1521074047710285825</t>
  </si>
  <si>
    <t>tarisgal42</t>
  </si>
  <si>
    <t>RT @bmay: The internet has already been won for today. 
#BrexitReality 
🎥 via @Hackneycyclist 
https://t.co/b08nEk33rH</t>
  </si>
  <si>
    <t>Leave</t>
  </si>
  <si>
    <t>Male</t>
  </si>
  <si>
    <t>Mon May 02 10:28:07 +0000 2022</t>
  </si>
  <si>
    <t>750675490315374592</t>
  </si>
  <si>
    <t>&lt;a href="https://mobile.twitter.com" rel="nofollow"&gt;Twitter Web App&lt;/a&gt;</t>
  </si>
  <si>
    <t>http://pbs.twimg.com/profile_images/1359700927142313987/10DCVAqF_normal.jpg</t>
  </si>
  <si>
    <t>Scotland.</t>
  </si>
  <si>
    <t>http://twitter.com/tarisgal42/statuses/1521074047710285825</t>
  </si>
  <si>
    <t>{"hashtags":[{"text":"BrexitReality","indices":[56,70]}],"symbols":[],"user_mentions":[{"screen_name":"bmay","name":"Brendan May","id":12321952,"id_str":"12321952","indices":[3,8]},{"screen_name":"Hackneycyclist","name":"Hackney Cyclist","id":1627865396,"id_str":"1627865396","indices":[78,93]}],"urls":[],"media":[{"id":1376219791413887000,"id_str":"1376219791413886978","indices":[95,118],"media_url":"http://pbs.twimg.com/ext_tw_video_thumb/1376219791413886978/pu/img/NXIImDyCtrOgqgBd.jpg","media_url_https":"https://pbs.twimg.com/ext_tw_video_thumb/1376219791413886978/pu/img/NXIImDyCtrOgqgBd.jpg","url":"https://t.co/b08nEk33rH","display_url":"pic.twitter.com/b08nEk33rH","expanded_url":"https://twitter.com/Hackneycyclist/status/1376219912860016644/video/1","type":"photo","sizes":{"thumb":{"w":150,"h":150,"resize":"crop"},"large":{"w":640,"h":512,"resize":"fit"},"medium":{"w":640,"h":512,"resize":"fit"},"small":{"w":640,"h":512,"resize":"fit"}},"source_status_id":1376219912860016600,"source_status_id_str":"1376219912860016644","source_user_id":1627865396,"source_user_id_str":"1627865396"}]}</t>
  </si>
  <si>
    <t>1521073640632164353</t>
  </si>
  <si>
    <t>Factanonverba73</t>
  </si>
  <si>
    <t>Female</t>
  </si>
  <si>
    <t>Mon May 02 10:26:30 +0000 2022</t>
  </si>
  <si>
    <t>536735655</t>
  </si>
  <si>
    <t>&lt;a href="http://twitter.com/download/android" rel="nofollow"&gt;Twitter for Android&lt;/a&gt;</t>
  </si>
  <si>
    <t>http://pbs.twimg.com/profile_images/1166837111443591169/oa4iJSzV_normal.jpg</t>
  </si>
  <si>
    <t xml:space="preserve"> Barry Island</t>
  </si>
  <si>
    <t>http://twitter.com/Factanonverba73/statuses/1521073640632164353</t>
  </si>
  <si>
    <t>1521073635305431040</t>
  </si>
  <si>
    <t>BelfastUnionist</t>
  </si>
  <si>
    <t>Mon May 02 10:26:29 +0000 2022</t>
  </si>
  <si>
    <t>1442105688</t>
  </si>
  <si>
    <t>http://pbs.twimg.com/profile_images/1122605886541791237/RtcznP9-_normal.jpg</t>
  </si>
  <si>
    <t>East Belfast</t>
  </si>
  <si>
    <t>http://twitter.com/BelfastUnionist/statuses/1521073635305431040</t>
  </si>
  <si>
    <t>1521073407231733763</t>
  </si>
  <si>
    <t>nerans1</t>
  </si>
  <si>
    <t>Mon May 02 10:25:35 +0000 2022</t>
  </si>
  <si>
    <t>152714589</t>
  </si>
  <si>
    <t>http://pbs.twimg.com/profile_images/1457820769510100996/Ko1Xx1bp_normal.jpg</t>
  </si>
  <si>
    <t>out there !</t>
  </si>
  <si>
    <t>http://twitter.com/nerans1/statuses/1521073407231733763</t>
  </si>
  <si>
    <t>1521073223521161217</t>
  </si>
  <si>
    <t>RejoinersRus</t>
  </si>
  <si>
    <t>Mon May 02 10:24:51 +0000 2022</t>
  </si>
  <si>
    <t>502246773</t>
  </si>
  <si>
    <t>&lt;a href="http://twitter.com/download/iphone" rel="nofollow"&gt;Twitter for iPhone&lt;/a&gt;</t>
  </si>
  <si>
    <t>http://pbs.twimg.com/profile_images/1344603621925773312/DDdf4X9D_normal.jpg</t>
  </si>
  <si>
    <t>Hertfordshire, uk</t>
  </si>
  <si>
    <t>http://twitter.com/RejoinersRus/statuses/1521073223521161217</t>
  </si>
  <si>
    <t>1521073043040346114</t>
  </si>
  <si>
    <t>JB_CFFire</t>
  </si>
  <si>
    <t>Mon May 02 10:24:08 +0000 2022</t>
  </si>
  <si>
    <t>2242104732</t>
  </si>
  <si>
    <t>http://pbs.twimg.com/profile_images/1492044797883858961/eaHlGYed_normal.jpg</t>
  </si>
  <si>
    <t>Hertford, England</t>
  </si>
  <si>
    <t>http://twitter.com/JB_CFFire/statuses/1521073043040346114</t>
  </si>
  <si>
    <t>1521073004867903489</t>
  </si>
  <si>
    <t>sineadcflanagan</t>
  </si>
  <si>
    <t>Mon May 02 10:23:59 +0000 2022</t>
  </si>
  <si>
    <t>1174441604905668608</t>
  </si>
  <si>
    <t>http://pbs.twimg.com/profile_images/1200235796889923584/CKefcdNa_normal.jpg</t>
  </si>
  <si>
    <t>Seoul, Republic of Korea</t>
  </si>
  <si>
    <t>http://twitter.com/sineadcflanagan/statuses/1521073004867903489</t>
  </si>
  <si>
    <t>1521073002875604996</t>
  </si>
  <si>
    <t>sarahma50398302</t>
  </si>
  <si>
    <t>Mon May 02 10:23:58 +0000 2022</t>
  </si>
  <si>
    <t>4039819145</t>
  </si>
  <si>
    <t>http://pbs.twimg.com/profile_images/1337224376308166657/z3U16epW_normal.jpg</t>
  </si>
  <si>
    <t>http://twitter.com/sarahma50398302/statuses/1521073002875604996</t>
  </si>
  <si>
    <t>1521072975746932739</t>
  </si>
  <si>
    <t>andshoal</t>
  </si>
  <si>
    <t>Silent</t>
  </si>
  <si>
    <t>Mon May 02 10:23:52 +0000 2022</t>
  </si>
  <si>
    <t>1411285883731562497</t>
  </si>
  <si>
    <t>http://pbs.twimg.com/profile_images/1435199660763848707/ZopeLzSl_normal.jpg</t>
  </si>
  <si>
    <t>The Untied Kingdom</t>
  </si>
  <si>
    <t>http://twitter.com/andshoal/statuses/1521072975746932739</t>
  </si>
  <si>
    <t>1521072775255015425</t>
  </si>
  <si>
    <t>Benjamin_Budd</t>
  </si>
  <si>
    <t>Mon May 02 10:23:04 +0000 2022</t>
  </si>
  <si>
    <t>1107283068</t>
  </si>
  <si>
    <t>http://pbs.twimg.com/profile_images/3137851149/2a5357ffdbb9f64de220f7c75d457156_normal.jpeg</t>
  </si>
  <si>
    <t>London</t>
  </si>
  <si>
    <t>http://twitter.com/Benjamin_Budd/statuses/1521072775255015425</t>
  </si>
  <si>
    <t>1521072445230354432</t>
  </si>
  <si>
    <t>pjd23272</t>
  </si>
  <si>
    <t>Mon May 02 10:21:45 +0000 2022</t>
  </si>
  <si>
    <t>2442993490</t>
  </si>
  <si>
    <t>http://pbs.twimg.com/profile_images/1052065398852468736/BhxGbJXq_normal.jpg</t>
  </si>
  <si>
    <t>Working from home</t>
  </si>
  <si>
    <t>http://twitter.com/pjd23272/statuses/1521072445230354432</t>
  </si>
  <si>
    <t>1521072304796614657</t>
  </si>
  <si>
    <t>SomersetDutch</t>
  </si>
  <si>
    <t>Mon May 02 10:21:12 +0000 2022</t>
  </si>
  <si>
    <t>347293256</t>
  </si>
  <si>
    <t>http://pbs.twimg.com/profile_images/2360373852/ucosqoco9bnlfn2c9p94_normal.png</t>
  </si>
  <si>
    <t>Sometimes Sunny Somerset</t>
  </si>
  <si>
    <t>http://twitter.com/SomersetDutch/statuses/1521072304796614657</t>
  </si>
  <si>
    <t>1521072169140244480</t>
  </si>
  <si>
    <t>SussexMark</t>
  </si>
  <si>
    <t>Mon May 02 10:20:39 +0000 2022</t>
  </si>
  <si>
    <t>348748338</t>
  </si>
  <si>
    <t>http://pbs.twimg.com/profile_images/1504521986692861963/XEFsq73-_normal.jpg</t>
  </si>
  <si>
    <t>Northern Europe</t>
  </si>
  <si>
    <t>http://twitter.com/SussexMark/statuses/1521072169140244480</t>
  </si>
  <si>
    <t>1521071814675468289</t>
  </si>
  <si>
    <t>john79moran</t>
  </si>
  <si>
    <t>Mon May 02 10:19:15 +0000 2022</t>
  </si>
  <si>
    <t>926249102</t>
  </si>
  <si>
    <t>http://pbs.twimg.com/profile_images/1193921556327608325/o8O6b0Zg_normal.jpg</t>
  </si>
  <si>
    <t>http://twitter.com/john79moran/statuses/1521071814675468289</t>
  </si>
  <si>
    <t>1521071714884591616</t>
  </si>
  <si>
    <t>skoris</t>
  </si>
  <si>
    <t>Mon May 02 10:18:51 +0000 2022</t>
  </si>
  <si>
    <t>78583300</t>
  </si>
  <si>
    <t>http://pbs.twimg.com/profile_images/444772034/honeymonster_normal.jpg</t>
  </si>
  <si>
    <t>Edinburgh</t>
  </si>
  <si>
    <t>http://twitter.com/skoris/statuses/1521071714884591616</t>
  </si>
  <si>
    <t>1521071373044563969</t>
  </si>
  <si>
    <t>DeirdreDowney</t>
  </si>
  <si>
    <t>Mon May 02 10:17:30 +0000 2022</t>
  </si>
  <si>
    <t>630574792</t>
  </si>
  <si>
    <t>http://pbs.twimg.com/profile_images/1190752004454440960/7T3HZfPI_normal.jpg</t>
  </si>
  <si>
    <t>http://twitter.com/DeirdreDowney/statuses/1521071373044563969</t>
  </si>
  <si>
    <t>1521071279218044928</t>
  </si>
  <si>
    <t>Charlie__Simon</t>
  </si>
  <si>
    <t>Mon May 02 10:17:07 +0000 2022</t>
  </si>
  <si>
    <t>271875842</t>
  </si>
  <si>
    <t>http://pbs.twimg.com/profile_images/1488246975610904577/uytaABZU_normal.jpg</t>
  </si>
  <si>
    <t>http://twitter.com/Charlie__Simon/statuses/1521071279218044928</t>
  </si>
  <si>
    <t>1521071212151119879</t>
  </si>
  <si>
    <t>bedfordyid</t>
  </si>
  <si>
    <t>@pappawesty @BrexitPhobe @NewSiddy @glenspringhall @JujuliaGrace @AlisdairLiddle @EveryDoctorUK Lies, damn lies and Brexiters talking shite #BrexitIsACrimeScene #BrexitIsARightWingPlot #BrexitReality #BrexitShambles #BrexitChaos #BrexitFoodShortages #BrexitLies #Brexshit #BrexitIsNotWorking #WeToldYouSo #ProjectFact #YouveBeenHad</t>
  </si>
  <si>
    <t>Mon May 02 10:16:51 +0000 2022</t>
  </si>
  <si>
    <t>432727790</t>
  </si>
  <si>
    <t>pappawesty</t>
  </si>
  <si>
    <t>2741929095</t>
  </si>
  <si>
    <t>1521039790044594179</t>
  </si>
  <si>
    <t>http://pbs.twimg.com/profile_images/1347099929165049858/H80ux06N_normal.jpg</t>
  </si>
  <si>
    <t>Bedford, England</t>
  </si>
  <si>
    <t>http://twitter.com/bedfordyid/statuses/1521071212151119879</t>
  </si>
  <si>
    <t>{"hashtags":[{"text":"BrexitIsACrimeScene","indices":[140,160]},{"text":"BrexitIsARightWingPlot","indices":[161,184]},{"text":"BrexitReality","indices":[185,199]},{"text":"BrexitShambles","indices":[200,215]},{"text":"BrexitChaos","indices":[216,228]},{"text":"BrexitFoodShortages","indices":[229,249]},{"text":"BrexitLies","indices":[250,261]},{"text":"Brexshit","indices":[262,271]},{"text":"BrexitIsNotWorking","indices":[272,291]},{"text":"WeToldYouSo","indices":[292,304]},{"text":"ProjectFact","indices":[305,317]},{"text":"YouveBeenHad","indices":[318,331]}],"symbols":[],"user_mentions":[{"screen_name":"pappawesty","name":"Pappa Westy","id":432727790,"id_str":"432727790","indices":[0,11]},{"screen_name":"BrexitPhobe","name":"PoliticallyHomeless 😷🏴󠁧󠁢󠁷󠁬󠁳󠁿#PATH","id":1264202814236098600,"id_str":"1264202814236098562","indices":[12,24]},{"screen_name":"NewSiddy","name":"New York Siddy","id":1197337890663125000,"id_str":"1197337890663124993","indices":[25,34]},{"screen_name":"glenspringhall","name":"glen springhall🏴󠁧󠁢󠁥󠁮󠁧󠁿","id":296090899,"id_str":"296090899","indices":[35,50]},{"screen_name":"JujuliaGrace","name":"Dr Julia Grace Patterson💙","id":1315053256343720000,"id_str":"1315053256343719936","indices":[51,64]},{"screen_name":"AlisdairLiddle","name":"alisdair liddle","id":1138881855355314200,"id_str":"1138881855355314176","indices":[65,80]},{"screen_name":"EveryDoctorUK","name":"EveryDoctor","id":1075356324072972300,"id_str":"1075356324072972288","indices":[81,95]}],"urls":[]}</t>
  </si>
  <si>
    <t>1521071209726758919</t>
  </si>
  <si>
    <t>paul_trembath</t>
  </si>
  <si>
    <t>14697079</t>
  </si>
  <si>
    <t>http://pbs.twimg.com/profile_images/761157295925448704/2fQvY1Pv_normal.jpg</t>
  </si>
  <si>
    <t>Sunlit uplands, imminent</t>
  </si>
  <si>
    <t>http://twitter.com/paul_trembath/statuses/1521071209726758919</t>
  </si>
  <si>
    <t>1521071130538299393</t>
  </si>
  <si>
    <t>karlmfisher</t>
  </si>
  <si>
    <t>Mon May 02 10:16:32 +0000 2022</t>
  </si>
  <si>
    <t>1203816030</t>
  </si>
  <si>
    <t>http://pbs.twimg.com/profile_images/3434319250/b6605a8d7158e647ec0733cf799a66f8_normal.jpeg</t>
  </si>
  <si>
    <t>http://twitter.com/karlmfisher/statuses/1521071130538299393</t>
  </si>
  <si>
    <t>1521071074913492992</t>
  </si>
  <si>
    <t>KenSterrett</t>
  </si>
  <si>
    <t>Mon May 02 10:16:19 +0000 2022</t>
  </si>
  <si>
    <t>1914308220</t>
  </si>
  <si>
    <t>http://pbs.twimg.com/profile_images/378800000519504211/fbd85c891e19265fd3d4f6a929e2aa67_normal.jpeg</t>
  </si>
  <si>
    <t>http://twitter.com/KenSterrett/statuses/1521071074913492992</t>
  </si>
  <si>
    <t>1521071033519902720</t>
  </si>
  <si>
    <t>slashmcglasham</t>
  </si>
  <si>
    <t>Mon May 02 10:16:09 +0000 2022</t>
  </si>
  <si>
    <t>2879314305</t>
  </si>
  <si>
    <t>http://pbs.twimg.com/profile_images/1191988782393892864/pswUxk_o_normal.jpg</t>
  </si>
  <si>
    <t>http://twitter.com/slashmcglasham/statuses/1521071033519902720</t>
  </si>
  <si>
    <t>1521070730447888384</t>
  </si>
  <si>
    <t>_andrewsmall</t>
  </si>
  <si>
    <t>Mon May 02 10:14:56 +0000 2022</t>
  </si>
  <si>
    <t>2446914080</t>
  </si>
  <si>
    <t>&lt;a href="http://twitter.com/#!/download/ipad" rel="nofollow"&gt;Twitter for iPad&lt;/a&gt;</t>
  </si>
  <si>
    <t>http://pbs.twimg.com/profile_images/917405855754149890/SOjrnbaF_normal.jpg</t>
  </si>
  <si>
    <t>United Kingdom</t>
  </si>
  <si>
    <t>http://twitter.com/_andrewsmall/statuses/1521070730447888384</t>
  </si>
  <si>
    <t>1521070682339164160</t>
  </si>
  <si>
    <t>peterskinley1</t>
  </si>
  <si>
    <t>Mon May 02 10:14:45 +0000 2022</t>
  </si>
  <si>
    <t>603925070</t>
  </si>
  <si>
    <t>http://pbs.twimg.com/profile_images/737893006221709312/Ka4lntyx_normal.jpg</t>
  </si>
  <si>
    <t>Liverpool</t>
  </si>
  <si>
    <t>http://twitter.com/peterskinley1/statuses/1521070682339164160</t>
  </si>
  <si>
    <t>1521070676018352131</t>
  </si>
  <si>
    <t>greenpdem</t>
  </si>
  <si>
    <t>Mon May 02 10:14:43 +0000 2022</t>
  </si>
  <si>
    <t>2204901841</t>
  </si>
  <si>
    <t>http://pbs.twimg.com/profile_images/1028728448032890881/Jgzftt57_normal.jpg</t>
  </si>
  <si>
    <t>http://twitter.com/greenpdem/statuses/1521070676018352131</t>
  </si>
  <si>
    <t>1521070579205423105</t>
  </si>
  <si>
    <t>BCFCMalky</t>
  </si>
  <si>
    <t>Mon May 02 10:14:20 +0000 2022</t>
  </si>
  <si>
    <t>284953579</t>
  </si>
  <si>
    <t>http://pbs.twimg.com/profile_images/778696468647383040/DovwgKwZ_normal.jpg</t>
  </si>
  <si>
    <t>West Devon</t>
  </si>
  <si>
    <t>http://twitter.com/BCFCMalky/statuses/1521070579205423105</t>
  </si>
  <si>
    <t>1521070501577338884</t>
  </si>
  <si>
    <t>MsHenshall</t>
  </si>
  <si>
    <t>Mon May 02 10:14:02 +0000 2022</t>
  </si>
  <si>
    <t>18720431</t>
  </si>
  <si>
    <t>http://pbs.twimg.com/profile_images/673287748/twitpic2_normal.jpg</t>
  </si>
  <si>
    <t>UK</t>
  </si>
  <si>
    <t>http://twitter.com/MsHenshall/statuses/1521070501577338884</t>
  </si>
  <si>
    <t>1521070486062608386</t>
  </si>
  <si>
    <t>markiliff</t>
  </si>
  <si>
    <t>Mon May 02 10:13:58 +0000 2022</t>
  </si>
  <si>
    <t>27221574</t>
  </si>
  <si>
    <t>http://pbs.twimg.com/profile_images/1313953040572059654/aTwiND22_normal.jpg</t>
  </si>
  <si>
    <t>Caversham, England</t>
  </si>
  <si>
    <t>http://twitter.com/markiliff/statuses/1521070486062608386</t>
  </si>
  <si>
    <t>1521070480228290567</t>
  </si>
  <si>
    <t>fozziebear74</t>
  </si>
  <si>
    <t>Mon May 02 10:13:57 +0000 2022</t>
  </si>
  <si>
    <t>195798713</t>
  </si>
  <si>
    <t>http://pbs.twimg.com/profile_images/1520804849218109441/nhgGIqEs_normal.jpg</t>
  </si>
  <si>
    <t>Bolton, UK</t>
  </si>
  <si>
    <t>http://twitter.com/fozziebear74/statuses/1521070480228290567</t>
  </si>
  <si>
    <t>1521070378667413509</t>
  </si>
  <si>
    <t>ScarletBertie</t>
  </si>
  <si>
    <t>Mon May 02 10:13:33 +0000 2022</t>
  </si>
  <si>
    <t>1018160451396521986</t>
  </si>
  <si>
    <t>http://pbs.twimg.com/profile_images/1490098358089834505/8RGvazDP_normal.jpg</t>
  </si>
  <si>
    <t>España and Republic of Wales</t>
  </si>
  <si>
    <t>http://twitter.com/ScarletBertie/statuses/1521070378667413509</t>
  </si>
  <si>
    <t>1521070264494301184</t>
  </si>
  <si>
    <t>Jasondgoode</t>
  </si>
  <si>
    <t>Mon May 02 10:13:05 +0000 2022</t>
  </si>
  <si>
    <t>191411779</t>
  </si>
  <si>
    <t>http://pbs.twimg.com/profile_images/1231002537/image_normal.jpg</t>
  </si>
  <si>
    <t>All over the place</t>
  </si>
  <si>
    <t>http://twitter.com/Jasondgoode/statuses/1521070264494301184</t>
  </si>
  <si>
    <t>1521070201713967104</t>
  </si>
  <si>
    <t>the_dantona</t>
  </si>
  <si>
    <t>Mon May 02 10:12:50 +0000 2022</t>
  </si>
  <si>
    <t>450082930</t>
  </si>
  <si>
    <t>http://pbs.twimg.com/profile_images/1432765167415275524/rbPdV4PZ_normal.jpg</t>
  </si>
  <si>
    <t>The Forest Moon of Endor.</t>
  </si>
  <si>
    <t>http://twitter.com/the_dantona/statuses/1521070201713967104</t>
  </si>
  <si>
    <t>1521070177319890946</t>
  </si>
  <si>
    <t>YonkoSenior</t>
  </si>
  <si>
    <t>Mon May 02 10:12:45 +0000 2022</t>
  </si>
  <si>
    <t>265627929</t>
  </si>
  <si>
    <t>http://pbs.twimg.com/profile_images/3458117164/13d232267f833d019af7894cdf2246f7_normal.jpeg</t>
  </si>
  <si>
    <t>Eccles, Manchester</t>
  </si>
  <si>
    <t>http://twitter.com/YonkoSenior/statuses/1521070177319890946</t>
  </si>
  <si>
    <t>1521070060340719616</t>
  </si>
  <si>
    <t>SteveACooper</t>
  </si>
  <si>
    <t>Mon May 02 10:12:17 +0000 2022</t>
  </si>
  <si>
    <t>297612225</t>
  </si>
  <si>
    <t>http://pbs.twimg.com/profile_images/1497562147160834052/ggZph5Mv_normal.jpg</t>
  </si>
  <si>
    <t>Suffragette City</t>
  </si>
  <si>
    <t>http://twitter.com/SteveACooper/statuses/1521070060340719616</t>
  </si>
  <si>
    <t>1521069907638640642</t>
  </si>
  <si>
    <t>BrexitPhobe</t>
  </si>
  <si>
    <t>RT @BrexitPhobe: #BrexitReality.
Apparently, an EU Army has been approved, and investment is up. 
Total denial. Bless. https://t.co/kIMaVBT3ul</t>
  </si>
  <si>
    <t>Remain</t>
  </si>
  <si>
    <t>Mon May 02 10:11:40 +0000 2022</t>
  </si>
  <si>
    <t>1264202814236098562</t>
  </si>
  <si>
    <t>http://pbs.twimg.com/profile_images/1416887010892165127/J5jaKNGH_normal.jpg</t>
  </si>
  <si>
    <t>Unlit Lowlands, Plague Island</t>
  </si>
  <si>
    <t>http://twitter.com/BrexitPhobe/statuses/1521069907638640642</t>
  </si>
  <si>
    <t>{"hashtags":[{"text":"BrexitReality","indices":[17,31]}],"symbols":[],"user_mentions":[{"screen_name":"BrexitPhobe","name":"PoliticallyHomeless 😷🏴󠁧󠁢󠁷󠁬󠁳󠁿#PATH","id":1264202814236098600,"id_str":"1264202814236098562","indices":[3,15]}],"urls":[]}</t>
  </si>
  <si>
    <t>1521069831348719616</t>
  </si>
  <si>
    <t>TomGoodfellow</t>
  </si>
  <si>
    <t>Mon May 02 10:11:22 +0000 2022</t>
  </si>
  <si>
    <t>23013343</t>
  </si>
  <si>
    <t>http://pbs.twimg.com/profile_images/1539222733/Twit_normal.jpg</t>
  </si>
  <si>
    <t>Sydney, Australia</t>
  </si>
  <si>
    <t>http://twitter.com/TomGoodfellow/statuses/1521069831348719616</t>
  </si>
  <si>
    <t>1521069767620182018</t>
  </si>
  <si>
    <t>morangles</t>
  </si>
  <si>
    <t>RT @Anna_Soubry: It’s time political leaders stopped the conspiracy of silence about the damage #Brexit has done to our country. Time they spoke truth to power and restored decency and competence in Parliament &amp;amp; politics in general.</t>
  </si>
  <si>
    <t>Mon May 02 10:11:07 +0000 2022</t>
  </si>
  <si>
    <t>19455392</t>
  </si>
  <si>
    <t>http://pbs.twimg.com/profile_images/1383458121813684228/OrYoezos_normal.jpg</t>
  </si>
  <si>
    <t>Humberside</t>
  </si>
  <si>
    <t>http://twitter.com/morangles/statuses/1521069767620182018</t>
  </si>
  <si>
    <t>{"hashtags":[{"text":"Brexit","indices":[96,103]}],"symbols":[],"user_mentions":[{"screen_name":"Anna_Soubry","name":"Anna Soubry","id":326184301,"id_str":"326184301","indices":[3,15]}],"urls":[]}</t>
  </si>
  <si>
    <t>1521069759475097601</t>
  </si>
  <si>
    <t>RT @BrexitPhobe: Yet more outstanding work from @PeterStefanovi2, to expose #BorisJohnson’s outright lies in parliament.
Who’d have thought that a PM who lied about #Brexit to steal power, axe decent MPs and install a bunch of sycophants, would continue to lie, when in post? https://t.co/3o8rLvFJew</t>
  </si>
  <si>
    <t>Mon May 02 10:11:05 +0000 2022</t>
  </si>
  <si>
    <t>http://twitter.com/BrexitPhobe/statuses/1521069759475097601</t>
  </si>
  <si>
    <t>{"hashtags":[{"text":"BorisJohnson","indices":[76,89]}],"symbols":[],"user_mentions":[{"screen_name":"BrexitPhobe","name":"PoliticallyHomeless 😷🏴󠁧󠁢󠁷󠁬󠁳󠁿#PATH","id":1264202814236098600,"id_str":"1264202814236098562","indices":[3,15]},{"screen_name":"PeterStefanovi2","name":"Peter Stefanovic","id":2441666255,"id_str":"2441666255","indices":[48,64]}],"urls":[]}</t>
  </si>
  <si>
    <t>1521069753460211712</t>
  </si>
  <si>
    <t>RT @Anna_Soubry: There’s a link between the debauched culture that’s prevalent in Parliament and the morally bankrupt character of Boris Johnson, the changes he’s encouraged in his party and the wholly dishonest #Brexit campaign he led.</t>
  </si>
  <si>
    <t>Mon May 02 10:11:03 +0000 2022</t>
  </si>
  <si>
    <t>http://twitter.com/morangles/statuses/1521069753460211712</t>
  </si>
  <si>
    <t>{"hashtags":[],"symbols":[],"user_mentions":[{"screen_name":"Anna_Soubry","name":"Anna Soubry","id":326184301,"id_str":"326184301","indices":[3,15]}],"urls":[]}</t>
  </si>
  <si>
    <t>1521069749614039040</t>
  </si>
  <si>
    <t>hic334</t>
  </si>
  <si>
    <t>RT @Anna_Soubry: There’s silence too on the political fallout of #Brexit 
The Conservative party’s shifted to the right - a happy home for ideological nationalists. Many genuine One Nation Tories have left. A significant number of hugely able, moderate Conservative women MPs have left Parliament</t>
  </si>
  <si>
    <t>2566822615</t>
  </si>
  <si>
    <t>http://pbs.twimg.com/profile_images/922031958057725952/Sk9Q3eCX_normal.jpg</t>
  </si>
  <si>
    <t>http://twitter.com/hic334/statuses/1521069749614039040</t>
  </si>
  <si>
    <t>{"hashtags":[{"text":"Brexit","indices":[65,72]}],"symbols":[],"user_mentions":[{"screen_name":"Anna_Soubry","name":"Anna Soubry","id":326184301,"id_str":"326184301","indices":[3,15]}],"urls":[]}</t>
  </si>
  <si>
    <t>1521069744308301830</t>
  </si>
  <si>
    <t>tommy54w</t>
  </si>
  <si>
    <t>RT @HelenMagi: @Anna_Soubry #BBCNews rarely mentions #Brexit as one of the key reasons why shelves are less well-stocked and prices are rising across the UK.
What are they afraid of? Telling the truth?
#BrexitReality #SundayMorning #Ridge</t>
  </si>
  <si>
    <t>Mon May 02 10:11:01 +0000 2022</t>
  </si>
  <si>
    <t>2191316493</t>
  </si>
  <si>
    <t>http://pbs.twimg.com/profile_images/1038096714559893504/oHRuelJc_normal.jpg</t>
  </si>
  <si>
    <t>the world</t>
  </si>
  <si>
    <t>http://twitter.com/tommy54w/statuses/1521069744308301830</t>
  </si>
  <si>
    <t>{"hashtags":[{"text":"BBCNews","indices":[28,36]},{"text":"Brexit","indices":[53,60]}],"symbols":[],"user_mentions":[{"screen_name":"HelenMagi","name":"Helen 🇮🇪🇪🇺🇺🇦","id":296211879,"id_str":"296211879","indices":[3,13]},{"screen_name":"Anna_Soubry","name":"Anna Soubry","id":326184301,"id_str":"326184301","indices":[15,27]}],"urls":[]}</t>
  </si>
  <si>
    <t>1521069742865399808</t>
  </si>
  <si>
    <t>http://twitter.com/morangles/statuses/1521069742865399808</t>
  </si>
  <si>
    <t>1521069741678469120</t>
  </si>
  <si>
    <t>Swingkatz</t>
  </si>
  <si>
    <t>116899093</t>
  </si>
  <si>
    <t>http://abs.twimg.com/sticky/default_profile_images/default_profile_normal.png</t>
  </si>
  <si>
    <t>http://twitter.com/Swingkatz/statuses/1521069741678469120</t>
  </si>
  <si>
    <t>1521069716407738368</t>
  </si>
  <si>
    <t>Mon May 02 10:10:55 +0000 2022</t>
  </si>
  <si>
    <t>http://twitter.com/Swingkatz/statuses/1521069716407738368</t>
  </si>
  <si>
    <t>1521069711823364097</t>
  </si>
  <si>
    <t>Mon May 02 10:10:54 +0000 2022</t>
  </si>
  <si>
    <t>http://twitter.com/bedfordyid/statuses/1521069711823364097</t>
  </si>
  <si>
    <t>1521069699647295490</t>
  </si>
  <si>
    <t>RT @Anna_Soubry: The leaders of the Brexit campaign promised so much but they are not being held to account on why so little (if anything) has been delivered. No one seems even to question what harm #Brexit is causing our economy.</t>
  </si>
  <si>
    <t>Mon May 02 10:10:51 +0000 2022</t>
  </si>
  <si>
    <t>http://twitter.com/hic334/statuses/1521069699647295490</t>
  </si>
  <si>
    <t>1521069645347926016</t>
  </si>
  <si>
    <t>RT @Anna_Soubry: History will record the great conspiracy of silence - the complete shutting down of debate post #Brexit 
It results in the Chair of Asda Stuart Rose actually admitting in his analysis of the state of our economy (BBC1 this morning)  he’s not allowed to mention #Brexit.</t>
  </si>
  <si>
    <t>Mon May 02 10:10:38 +0000 2022</t>
  </si>
  <si>
    <t>http://twitter.com/hic334/statuses/1521069645347926016</t>
  </si>
  <si>
    <t>{"hashtags":[{"text":"Brexit","indices":[113,120]}],"symbols":[],"user_mentions":[{"screen_name":"Anna_Soubry","name":"Anna Soubry","id":326184301,"id_str":"326184301","indices":[3,15]}],"urls":[]}</t>
  </si>
  <si>
    <t>1521069631229865985</t>
  </si>
  <si>
    <t>Mon May 02 10:10:34 +0000 2022</t>
  </si>
  <si>
    <t>http://twitter.com/Swingkatz/statuses/1521069631229865985</t>
  </si>
  <si>
    <t>1521069620769271809</t>
  </si>
  <si>
    <t>Marianna___S</t>
  </si>
  <si>
    <t>Mon May 02 10:10:32 +0000 2022</t>
  </si>
  <si>
    <t>453448457</t>
  </si>
  <si>
    <t>http://pbs.twimg.com/profile_images/2331707272/image_normal.jpg</t>
  </si>
  <si>
    <t>England, United Kingdom</t>
  </si>
  <si>
    <t>http://twitter.com/Marianna___S/statuses/1521069620769271809</t>
  </si>
  <si>
    <t>1521069604587646976</t>
  </si>
  <si>
    <t>MissLed20</t>
  </si>
  <si>
    <t>Mon May 02 10:10:28 +0000 2022</t>
  </si>
  <si>
    <t>820703275452350464</t>
  </si>
  <si>
    <t>http://pbs.twimg.com/profile_images/1229836871188058112/amt43BkG_normal.jpg</t>
  </si>
  <si>
    <t xml:space="preserve">Kent. U.K. </t>
  </si>
  <si>
    <t>http://twitter.com/MissLed20/statuses/1521069604587646976</t>
  </si>
  <si>
    <t>1521069581116313600</t>
  </si>
  <si>
    <t>Mon May 02 10:10:22 +0000 2022</t>
  </si>
  <si>
    <t>http://twitter.com/Swingkatz/statuses/1521069581116313600</t>
  </si>
  <si>
    <t>1521069562497744896</t>
  </si>
  <si>
    <t>Mon May 02 10:10:18 +0000 2022</t>
  </si>
  <si>
    <t>http://twitter.com/tommy54w/statuses/1521069562497744896</t>
  </si>
  <si>
    <t>1521069556562898945</t>
  </si>
  <si>
    <t>DespiteBrexbot</t>
  </si>
  <si>
    <t>RT @garside_geoff: Really poor reporting of #PassportOffice backlog.
It is not just about people having their holidays ruined. Despite #brexit, British citizens do actually have to travel for their jobs.</t>
  </si>
  <si>
    <t>Mon May 02 10:10:17 +0000 2022</t>
  </si>
  <si>
    <t>933077487885615110</t>
  </si>
  <si>
    <t>&lt;a href="https://twitter.com/DespiteBrexbot/" rel="nofollow"&gt;Despite Brexit Bot&lt;/a&gt;</t>
  </si>
  <si>
    <t>http://pbs.twimg.com/profile_images/933080856306110465/nK4vz9VF_normal.jpg</t>
  </si>
  <si>
    <t>http://twitter.com/DespiteBrexbot/statuses/1521069556562898945</t>
  </si>
  <si>
    <t>{"hashtags":[{"text":"PassportOffice","indices":[44,59]}],"symbols":[],"user_mentions":[{"screen_name":"garside_geoff","name":"🇺🇦🇬🇧Geoff#IMeHeYouRejoinEU","id":1428737997776859100,"id_str":"1428737997776859145","indices":[3,17]}],"urls":[]}</t>
  </si>
  <si>
    <t>1521069544973950977</t>
  </si>
  <si>
    <t>CleoColin</t>
  </si>
  <si>
    <t>Mon May 02 10:10:14 +0000 2022</t>
  </si>
  <si>
    <t>256526258</t>
  </si>
  <si>
    <t>http://pbs.twimg.com/profile_images/1446856162670940162/O47rvv2h_normal.jpg</t>
  </si>
  <si>
    <t>http://twitter.com/CleoColin/statuses/1521069544973950977</t>
  </si>
  <si>
    <t>1521069541010378754</t>
  </si>
  <si>
    <t>sjharley</t>
  </si>
  <si>
    <t>Mon May 02 10:10:13 +0000 2022</t>
  </si>
  <si>
    <t>23485208</t>
  </si>
  <si>
    <t>http://pbs.twimg.com/profile_images/1460027336074698757/CpYSaKdn_normal.jpg</t>
  </si>
  <si>
    <t>http://twitter.com/sjharley/statuses/1521069541010378754</t>
  </si>
  <si>
    <t>1521069536862158849</t>
  </si>
  <si>
    <t>Mon May 02 10:10:12 +0000 2022</t>
  </si>
  <si>
    <t>http://twitter.com/Marianna___S/statuses/1521069536862158849</t>
  </si>
  <si>
    <t>1521069529027207169</t>
  </si>
  <si>
    <t>RockDoc1975</t>
  </si>
  <si>
    <t>Mon May 02 10:10:10 +0000 2022</t>
  </si>
  <si>
    <t>3414882641</t>
  </si>
  <si>
    <t>http://pbs.twimg.com/profile_images/631049338156924928/0ele4iba_normal.jpg</t>
  </si>
  <si>
    <t>http://twitter.com/RockDoc1975/statuses/1521069529027207169</t>
  </si>
  <si>
    <t>1521069513046990849</t>
  </si>
  <si>
    <t>Mon May 02 10:10:06 +0000 2022</t>
  </si>
  <si>
    <t>http://twitter.com/Swingkatz/statuses/1521069513046990849</t>
  </si>
  <si>
    <t>1521069508768772097</t>
  </si>
  <si>
    <t>BrummieMan1</t>
  </si>
  <si>
    <t>Mon May 02 10:10:05 +0000 2022</t>
  </si>
  <si>
    <t>1287334334844801025</t>
  </si>
  <si>
    <t>http://pbs.twimg.com/profile_images/1287350306234302466/4ycLlahe_normal.jpg</t>
  </si>
  <si>
    <t>Birmingham, England</t>
  </si>
  <si>
    <t>http://twitter.com/BrummieMan1/statuses/1521069508768772097</t>
  </si>
  <si>
    <t>1521069499461640193</t>
  </si>
  <si>
    <t>Mon May 02 10:10:03 +0000 2022</t>
  </si>
  <si>
    <t>http://twitter.com/sjharley/statuses/1521069499461640193</t>
  </si>
  <si>
    <t>1521069498094170112</t>
  </si>
  <si>
    <t>DaveCampaigns</t>
  </si>
  <si>
    <t>1089186782573457408</t>
  </si>
  <si>
    <t>http://pbs.twimg.com/profile_images/1224324229472161792/hLC0qGKk_normal.jpg</t>
  </si>
  <si>
    <t>Star Trek Academy</t>
  </si>
  <si>
    <t>http://twitter.com/DaveCampaigns/statuses/1521069498094170112</t>
  </si>
  <si>
    <t>1521069462300114946</t>
  </si>
  <si>
    <t>Mon May 02 10:09:54 +0000 2022</t>
  </si>
  <si>
    <t>http://twitter.com/sjharley/statuses/1521069462300114946</t>
  </si>
  <si>
    <t>1521069427244077057</t>
  </si>
  <si>
    <t>AESimmons2</t>
  </si>
  <si>
    <t>Mon May 02 10:09:46 +0000 2022</t>
  </si>
  <si>
    <t>1200175688319406086</t>
  </si>
  <si>
    <t>http://pbs.twimg.com/profile_images/1429968806756200448/MvL243_V_normal.jpg</t>
  </si>
  <si>
    <t>Marylebone, London</t>
  </si>
  <si>
    <t>http://twitter.com/AESimmons2/statuses/1521069427244077057</t>
  </si>
  <si>
    <t>1521069409107955712</t>
  </si>
  <si>
    <t>Mon May 02 10:09:41 +0000 2022</t>
  </si>
  <si>
    <t>http://twitter.com/AESimmons2/statuses/1521069409107955712</t>
  </si>
  <si>
    <t>1521069407874781185</t>
  </si>
  <si>
    <t>AlanOak4</t>
  </si>
  <si>
    <t>Stuck for things to do this Bank Holiday?
Make your very own Nigel Farage lookalike! 
#brexit #farage #JohnsonOut98 https://t.co/5dD5eeMVnO</t>
  </si>
  <si>
    <t>1508560640524267521</t>
  </si>
  <si>
    <t>http://pbs.twimg.com/profile_images/1508561141605318660/9mB6OZSH_normal.jpg</t>
  </si>
  <si>
    <t>Hampshire, Europe</t>
  </si>
  <si>
    <t>http://twitter.com/AlanOak4/statuses/1521069407874781185</t>
  </si>
  <si>
    <t>{"hashtags":[{"text":"brexit","indices":[86,93]},{"text":"farage","indices":[94,101]},{"text":"JohnsonOut98","indices":[102,115]}],"symbols":[],"user_mentions":[],"urls":[],"media":[{"id":1521069387083661300,"id_str":"1521069387083661314","indices":[116,139],"media_url":"http://pbs.twimg.com/media/FRvsjG_XwAI2R-1.jpg","media_url_https":"https://pbs.twimg.com/media/FRvsjG_XwAI2R-1.jpg","url":"https://t.co/5dD5eeMVnO","display_url":"pic.twitter.com/5dD5eeMVnO","expanded_url":"https://twitter.com/AlanOak4/status/1521069407874781185/photo/1","type":"photo","sizes":{"small":{"w":510,"h":680,"resize":"fit"},"thumb":{"w":150,"h":150,"resize":"crop"},"large":{"w":1200,"h":1600,"resize":"fit"},"medium":{"w":900,"h":1200,"resize":"fit"}}}]}</t>
  </si>
  <si>
    <t>1521069396508225536</t>
  </si>
  <si>
    <t>Mon May 02 10:09:38 +0000 2022</t>
  </si>
  <si>
    <t>http://twitter.com/sjharley/statuses/1521069396508225536</t>
  </si>
  <si>
    <t>1521069357866049536</t>
  </si>
  <si>
    <t>AlvinFord14</t>
  </si>
  <si>
    <t>RT @Iain643: Reading how Bwit Nats are threatening to leave Scotland again
Hmm, 
Surely your bwitish #Brexit has proved that this is another 
Brilliant Bwitish idea in action 
If you want to leave go
xxx</t>
  </si>
  <si>
    <t>Mon May 02 10:09:29 +0000 2022</t>
  </si>
  <si>
    <t>1093499505562083328</t>
  </si>
  <si>
    <t>http://pbs.twimg.com/profile_images/1314238275234803721/I9v1m1i7_normal.jpg</t>
  </si>
  <si>
    <t>Glasgow, Scotland</t>
  </si>
  <si>
    <t>http://twitter.com/AlvinFord14/statuses/1521069357866049536</t>
  </si>
  <si>
    <t>{"hashtags":[{"text":"Brexit","indices":[101,108]}],"symbols":[],"user_mentions":[{"screen_name":"Iain643","name":"Iain Dear","id":2751873404,"id_str":"2751873404","indices":[3,11]}],"urls":[]}</t>
  </si>
  <si>
    <t>1521069353927589892</t>
  </si>
  <si>
    <t>bill11uk</t>
  </si>
  <si>
    <t>Mon May 02 10:09:28 +0000 2022</t>
  </si>
  <si>
    <t>105173357</t>
  </si>
  <si>
    <t>http://pbs.twimg.com/profile_images/926043782763761664/XQdc1E6-_normal.jpg</t>
  </si>
  <si>
    <t>http://twitter.com/bill11uk/statuses/1521069353927589892</t>
  </si>
  <si>
    <t>1521069353524989952</t>
  </si>
  <si>
    <t>http://twitter.com/AESimmons2/statuses/1521069353524989952</t>
  </si>
  <si>
    <t>1521069346927394817</t>
  </si>
  <si>
    <t>just_slipper</t>
  </si>
  <si>
    <t>@citymousette @Vicktor1111 @karlanderson111 @TheFlexibleChef Cutting off you nose, arms and legs.....#Brexit</t>
  </si>
  <si>
    <t>Mon May 02 10:09:27 +0000 2022</t>
  </si>
  <si>
    <t>197429319</t>
  </si>
  <si>
    <t>citymousette</t>
  </si>
  <si>
    <t>3243155097</t>
  </si>
  <si>
    <t>1521058713129345025</t>
  </si>
  <si>
    <t>http://pbs.twimg.com/profile_images/1477979037360398339/0DdoGOxK_normal.jpg</t>
  </si>
  <si>
    <t>IRELAND</t>
  </si>
  <si>
    <t>http://twitter.com/just_slipper/statuses/1521069346927394817</t>
  </si>
  <si>
    <t>{"hashtags":[{"text":"Brexit","indices":[101,108]}],"symbols":[],"user_mentions":[{"screen_name":"citymousette","name":"💐 ☀️ Sheila Shepheard🌹☀️","id":197429319,"id_str":"197429319","indices":[0,13]},{"screen_name":"Vicktor1111","name":"In Omnia #FBPE #RejoinEU #FBPA #JohnsonOut 🇪🇺","id":354411202,"id_str":"354411202","indices":[14,26]},{"screen_name":"karlanderson111","name":"karl anderson","id":755741270,"id_str":"755741270","indices":[27,43]},{"screen_name":"TheFlexibleChef","name":"Sir Phil Morrison🐾🥂🇪🇺🇪🇦🏴󠁧󠁢󠁳󠁣󠁴󠁿 #FBPE","id":1618063621,"id_str":"1618063621","indices":[44,60]}],"urls":[]}</t>
  </si>
  <si>
    <t>1521069269542481921</t>
  </si>
  <si>
    <t>IanHLewis1</t>
  </si>
  <si>
    <t>Mon May 02 10:09:08 +0000 2022</t>
  </si>
  <si>
    <t>724308733</t>
  </si>
  <si>
    <t>http://pbs.twimg.com/profile_images/845171979015507968/3NK9ke5V_normal.jpg</t>
  </si>
  <si>
    <t>Cardiff</t>
  </si>
  <si>
    <t>http://twitter.com/IanHLewis1/statuses/1521069269542481921</t>
  </si>
  <si>
    <t>1521069251322425344</t>
  </si>
  <si>
    <t>noniehorsman</t>
  </si>
  <si>
    <t>RT @Jon_Danzig: Without a proper fight back, the #Rejoin message won’t win. To be successful, we must demolish the #Brexit lies. My full commentary on Facebook: https://t.co/fSzW5ZPyhw LinkedIn: https://t.co/6N8bobNmAW Instagram: https://t.co/4XVEa9f1AQ https://t.co/uv3GKe7NhE</t>
  </si>
  <si>
    <t>Mon May 02 10:09:04 +0000 2022</t>
  </si>
  <si>
    <t>15571483</t>
  </si>
  <si>
    <t>http://pbs.twimg.com/profile_images/2701263077/76b3184281aca153715c43a0efed8eff_normal.png</t>
  </si>
  <si>
    <t>Bridgend of Lintrathen</t>
  </si>
  <si>
    <t>http://twitter.com/noniehorsman/statuses/1521069251322425344</t>
  </si>
  <si>
    <t>{"hashtags":[{"text":"Rejoin","indices":[49,56]},{"text":"Brexit","indices":[115,122]}],"symbols":[],"user_mentions":[{"screen_name":"Jon_Danzig","name":"Jon Danzig #FBPE","id":248187579,"id_str":"248187579","indices":[3,14]}],"urls":[]}</t>
  </si>
  <si>
    <t>1521069246658367490</t>
  </si>
  <si>
    <t>CathyUnbound</t>
  </si>
  <si>
    <t>Mon May 02 10:09:03 +0000 2022</t>
  </si>
  <si>
    <t>1364187787285700609</t>
  </si>
  <si>
    <t>http://pbs.twimg.com/profile_images/1364188217591922689/mL7sc_lF_normal.jpg</t>
  </si>
  <si>
    <t>Sheffield, South Yorkshire</t>
  </si>
  <si>
    <t>http://twitter.com/CathyUnbound/statuses/1521069246658367490</t>
  </si>
  <si>
    <t>1521069244632420353</t>
  </si>
  <si>
    <t>Mon May 02 10:09:02 +0000 2022</t>
  </si>
  <si>
    <t>http://twitter.com/sjharley/statuses/1521069244632420353</t>
  </si>
  <si>
    <t>1521069214689333248</t>
  </si>
  <si>
    <t>Mon May 02 10:08:55 +0000 2022</t>
  </si>
  <si>
    <t>http://twitter.com/DaveCampaigns/statuses/1521069214689333248</t>
  </si>
  <si>
    <t>1521069028105728001</t>
  </si>
  <si>
    <t>LolaGilray</t>
  </si>
  <si>
    <t>Mon May 02 10:08:11 +0000 2022</t>
  </si>
  <si>
    <t>27104462</t>
  </si>
  <si>
    <t>http://pbs.twimg.com/profile_images/1231263323875880961/Rtcsb4fw_normal.jpg</t>
  </si>
  <si>
    <t>Scotland and Spain</t>
  </si>
  <si>
    <t>http://twitter.com/LolaGilray/statuses/1521069028105728001</t>
  </si>
  <si>
    <t>1521069002163900417</t>
  </si>
  <si>
    <t>RichardScribbl1</t>
  </si>
  <si>
    <t>@AndrewF937 The way I understand it, because of #Brexit and out of desperation, we are signing one-sided trade deals that don't even favour us. https://t.co/1prctu3QGx</t>
  </si>
  <si>
    <t>Mon May 02 10:08:04 +0000 2022</t>
  </si>
  <si>
    <t>793580816840425477</t>
  </si>
  <si>
    <t>AndrewF937</t>
  </si>
  <si>
    <t>1035961415591489537</t>
  </si>
  <si>
    <t>1521067178757341184</t>
  </si>
  <si>
    <t>http://pbs.twimg.com/profile_images/1348979895544786952/d7X9ZzSH_normal.jpg</t>
  </si>
  <si>
    <t>Spain</t>
  </si>
  <si>
    <t>http://twitter.com/RichardScribbl1/statuses/1521069002163900417</t>
  </si>
  <si>
    <t>{"hashtags":[{"text":"Brexit","indices":[48,55]}],"symbols":[],"user_mentions":[{"screen_name":"AndrewF937","name":"Andrew Ferguson 🇪🇺 🌍 🌱 #FBPA","id":793580816840425500,"id_str":"793580816840425477","indices":[0,11]}],"urls":[{"url":"https://t.co/1prctu3QGx","expanded_url":"https://www.farmersguide.co.uk/anger-as-one-sided-uk-australia-trade-deal-is-finalised/","display_url":"farmersguide.co.uk/anger-as-one-s…","indices":[144,167]}]}</t>
  </si>
  <si>
    <t>1521068968286605312</t>
  </si>
  <si>
    <t>1karenannwalker</t>
  </si>
  <si>
    <t>Mon May 02 10:07:56 +0000 2022</t>
  </si>
  <si>
    <t>315273634</t>
  </si>
  <si>
    <t>http://pbs.twimg.com/profile_images/1470044549254983680/EjQDcVw8_normal.jpg</t>
  </si>
  <si>
    <t>Newcastle</t>
  </si>
  <si>
    <t>http://twitter.com/1karenannwalker/statuses/1521068968286605312</t>
  </si>
  <si>
    <t>1521068933113122816</t>
  </si>
  <si>
    <t>yllekonadnerb</t>
  </si>
  <si>
    <t>RT @phiw: #Brexit  Mogg delays checks on imports from EU again!  Now not till end 2023. Claims to save £1bn per year and £500 on a load of fish fingers. Not long ago he said leaving EU would mean cheaper food. What happened? Also exports now subject to all checks, imports none. Make sense?</t>
  </si>
  <si>
    <t>Mon May 02 10:07:48 +0000 2022</t>
  </si>
  <si>
    <t>95199214</t>
  </si>
  <si>
    <t>http://pbs.twimg.com/profile_images/491851316277555202/kPHYuVzc_normal.jpeg</t>
  </si>
  <si>
    <t>Dublin</t>
  </si>
  <si>
    <t>http://twitter.com/yllekonadnerb/statuses/1521068933113122816</t>
  </si>
  <si>
    <t>{"hashtags":[{"text":"Brexit","indices":[10,17]}],"symbols":[],"user_mentions":[{"screen_name":"phiw","name":"Philip","id":18599601,"id_str":"18599601","indices":[3,8]}],"urls":[]}</t>
  </si>
  <si>
    <t>1521068920526061568</t>
  </si>
  <si>
    <t>Mon May 02 10:07:45 +0000 2022</t>
  </si>
  <si>
    <t>http://twitter.com/1karenannwalker/statuses/1521068920526061568</t>
  </si>
  <si>
    <t>1521068899009183744</t>
  </si>
  <si>
    <t>i_pinkwolfie</t>
  </si>
  <si>
    <t>RT @SydesJokes: New #Brexit stamps https://t.co/4IHWEEqHsr https://t.co/UNfWWIwbU9</t>
  </si>
  <si>
    <t>Mon May 02 10:07:40 +0000 2022</t>
  </si>
  <si>
    <t>1863027421</t>
  </si>
  <si>
    <t>http://pbs.twimg.com/profile_images/914525390860963842/nmzVTnOP_normal.jpg</t>
  </si>
  <si>
    <t>Canterbury</t>
  </si>
  <si>
    <t>http://twitter.com/i_pinkwolfie/statuses/1521068899009183744</t>
  </si>
  <si>
    <t>{"hashtags":[{"text":"Brexit","indices":[20,27]}],"symbols":[],"user_mentions":[{"screen_name":"SydesJokes","name":"Lord Sydes #FBPE #FBPPR 💙 🇬🇧🇩🇪🇸🇬🇫🇮🇪🇺","id":29459695,"id_str":"29459695","indices":[3,14]}],"urls":[{"url":"https://t.co/4IHWEEqHsr","expanded_url":"https://instagr.am/p/CdA558FjoiQ/","display_url":"instagr.am/p/CdA558FjoiQ/","indices":[35,58]}],"media":[{"id":1520742463845056500,"id_str":"1520742463845056513","indices":[59,82],"media_url":"http://pbs.twimg.com/media/FRrDNrBWQAEeTm6.jpg","media_url_https":"https://pbs.twimg.com/media/FRrDNrBWQAEeTm6.jpg","url":"https://t.co/UNfWWIwbU9","display_url":"pic.twitter.com/UNfWWIwbU9","expanded_url":"https://twitter.com/SydesJokes/status/1520742465195626496/photo/1","type":"photo","sizes":{"thumb":{"w":150,"h":150,"resize":"crop"},"small":{"w":668,"h":680,"resize":"fit"},"large":{"w":812,"h":826,"resize":"fit"},"medium":{"w":812,"h":826,"resize":"fit"}},"source_status_id":1520742465195626500,"source_status_id_str":"1520742465195626496","source_user_id":29459695,"source_user_id_str":"29459695"}]}</t>
  </si>
  <si>
    <t>1521068892034154496</t>
  </si>
  <si>
    <t>condaeanclar</t>
  </si>
  <si>
    <t>Mon May 02 10:07:38 +0000 2022</t>
  </si>
  <si>
    <t>57428117</t>
  </si>
  <si>
    <t>http://pbs.twimg.com/profile_images/378800000657552178/eeaaa949e4b0efaddc87bc249b5a05db_normal.jpeg</t>
  </si>
  <si>
    <t>Isolated offshore isle england</t>
  </si>
  <si>
    <t>http://twitter.com/condaeanclar/statuses/1521068892034154496</t>
  </si>
  <si>
    <t>1521068882655653889</t>
  </si>
  <si>
    <t>Mon May 02 10:07:36 +0000 2022</t>
  </si>
  <si>
    <t>http://twitter.com/1karenannwalker/statuses/1521068882655653889</t>
  </si>
  <si>
    <t>1521068838598713345</t>
  </si>
  <si>
    <t>jwahjwah</t>
  </si>
  <si>
    <t>Mon May 02 10:07:25 +0000 2022</t>
  </si>
  <si>
    <t>20624058</t>
  </si>
  <si>
    <t>http://pbs.twimg.com/profile_images/1349692624945364992/VTgfSLZM_normal.png</t>
  </si>
  <si>
    <t>brexiled from EU 🇪🇺</t>
  </si>
  <si>
    <t>http://twitter.com/jwahjwah/statuses/1521068838598713345</t>
  </si>
  <si>
    <t>1521068823419445248</t>
  </si>
  <si>
    <t>Mon May 02 10:07:22 +0000 2022</t>
  </si>
  <si>
    <t>http://twitter.com/1karenannwalker/statuses/1521068823419445248</t>
  </si>
  <si>
    <t>1521068820277993472</t>
  </si>
  <si>
    <t>Mon May 02 10:07:21 +0000 2022</t>
  </si>
  <si>
    <t>http://twitter.com/jwahjwah/statuses/1521068820277993472</t>
  </si>
  <si>
    <t>1521068797825896448</t>
  </si>
  <si>
    <t>Mon May 02 10:07:16 +0000 2022</t>
  </si>
  <si>
    <t>http://twitter.com/jwahjwah/statuses/1521068797825896448</t>
  </si>
  <si>
    <t>1521068779895201793</t>
  </si>
  <si>
    <t>Mon May 02 10:07:11 +0000 2022</t>
  </si>
  <si>
    <t>http://twitter.com/jwahjwah/statuses/1521068779895201793</t>
  </si>
  <si>
    <t>1521068775994494979</t>
  </si>
  <si>
    <t>decsernatony</t>
  </si>
  <si>
    <t>Mon May 02 10:07:10 +0000 2022</t>
  </si>
  <si>
    <t>3567684135</t>
  </si>
  <si>
    <t>http://pbs.twimg.com/profile_images/1443866865558867977/ULXvnofQ_normal.jpg</t>
  </si>
  <si>
    <t>http://twitter.com/decsernatony/statuses/1521068775994494979</t>
  </si>
  <si>
    <t>1521068769371725824</t>
  </si>
  <si>
    <t>Mon May 02 10:07:09 +0000 2022</t>
  </si>
  <si>
    <t>http://twitter.com/1karenannwalker/statuses/1521068769371725824</t>
  </si>
  <si>
    <t>1521068763986157570</t>
  </si>
  <si>
    <t>PatrickJervis</t>
  </si>
  <si>
    <t>Mon May 02 10:07:08 +0000 2022</t>
  </si>
  <si>
    <t>65314051</t>
  </si>
  <si>
    <t>http://pbs.twimg.com/profile_images/1311686310021734400/Xa9jT-vC_normal.jpg</t>
  </si>
  <si>
    <t>Dartmouth, Devon, England</t>
  </si>
  <si>
    <t>http://twitter.com/PatrickJervis/statuses/1521068763986157570</t>
  </si>
  <si>
    <t>1521068685229707267</t>
  </si>
  <si>
    <t>polnyypesets</t>
  </si>
  <si>
    <t>Mon May 02 10:06:49 +0000 2022</t>
  </si>
  <si>
    <t>4118427075</t>
  </si>
  <si>
    <t>http://pbs.twimg.com/profile_images/993067518163111936/yJBz53c0_normal.jpg</t>
  </si>
  <si>
    <t>Stockholm, Sweden 🇸🇪</t>
  </si>
  <si>
    <t>http://twitter.com/polnyypesets/statuses/1521068685229707267</t>
  </si>
  <si>
    <t>1521068675176050688</t>
  </si>
  <si>
    <t>philiparrogers</t>
  </si>
  <si>
    <t>@audouin1b @kate_degerdon @affleckquine @UKLabour The best way to ensure that outcome, is for Starmer &amp;amp; Davey not to back a #Brexit policy alienates europhiles. There's still a lot of work to do to get them onside.</t>
  </si>
  <si>
    <t>Mon May 02 10:06:46 +0000 2022</t>
  </si>
  <si>
    <t>527674798</t>
  </si>
  <si>
    <t>audouin1b</t>
  </si>
  <si>
    <t>861840682247479296</t>
  </si>
  <si>
    <t>1521038806694178816</t>
  </si>
  <si>
    <t>http://pbs.twimg.com/profile_images/1066408206954582021/RaKE_iFB_normal.jpg</t>
  </si>
  <si>
    <t>http://twitter.com/philiparrogers/statuses/1521068675176050688</t>
  </si>
  <si>
    <t>{"hashtags":[{"text":"Brexit","indices":[128,135]}],"symbols":[],"user_mentions":[{"screen_name":"audouin1b","name":"David Wright#FBPE#FBPA#antibrexit#facciamorete💙","id":527674798,"id_str":"527674798","indices":[0,10]},{"screen_name":"kate_degerdon","name":"Kate Degerdon - anti Tory, anti Brexit, pro EU","id":806168094624415700,"id_str":"806168094624415744","indices":[11,25]},{"screen_name":"affleckquine","name":"Kate","id":1023999750218100700,"id_str":"1023999750218100736","indices":[26,39]},{"screen_name":"UKLabour","name":"The Labour Party","id":14291684,"id_str":"14291684","indices":[40,49]}],"urls":[]}</t>
  </si>
  <si>
    <t>1521068672902733824</t>
  </si>
  <si>
    <t>ClaudeA82619845</t>
  </si>
  <si>
    <t>5 mai : Irlande du Nord : possible séisme politique aux élections locales – https://t.co/u9oHv6QuVT #Brexit  https://t.co/7EP7SaAmex</t>
  </si>
  <si>
    <t>1441892344890945542</t>
  </si>
  <si>
    <t>http://pbs.twimg.com/profile_images/1479212469998477313/kZHhkPkJ_normal.jpg</t>
  </si>
  <si>
    <t>entre Rhône et Rhin</t>
  </si>
  <si>
    <t>http://twitter.com/ClaudeA82619845/statuses/1521068672902733824</t>
  </si>
  <si>
    <t>{"hashtags":[{"text":"Brexit","indices":[100,107]}],"symbols":[],"user_mentions":[],"urls":[{"url":"https://t.co/u9oHv6QuVT","expanded_url":"http://EURACTIV.fr","display_url":"EURACTIV.fr","indices":[76,99]},{"url":"https://t.co/7EP7SaAmex","expanded_url":"https://www.euractiv.fr/section/elections/news/irlande-du-nord-possible-seisme-politique-aux-elections-locales/","display_url":"euractiv.fr/section/electi…","indices":[109,132]}]}</t>
  </si>
  <si>
    <t>1521068591994580992</t>
  </si>
  <si>
    <t>Mon May 02 10:06:27 +0000 2022</t>
  </si>
  <si>
    <t>http://twitter.com/jwahjwah/statuses/1521068591994580992</t>
  </si>
  <si>
    <t>1521068449744789505</t>
  </si>
  <si>
    <t>BelAmi06337376</t>
  </si>
  <si>
    <t>Mon May 02 10:05:53 +0000 2022</t>
  </si>
  <si>
    <t>1147497450481094658</t>
  </si>
  <si>
    <t>http://pbs.twimg.com/profile_images/1507033978464878599/_4qI1o7E_normal.jpg</t>
  </si>
  <si>
    <t xml:space="preserve">Planet Earth! </t>
  </si>
  <si>
    <t>http://twitter.com/BelAmi06337376/statuses/1521068449744789505</t>
  </si>
  <si>
    <t>1521068408053325826</t>
  </si>
  <si>
    <t>TheAlexHughes</t>
  </si>
  <si>
    <t>Mon May 02 10:05:43 +0000 2022</t>
  </si>
  <si>
    <t>846483032794185728</t>
  </si>
  <si>
    <t>http://pbs.twimg.com/profile_images/848877804137611264/fe13Th_x_normal.jpg</t>
  </si>
  <si>
    <t>Scotland</t>
  </si>
  <si>
    <t>http://twitter.com/TheAlexHughes/statuses/1521068408053325826</t>
  </si>
  <si>
    <t>1521068357876867072</t>
  </si>
  <si>
    <t>DecodingTrolls</t>
  </si>
  <si>
    <t>@KremlinTrolls Lord Peskov said, as he was packing up his Mayfair flat: "Next time, pay for your own #Brexit." Kremlin demands refund of ALL donations to UK #Brexit politicians: "Either they return £100m+ Russia has invested in UK democracy, or face an unprovoked attack on British democracy." https://t.co/b2QZRMEa0b</t>
  </si>
  <si>
    <t>Mon May 02 10:05:31 +0000 2022</t>
  </si>
  <si>
    <t>4361001253</t>
  </si>
  <si>
    <t>KremlinTrolls</t>
  </si>
  <si>
    <t>1231267817619689472</t>
  </si>
  <si>
    <t>1521066332229447681</t>
  </si>
  <si>
    <t>http://pbs.twimg.com/profile_images/1455722509563801605/B0eU7yjw_normal.jpg</t>
  </si>
  <si>
    <t>http://twitter.com/DecodingTrolls/statuses/1521068357876867072</t>
  </si>
  <si>
    <t>{"hashtags":[{"text":"Brexit","indices":[101,108]},{"text":"Brexit","indices":[157,164]}],"symbols":[],"user_mentions":[{"screen_name":"KremlinTrolls","name":"KT \"Special Intelligence Operation\"","id":4361001253,"id_str":"4361001253","indices":[0,14]}],"urls":[],"media":[{"id":1521068350960554000,"id_str":"1521068350960553984","indices":[294,317],"media_url":"http://pbs.twimg.com/media/FRvrmzIX0AAXfoF.jpg","media_url_https":"https://pbs.twimg.com/media/FRvrmzIX0AAXfoF.jpg","url":"https://t.co/b2QZRMEa0b","display_url":"pic.twitter.com/b2QZRMEa0b","expanded_url":"https://twitter.com/DecodingTrolls/status/1521068357876867072/photo/1","type":"photo","sizes":{"thumb":{"w":150,"h":150,"resize":"crop"},"medium":{"w":576,"h":1150,"resize":"fit"},"large":{"w":576,"h":1150,"resize":"fit"},"small":{"w":341,"h":680,"resize":"fit"}}}]}</t>
  </si>
  <si>
    <t>1521068338730139649</t>
  </si>
  <si>
    <t>milmolaman</t>
  </si>
  <si>
    <t>Mon May 02 10:05:26 +0000 2022</t>
  </si>
  <si>
    <t>2810715472</t>
  </si>
  <si>
    <t>http://pbs.twimg.com/profile_images/1198561809801850880/NrWn2mIl_normal.jpg</t>
  </si>
  <si>
    <t>Citizen of the EU.</t>
  </si>
  <si>
    <t>http://twitter.com/milmolaman/statuses/1521068338730139649</t>
  </si>
  <si>
    <t>1521068335689048064</t>
  </si>
  <si>
    <t>stardancerMike</t>
  </si>
  <si>
    <t>Mon May 02 10:05:25 +0000 2022</t>
  </si>
  <si>
    <t>1549235678</t>
  </si>
  <si>
    <t>http://pbs.twimg.com/profile_images/378800000050855355/2a2146229d0dd6233db98f5af024e89d_normal.jpeg</t>
  </si>
  <si>
    <t>North East England.</t>
  </si>
  <si>
    <t>http://twitter.com/stardancerMike/statuses/1521068335689048064</t>
  </si>
  <si>
    <t>1521068333097013250</t>
  </si>
  <si>
    <t>j_consilio</t>
  </si>
  <si>
    <t>RT @Facts4euOrg: Now confirmed – the UK dodged a bullet by leaving the EU.
EU Conference sets a clear path towards a 'United States of Europe'. For your #Brexit summary click here: https://t.co/KQO2CqAXxr https://t.co/0MJwliIskh</t>
  </si>
  <si>
    <t>608289405</t>
  </si>
  <si>
    <t>http://pbs.twimg.com/profile_images/1501991017268092934/87aKeNzl_normal.jpg</t>
  </si>
  <si>
    <t>http://twitter.com/j_consilio/statuses/1521068333097013250</t>
  </si>
  <si>
    <t>{"hashtags":[],"symbols":[],"user_mentions":[{"screen_name":"Facts4euOrg","name":"Brexit Facts4EU.Org","id":846269051630424000,"id_str":"846269051630424064","indices":[3,15]}],"urls":[]}</t>
  </si>
  <si>
    <t>1521068281964212224</t>
  </si>
  <si>
    <t>Mon May 02 10:05:13 +0000 2022</t>
  </si>
  <si>
    <t>http://twitter.com/stardancerMike/statuses/1521068281964212224</t>
  </si>
  <si>
    <t>1521068209243312128</t>
  </si>
  <si>
    <t>TigerLover161</t>
  </si>
  <si>
    <t>Mon May 02 10:04:55 +0000 2022</t>
  </si>
  <si>
    <t>965886419611930624</t>
  </si>
  <si>
    <t>http://pbs.twimg.com/profile_images/965886965022363648/lz377UDh_normal.jpg</t>
  </si>
  <si>
    <t>http://twitter.com/TigerLover161/statuses/1521068209243312128</t>
  </si>
  <si>
    <t>1521068206739308544</t>
  </si>
  <si>
    <t>http://twitter.com/stardancerMike/statuses/1521068206739308544</t>
  </si>
  <si>
    <t>1521068158664253441</t>
  </si>
  <si>
    <t>lynneba25622829</t>
  </si>
  <si>
    <t>Mon May 02 10:04:43 +0000 2022</t>
  </si>
  <si>
    <t>995396193382518784</t>
  </si>
  <si>
    <t>Urmston, England</t>
  </si>
  <si>
    <t>http://twitter.com/lynneba25622829/statuses/1521068158664253441</t>
  </si>
  <si>
    <t>1521068140737740801</t>
  </si>
  <si>
    <t>Mon May 02 10:04:39 +0000 2022</t>
  </si>
  <si>
    <t>http://twitter.com/bedfordyid/statuses/1521068140737740801</t>
  </si>
  <si>
    <t>1521068127001493505</t>
  </si>
  <si>
    <t>Mon May 02 10:04:36 +0000 2022</t>
  </si>
  <si>
    <t>http://twitter.com/stardancerMike/statuses/1521068127001493505</t>
  </si>
  <si>
    <t>1521068092314554369</t>
  </si>
  <si>
    <t>JohnHurr</t>
  </si>
  <si>
    <t>RT @Politics20204: #brexit really isn’t working?
🚨shortages again in London! https://t.co/veaMvonSRi</t>
  </si>
  <si>
    <t>Mon May 02 10:04:27 +0000 2022</t>
  </si>
  <si>
    <t>352394401</t>
  </si>
  <si>
    <t>http://pbs.twimg.com/profile_images/1501935222312505357/kRgjj7xi_normal.jpg</t>
  </si>
  <si>
    <t>Ash Vale, Surrey, UK</t>
  </si>
  <si>
    <t>http://twitter.com/JohnHurr/statuses/1521068092314554369</t>
  </si>
  <si>
    <t>{"hashtags":[{"text":"brexit","indices":[19,26]}],"symbols":[],"user_mentions":[{"screen_name":"Politics20204","name":"PoliticalX #FBPE","id":1217856288538927000,"id_str":"1217856288538927107","indices":[3,17]}],"urls":[],"media":[{"id":1520119833953812500,"id_str":"1520119833953812481","indices":[77,100],"media_url":"http://pbs.twimg.com/media/FRiM717XwAEEPdF.jpg","media_url_https":"https://pbs.twimg.com/media/FRiM717XwAEEPdF.jpg","url":"https://t.co/veaMvonSRi","display_url":"pic.twitter.com/veaMvonSRi","expanded_url":"https://twitter.com/Politics20204/status/1520119876639236096/photo/1","type":"photo","sizes":{"thumb":{"w":150,"h":150,"resize":"crop"},"medium":{"w":900,"h":1200,"resize":"fit"},"large":{"w":1536,"h":2048,"resize":"fit"},"small":{"w":510,"h":680,"resize":"fit"}},"source_status_id":1520119876639236000,"source_status_id_str":"1520119876639236096","source_user_id":1217856288538927000,"source_user_id_str":"1217856288538927107"}]}</t>
  </si>
  <si>
    <t>1521068080843087873</t>
  </si>
  <si>
    <t>Jeancol58961620</t>
  </si>
  <si>
    <t>RT @g_gosden: Another excellent clipping for Jakey Mogg’s big book of #brexit benefits https://t.co/8eFgQLf4i5</t>
  </si>
  <si>
    <t>Mon May 02 10:04:25 +0000 2022</t>
  </si>
  <si>
    <t>4776908657</t>
  </si>
  <si>
    <t>East Midlands, England</t>
  </si>
  <si>
    <t>http://twitter.com/Jeancol58961620/statuses/1521068080843087873</t>
  </si>
  <si>
    <t>{"hashtags":[{"text":"brexit","indices":[70,77]}],"symbols":[],"user_mentions":[{"screen_name":"g_gosden","name":"Simon Gosden. Esq. #fbpe 3.5% 🕷🇪🇺🇬🇧🏴‍☠️🦠💙","id":1010384732759253000,"id_str":"1010384732759252997","indices":[3,12]}],"urls":[],"media":[{"id":1520844841122422800,"id_str":"1520844841122422785","indices":[87,110],"media_url":"http://pbs.twimg.com/media/FRsgU0GWYAEYzAr.jpg","media_url_https":"https://pbs.twimg.com/media/FRsgU0GWYAEYzAr.jpg","url":"https://t.co/8eFgQLf4i5","display_url":"pic.twitter.com/8eFgQLf4i5","expanded_url":"https://twitter.com/g_gosden/status/1520844845958500353/photo/1","type":"photo","sizes":{"small":{"w":650,"h":680,"resize":"fit"},"thumb":{"w":150,"h":150,"resize":"crop"},"medium":{"w":750,"h":785,"resize":"fit"},"large":{"w":750,"h":785,"resize":"fit"}},"source_status_id":1520844845958500400,"source_status_id_str":"1520844845958500353","source_user_id":1010384732759253000,"source_user_id_str":"1010384732759252997"}]}</t>
  </si>
  <si>
    <t>1521068079584886790</t>
  </si>
  <si>
    <t>CallidusDominus</t>
  </si>
  <si>
    <t>@SydesJokes @jfranklynh @DavidGHFrost Does look like that with our crack negotiating team. We probably still get a frosty reception when they are not laughing at the sheer stupidity of #Brexit negotiations. And knowing we'll complain about it being enacted within a year. #GTTO #JohnsonOut #JohnsonOut98 @milneorchid https://t.co/LMaG6UWfvU</t>
  </si>
  <si>
    <t>Mon May 02 10:04:24 +0000 2022</t>
  </si>
  <si>
    <t>29459695</t>
  </si>
  <si>
    <t>SydesJokes</t>
  </si>
  <si>
    <t>2708805151</t>
  </si>
  <si>
    <t>1520749914598350848</t>
  </si>
  <si>
    <t>http://pbs.twimg.com/profile_images/1489022834936532999/MEZLoTY3_normal.jpg</t>
  </si>
  <si>
    <t>http://twitter.com/CallidusDominus/statuses/1521068079584886790</t>
  </si>
  <si>
    <t>{"hashtags":[{"text":"Brexit","indices":[185,192]},{"text":"GTTO","indices":[272,277]},{"text":"JohnsonOut","indices":[278,289]},{"text":"JohnsonOut98","indices":[290,303]}],"symbols":[],"user_mentions":[{"screen_name":"SydesJokes","name":"Lord Sydes #FBPE #FBPPR 💙 🇬🇧🇩🇪🇸🇬🇫🇮🇪🇺","id":29459695,"id_str":"29459695","indices":[0,11]},{"screen_name":"jfranklynh","name":"Sir James Harris #FBPE #NotMovingOn🇬🇧 🇪🇺","id":716777950981591000,"id_str":"716777950981591041","indices":[12,23]},{"screen_name":"DavidGHFrost","name":"David Frost","id":967900364,"id_str":"967900364","indices":[24,37]},{"screen_name":"milneorchid","name":"Richard Milne","id":747499967040921600,"id_str":"747499967040921600","indices":[304,316]}],"urls":[],"media":[{"id":1521068067966656500,"id_str":"1521068067966656514","indices":[317,340],"media_url":"http://pbs.twimg.com/tweet_video_thumb/FRvrWU5XoAI05hg.jpg","media_url_https":"https://pbs.twimg.com/tweet_video_thumb/FRvrWU5XoAI05hg.jpg","url":"https://t.co/LMaG6UWfvU","display_url":"pic.twitter.com/LMaG6UWfvU","expanded_url":"https://twitter.com/CallidusDominus/status/1521068079584886790/photo/1","type":"photo","sizes":{"medium":{"w":220,"h":122,"resize":"fit"},"small":{"w":220,"h":122,"resize":"fit"},"large":{"w":220,"h":122,"resize":"fit"},"thumb":{"w":122,"h":122,"resize":"crop"}}}]}</t>
  </si>
  <si>
    <t>1521068051751477249</t>
  </si>
  <si>
    <t>Mon May 02 10:04:18 +0000 2022</t>
  </si>
  <si>
    <t>http://twitter.com/stardancerMike/statuses/1521068051751477249</t>
  </si>
  <si>
    <t>1521067952887447552</t>
  </si>
  <si>
    <t>allanwales2</t>
  </si>
  <si>
    <t>Mon May 02 10:03:54 +0000 2022</t>
  </si>
  <si>
    <t>1423556738</t>
  </si>
  <si>
    <t>http://pbs.twimg.com/profile_images/668426723688476672/iJRLJ0MU_normal.png</t>
  </si>
  <si>
    <t>http://twitter.com/allanwales2/statuses/1521067952887447552</t>
  </si>
  <si>
    <t>1521067941810290689</t>
  </si>
  <si>
    <t>detemple</t>
  </si>
  <si>
    <t>I ordered a wooly blanket from UK, could as well have burnt the money. What a clusterfuck.
#brexit</t>
  </si>
  <si>
    <t>Mon May 02 10:03:52 +0000 2022</t>
  </si>
  <si>
    <t>19590930</t>
  </si>
  <si>
    <t>http://pbs.twimg.com/profile_images/3572281901/9ab9bf4cdb6e37ec2f11de6c852bd60c_normal.jpeg</t>
  </si>
  <si>
    <t>48.847095,2.311192</t>
  </si>
  <si>
    <t>http://twitter.com/detemple/statuses/1521067941810290689</t>
  </si>
  <si>
    <t>{"hashtags":[{"text":"brexit","indices":[91,98]}],"symbols":[],"user_mentions":[],"urls":[]}</t>
  </si>
  <si>
    <t>1521067864777805824</t>
  </si>
  <si>
    <t>CarlMurx</t>
  </si>
  <si>
    <t>@AlexE1789 @British_Airways #brexit now</t>
  </si>
  <si>
    <t>Mon May 02 10:03:33 +0000 2022</t>
  </si>
  <si>
    <t>949978384045608961</t>
  </si>
  <si>
    <t>AlexE1789</t>
  </si>
  <si>
    <t>556189395</t>
  </si>
  <si>
    <t>1521067650130010116</t>
  </si>
  <si>
    <t>http://pbs.twimg.com/profile_images/1325396569240313856/rQoCJTkh_normal.jpg</t>
  </si>
  <si>
    <t>http://twitter.com/CarlMurx/statuses/1521067864777805824</t>
  </si>
  <si>
    <t>{"hashtags":[{"text":"brexit","indices":[28,35]}],"symbols":[],"user_mentions":[{"screen_name":"AlexE1789","name":"Alex 🗽","id":949978384045609000,"id_str":"949978384045608961","indices":[0,10]},{"screen_name":"British_Airways","name":"British Airways","id":18332190,"id_str":"18332190","indices":[11,27]}],"urls":[]}</t>
  </si>
  <si>
    <t>1521067800718151680</t>
  </si>
  <si>
    <t>HoratioAlger15</t>
  </si>
  <si>
    <t>Mon May 02 10:03:18 +0000 2022</t>
  </si>
  <si>
    <t>1320368491309006849</t>
  </si>
  <si>
    <t>http://pbs.twimg.com/profile_images/1497274967846703111/lbbIO1kW_normal.jpg</t>
  </si>
  <si>
    <t>A Town Called Misery 🇬🇧</t>
  </si>
  <si>
    <t>http://twitter.com/HoratioAlger15/statuses/1521067800718151680</t>
  </si>
  <si>
    <t>1521067800332488706</t>
  </si>
  <si>
    <t>IndyVoices</t>
  </si>
  <si>
    <t>The UK cannot strengthen Nato while waging a trade war with the EU | @IndyPolitics https://t.co/W5OSboJVGf #Brexit #NATO</t>
  </si>
  <si>
    <t>270569708</t>
  </si>
  <si>
    <t>&lt;a href="https://about.twitter.com/products/tweetdeck" rel="nofollow"&gt;TweetDeck&lt;/a&gt;</t>
  </si>
  <si>
    <t>http://pbs.twimg.com/profile_images/879322071242768384/HGBSzEku_normal.jpg</t>
  </si>
  <si>
    <t>http://twitter.com/IndyVoices/statuses/1521067800332488706</t>
  </si>
  <si>
    <t>{"hashtags":[{"text":"Brexit","indices":[107,114]},{"text":"NATO","indices":[115,120]}],"symbols":[],"user_mentions":[{"screen_name":"IndyPolitics","name":"Indy Politics","id":31105169,"id_str":"31105169","indices":[69,82]}],"urls":[{"url":"https://t.co/W5OSboJVGf","expanded_url":"https://bit.ly/38Kithe","display_url":"bit.ly/38Kithe","indices":[83,106]}]}</t>
  </si>
  <si>
    <t>1521067716869771264</t>
  </si>
  <si>
    <t>Mags12180076</t>
  </si>
  <si>
    <t>Mon May 02 10:02:58 +0000 2022</t>
  </si>
  <si>
    <t>1863070818</t>
  </si>
  <si>
    <t>http://pbs.twimg.com/profile_images/378800000455057760/c38a038d1f69543d394cf0989f5ab9ed_normal.jpeg</t>
  </si>
  <si>
    <t>http://twitter.com/Mags12180076/statuses/1521067716869771264</t>
  </si>
  <si>
    <t>1521067704509161474</t>
  </si>
  <si>
    <t>etkwebster</t>
  </si>
  <si>
    <t>Mon May 02 10:02:55 +0000 2022</t>
  </si>
  <si>
    <t>1025438262666698752</t>
  </si>
  <si>
    <t>http://pbs.twimg.com/profile_images/1492792594681716736/1wI-rrCc_normal.jpg</t>
  </si>
  <si>
    <t>Occupied nation of Scotland</t>
  </si>
  <si>
    <t>http://twitter.com/etkwebster/statuses/1521067704509161474</t>
  </si>
  <si>
    <t>1521067690135326721</t>
  </si>
  <si>
    <t>NorthDorset4Eur</t>
  </si>
  <si>
    <t>Mon May 02 10:02:52 +0000 2022</t>
  </si>
  <si>
    <t>623692427</t>
  </si>
  <si>
    <t>http://pbs.twimg.com/profile_images/1507322407123656711/E8_HIRbu_normal.jpg</t>
  </si>
  <si>
    <t>South West, England</t>
  </si>
  <si>
    <t>http://twitter.com/NorthDorset4Eur/statuses/1521067690135326721</t>
  </si>
  <si>
    <t>1521067678873665536</t>
  </si>
  <si>
    <t>bardofely</t>
  </si>
  <si>
    <t>#Brexit is #Trending but not for good reasons! In #Portugal &amp;amp; other EU countries it has really messed up postal deliveries to &amp;amp; from the UK. Now we have long delays, bureaucracy and expensive Customs Clearance charges on top of delivery costs. It's a mess! https://t.co/STjcn7COZQ</t>
  </si>
  <si>
    <t>Mon May 02 10:02:49 +0000 2022</t>
  </si>
  <si>
    <t>23306308</t>
  </si>
  <si>
    <t>http://pbs.twimg.com/profile_images/1505255331907125250/oco4SGup_normal.jpg</t>
  </si>
  <si>
    <t>Lisbon, Portugal</t>
  </si>
  <si>
    <t>http://twitter.com/bardofely/statuses/1521067678873665536</t>
  </si>
  <si>
    <t>{"hashtags":[{"text":"Brexit","indices":[0,7]},{"text":"Trending","indices":[11,20]},{"text":"Portugal","indices":[50,59]}],"symbols":[],"user_mentions":[],"urls":[{"url":"https://t.co/STjcn7COZQ","expanded_url":"https://www.theportugalnews.com/news/2021-10-06/half-a-million-packages-stuck-with-ctt/62793","display_url":"theportugalnews.com/news/2021-10-0…","indices":[265,288]}]}</t>
  </si>
  <si>
    <t>1521067647936344064</t>
  </si>
  <si>
    <t>DrJackMiller</t>
  </si>
  <si>
    <t>Mon May 02 10:02:41 +0000 2022</t>
  </si>
  <si>
    <t>1289511597447184384</t>
  </si>
  <si>
    <t>http://pbs.twimg.com/profile_images/1289511811751063552/WaH6kMt-_normal.jpg</t>
  </si>
  <si>
    <t>http://twitter.com/DrJackMiller/statuses/1521067647936344064</t>
  </si>
  <si>
    <t>1521067613991940096</t>
  </si>
  <si>
    <t>MaryDoo12255144</t>
  </si>
  <si>
    <t>Mon May 02 10:02:33 +0000 2022</t>
  </si>
  <si>
    <t>859329072454828036</t>
  </si>
  <si>
    <t>http://pbs.twimg.com/profile_images/859337575521275904/zGcvJjEu_normal.jpg</t>
  </si>
  <si>
    <t>Northwich, England</t>
  </si>
  <si>
    <t>http://twitter.com/MaryDoo12255144/statuses/1521067613991940096</t>
  </si>
  <si>
    <t>1521067611584356352</t>
  </si>
  <si>
    <t>AlacantPeter</t>
  </si>
  <si>
    <t>84046106</t>
  </si>
  <si>
    <t>http://pbs.twimg.com/profile_images/1498282373439537152/WzaSsWyB_normal.jpg</t>
  </si>
  <si>
    <t>Alicante, Spain</t>
  </si>
  <si>
    <t>http://twitter.com/AlacantPeter/statuses/1521067611584356352</t>
  </si>
  <si>
    <t>1521067607943782400</t>
  </si>
  <si>
    <t>DavidHeadViews</t>
  </si>
  <si>
    <t>Mon May 02 10:02:32 +0000 2022</t>
  </si>
  <si>
    <t>937019478</t>
  </si>
  <si>
    <t>http://pbs.twimg.com/profile_images/1035203835734773760/gGDgrVpd_normal.jpg</t>
  </si>
  <si>
    <t>http://twitter.com/DavidHeadViews/statuses/1521067607943782400</t>
  </si>
  <si>
    <t>1521067577082093568</t>
  </si>
  <si>
    <t>Mon May 02 10:02:25 +0000 2022</t>
  </si>
  <si>
    <t>http://twitter.com/AlacantPeter/statuses/1521067577082093568</t>
  </si>
  <si>
    <t>1521067472991969281</t>
  </si>
  <si>
    <t>UKandEU</t>
  </si>
  <si>
    <t>👀TUNE IN TOMORROW @ 1pm for the latest Research Insights event!
🎥Featuring @nandosigona @Michaelacbenson @samkinsley @jablonow and @DanielWinc, this session's focus is all about bordering, citizenship and #migration after #Brexit 👇👇
https://t.co/JLZ11hmGFO https://t.co/XpKldgpYCH</t>
  </si>
  <si>
    <t>Mon May 02 10:02:00 +0000 2022</t>
  </si>
  <si>
    <t>2999447739</t>
  </si>
  <si>
    <t>http://pbs.twimg.com/profile_images/1300675257238511622/_Hc1rCNR_normal.jpg</t>
  </si>
  <si>
    <t>Reino Unido</t>
  </si>
  <si>
    <t>http://twitter.com/UKandEU/statuses/1521067472991969281</t>
  </si>
  <si>
    <t>{"hashtags":[{"text":"migration","indices":[206,216]},{"text":"Brexit","indices":[223,230]}],"symbols":[],"user_mentions":[{"screen_name":"nandosigona","name":"Nando Sigona","id":205203605,"id_str":"205203605","indices":[76,88]},{"screen_name":"Michaelacbenson","name":"Professor Michaela Benson","id":421705816,"id_str":"421705816","indices":[89,105]},{"screen_name":"samkinsley","name":"Sam Kinsley","id":87161210,"id_str":"87161210","indices":[106,117]},{"screen_name":"jablonow","name":"Kuba Jabłonowski","id":3438395445,"id_str":"3438395445","indices":[118,127]},{"screen_name":"DanielWinc","name":"Daniel Wincott","id":901735949767454700,"id_str":"901735949767454720","indices":[132,143]}],"urls":[{"url":"https://t.co/JLZ11hmGFO","expanded_url":"https://ukandeu.ac.uk/events/research-insights-bordering-citizenship-and-migration-after-brexit/","display_url":"ukandeu.ac.uk/events/researc…","indices":[235,258]}],"media":[{"id":1517519293486874600,"id_str":"1517519293486874624","indices":[259,282],"media_url":"http://pbs.twimg.com/media/FQ9PwdwWQAAHbf0.jpg","media_url_https":"https://pbs.twimg.com/media/FQ9PwdwWQAAHbf0.jpg","url":"https://t.co/XpKldgpYCH","display_url":"pic.twitter.com/XpKldgpYCH","expanded_url":"https://twitter.com/UKandEU/status/1521067472991969281/photo/1","type":"photo","sizes":{"thumb":{"w":150,"h":150,"resize":"crop"},"large":{"w":1600,"h":900,"resize":"fit"},"small":{"w":680,"h":383,"resize":"fit"},"medium":{"w":1200,"h":675,"resize":"fit"}}}]}</t>
  </si>
  <si>
    <t>1521067441450897410</t>
  </si>
  <si>
    <t>NeilsCub</t>
  </si>
  <si>
    <t>RT @deirdreheenan: In summary #utvdebate 
Party that has been in gov 14 yrs+ standing on platform of delivering “real change”
Party that collapsed Executive in midst of #COVID19 &amp;amp; crippling cost of living crisis, delivered hard #brexit claims they will “build a better future”
Sounds plausible 😬</t>
  </si>
  <si>
    <t>Mon May 02 10:01:52 +0000 2022</t>
  </si>
  <si>
    <t>20762227</t>
  </si>
  <si>
    <t>http://pbs.twimg.com/profile_images/874043652867313664/aoJIyE4B_normal.jpg</t>
  </si>
  <si>
    <t>Belfast</t>
  </si>
  <si>
    <t>http://twitter.com/NeilsCub/statuses/1521067441450897410</t>
  </si>
  <si>
    <t>{"hashtags":[{"text":"utvdebate","indices":[30,40]}],"symbols":[],"user_mentions":[{"screen_name":"deirdreheenan","name":"Deirdre Heenan","id":1149258061,"id_str":"1149258061","indices":[3,17]}],"urls":[]}</t>
  </si>
  <si>
    <t>1521067430512148481</t>
  </si>
  <si>
    <t>Exiled_B</t>
  </si>
  <si>
    <t>Giving people the right to buy 
Wont solve the rising cost of living crisis 
It won't mean building more affordable homes as Thatcher has proved. 
It won't improve the #NHS 
Those elusive #brexit opportunities won't appear 
I rather retain the right to protest</t>
  </si>
  <si>
    <t>Mon May 02 10:01:50 +0000 2022</t>
  </si>
  <si>
    <t>3050315553</t>
  </si>
  <si>
    <t>http://pbs.twimg.com/profile_images/1469631071088218118/gSde5JlV_normal.jpg</t>
  </si>
  <si>
    <t>http://twitter.com/Exiled_B/statuses/1521067430512148481</t>
  </si>
  <si>
    <t>{"hashtags":[{"text":"NHS","indices":[168,172]},{"text":"brexit","indices":[188,195]}],"symbols":[],"user_mentions":[],"urls":[]}</t>
  </si>
  <si>
    <t>1521067373251502080</t>
  </si>
  <si>
    <t>stephelle50</t>
  </si>
  <si>
    <t>Mon May 02 10:01:36 +0000 2022</t>
  </si>
  <si>
    <t>30719754</t>
  </si>
  <si>
    <t>http://pbs.twimg.com/profile_images/1490318687718543362/SsYqUmH1_normal.jpg</t>
  </si>
  <si>
    <t>http://twitter.com/stephelle50/statuses/1521067373251502080</t>
  </si>
  <si>
    <t>1521067365286490112</t>
  </si>
  <si>
    <t>M1JSS</t>
  </si>
  <si>
    <t>Mon May 02 10:01:34 +0000 2022</t>
  </si>
  <si>
    <t>271975708</t>
  </si>
  <si>
    <t>http://pbs.twimg.com/profile_images/1163418348845195264/Pvsrj_27_normal.jpg</t>
  </si>
  <si>
    <t>http://twitter.com/M1JSS/statuses/1521067365286490112</t>
  </si>
  <si>
    <t>1521067353676595201</t>
  </si>
  <si>
    <t>G123Kenny</t>
  </si>
  <si>
    <t>Mon May 02 10:01:31 +0000 2022</t>
  </si>
  <si>
    <t>951454162650353666</t>
  </si>
  <si>
    <t>http://pbs.twimg.com/profile_images/1342387515341287424/bzq-p9E5_normal.jpg</t>
  </si>
  <si>
    <t>Scotland, United Kingdom</t>
  </si>
  <si>
    <t>http://twitter.com/G123Kenny/statuses/1521067353676595201</t>
  </si>
  <si>
    <t>1521067332214431744</t>
  </si>
  <si>
    <t>Mon May 02 10:01:26 +0000 2022</t>
  </si>
  <si>
    <t>http://twitter.com/M1JSS/statuses/1521067332214431744</t>
  </si>
  <si>
    <t>1521067304930496512</t>
  </si>
  <si>
    <t>Mon May 02 10:01:20 +0000 2022</t>
  </si>
  <si>
    <t>http://twitter.com/M1JSS/statuses/1521067304930496512</t>
  </si>
  <si>
    <t>1521067261892730880</t>
  </si>
  <si>
    <t>Shaukat786786</t>
  </si>
  <si>
    <t>Mon May 02 10:01:09 +0000 2022</t>
  </si>
  <si>
    <t>752887369</t>
  </si>
  <si>
    <t>http://twitter.com/Shaukat786786/statuses/1521067261892730880</t>
  </si>
  <si>
    <t>1521067256570159104</t>
  </si>
  <si>
    <t>jonathansnorman</t>
  </si>
  <si>
    <t>Mon May 02 10:01:08 +0000 2022</t>
  </si>
  <si>
    <t>78947897</t>
  </si>
  <si>
    <t>http://pbs.twimg.com/profile_images/460754227371851776/_w3qOZWi_normal.jpeg</t>
  </si>
  <si>
    <t>Farnborough, England</t>
  </si>
  <si>
    <t>http://twitter.com/jonathansnorman/statuses/1521067256570159104</t>
  </si>
  <si>
    <t>1521067232184479744</t>
  </si>
  <si>
    <t>dcpardoe</t>
  </si>
  <si>
    <t>Mon May 02 10:01:02 +0000 2022</t>
  </si>
  <si>
    <t>46386405</t>
  </si>
  <si>
    <t>http://pbs.twimg.com/profile_images/1076875303107133442/B3BH8Re0_normal.jpg</t>
  </si>
  <si>
    <t>Northampton, England</t>
  </si>
  <si>
    <t>http://twitter.com/dcpardoe/statuses/1521067232184479744</t>
  </si>
  <si>
    <t>1521067218309730304</t>
  </si>
  <si>
    <t>Mon May 02 10:00:59 +0000 2022</t>
  </si>
  <si>
    <t>http://twitter.com/Shaukat786786/statuses/1521067218309730304</t>
  </si>
  <si>
    <t>1521067202807488512</t>
  </si>
  <si>
    <t>VishaPhullah</t>
  </si>
  <si>
    <t>Mon May 02 10:00:55 +0000 2022</t>
  </si>
  <si>
    <t>409568934</t>
  </si>
  <si>
    <t>http://pbs.twimg.com/profile_images/907504552974458880/khDu3PLN_normal.jpg</t>
  </si>
  <si>
    <t>http://twitter.com/VishaPhullah/statuses/1521067202807488512</t>
  </si>
  <si>
    <t>1521067192934092804</t>
  </si>
  <si>
    <t>Mehdi_sh2020</t>
  </si>
  <si>
    <t>Mon May 02 10:00:53 +0000 2022</t>
  </si>
  <si>
    <t>3131731311</t>
  </si>
  <si>
    <t>http://pbs.twimg.com/profile_images/1341147257647886342/y1qnQhKa_normal.jpg</t>
  </si>
  <si>
    <t>http://twitter.com/Mehdi_sh2020/statuses/1521067192934092804</t>
  </si>
  <si>
    <t>1521067181324353537</t>
  </si>
  <si>
    <t>Mon May 02 10:00:50 +0000 2022</t>
  </si>
  <si>
    <t>http://twitter.com/VishaPhullah/statuses/1521067181324353537</t>
  </si>
  <si>
    <t>1521067175360057345</t>
  </si>
  <si>
    <t>Mon May 02 10:00:49 +0000 2022</t>
  </si>
  <si>
    <t>http://twitter.com/Shaukat786786/statuses/1521067175360057345</t>
  </si>
  <si>
    <t>1521067135560212482</t>
  </si>
  <si>
    <t>Mon May 02 10:00:39 +0000 2022</t>
  </si>
  <si>
    <t>http://twitter.com/VishaPhullah/statuses/1521067135560212482</t>
  </si>
  <si>
    <t>1521067122318786562</t>
  </si>
  <si>
    <t>Mon May 02 10:00:36 +0000 2022</t>
  </si>
  <si>
    <t>http://twitter.com/Shaukat786786/statuses/1521067122318786562</t>
  </si>
  <si>
    <t>1521067114886488067</t>
  </si>
  <si>
    <t>ruth_humble</t>
  </si>
  <si>
    <t>Mon May 02 10:00:34 +0000 2022</t>
  </si>
  <si>
    <t>309869541</t>
  </si>
  <si>
    <t>http://pbs.twimg.com/profile_images/3191631804/b21b85e9c4238a1f29bec75c167df6af_normal.jpeg</t>
  </si>
  <si>
    <t>http://twitter.com/ruth_humble/statuses/1521067114886488067</t>
  </si>
  <si>
    <t>1521067107475148800</t>
  </si>
  <si>
    <t>Mon May 02 10:00:33 +0000 2022</t>
  </si>
  <si>
    <t>http://twitter.com/VishaPhullah/statuses/1521067107475148800</t>
  </si>
  <si>
    <t>1521067087778795520</t>
  </si>
  <si>
    <t>kipperc50</t>
  </si>
  <si>
    <t>Mon May 02 10:00:28 +0000 2022</t>
  </si>
  <si>
    <t>452945925</t>
  </si>
  <si>
    <t>http://pbs.twimg.com/profile_images/1729444805/Craigavon_bridbe_normal.jpg</t>
  </si>
  <si>
    <t>Eglinton, Northern Ireland</t>
  </si>
  <si>
    <t>http://twitter.com/kipperc50/statuses/1521067087778795520</t>
  </si>
  <si>
    <t>1521067076357701639</t>
  </si>
  <si>
    <t>dickayl</t>
  </si>
  <si>
    <t>RT @EliasMichalas: #bbcnews #itvnews #c4news #5news #skynews #lbc #gbnews #Brexit #BrexitHasFailed #BrexitReality #BrexitDisaster #BrexitShambles #BrexitBritain #ToryCorruption #ToryBritain #ToryLiars #torymps #Conservatives #Labour #libdems https://t.co/NrtWXakOqK</t>
  </si>
  <si>
    <t>Mon May 02 10:00:25 +0000 2022</t>
  </si>
  <si>
    <t>55857901</t>
  </si>
  <si>
    <t>http://pbs.twimg.com/profile_images/1268946860934340609/ehh6juVn_normal.jpg</t>
  </si>
  <si>
    <t>http://twitter.com/dickayl/statuses/1521067076357701639</t>
  </si>
  <si>
    <t>{"hashtags":[{"text":"bbcnews","indices":[19,27]},{"text":"itvnews","indices":[28,36]},{"text":"c4news","indices":[37,44]},{"text":"5news","indices":[45,51]},{"text":"skynews","indices":[52,60]},{"text":"lbc","indices":[61,65]},{"text":"gbnews","indices":[66,73]},{"text":"Brexit","indices":[74,81]},{"text":"BrexitHasFailed","indices":[82,98]},{"text":"BrexitReality","indices":[99,113]},{"text":"BrexitDisaster","indices":[114,129]}],"symbols":[],"user_mentions":[{"screen_name":"EliasMichalas","name":"Elias M. 🏳️‍🌈🇨🇾 🔶️Testes ad Brexitam #FBPE","id":306823427,"id_str":"306823427","indices":[3,17]}],"urls":[]}</t>
  </si>
  <si>
    <t>1521067067067322369</t>
  </si>
  <si>
    <t>Mon May 02 10:00:23 +0000 2022</t>
  </si>
  <si>
    <t>http://twitter.com/Shaukat786786/statuses/1521067067067322369</t>
  </si>
  <si>
    <t>1521067064798199810</t>
  </si>
  <si>
    <t>Mon May 02 10:00:22 +0000 2022</t>
  </si>
  <si>
    <t>http://twitter.com/dcpardoe/statuses/1521067064798199810</t>
  </si>
  <si>
    <t>1521067060356333568</t>
  </si>
  <si>
    <t>Mon May 02 10:00:21 +0000 2022</t>
  </si>
  <si>
    <t>http://twitter.com/JohnHurr/statuses/1521067060356333568</t>
  </si>
  <si>
    <t>1521067058603212801</t>
  </si>
  <si>
    <t>thelastaerie</t>
  </si>
  <si>
    <t>51412274</t>
  </si>
  <si>
    <t>http://pbs.twimg.com/profile_images/1285927369702768640/CR-gWGuB_normal.jpg</t>
  </si>
  <si>
    <t>http://twitter.com/thelastaerie/statuses/1521067058603212801</t>
  </si>
  <si>
    <t>1521067053796495361</t>
  </si>
  <si>
    <t>Mon May 02 10:00:20 +0000 2022</t>
  </si>
  <si>
    <t>http://twitter.com/ruth_humble/statuses/1521067053796495361</t>
  </si>
  <si>
    <t>1521066986314346496</t>
  </si>
  <si>
    <t>scotlandbest</t>
  </si>
  <si>
    <t>Mon May 02 10:00:04 +0000 2022</t>
  </si>
  <si>
    <t>348988815</t>
  </si>
  <si>
    <t>http://pbs.twimg.com/profile_images/1026365377813643264/aBUYewY__normal.jpg</t>
  </si>
  <si>
    <t>http://twitter.com/scotlandbest/statuses/1521066986314346496</t>
  </si>
  <si>
    <t>1521066971948855296</t>
  </si>
  <si>
    <t>Gwentforeurope</t>
  </si>
  <si>
    <t>Mon May 02 10:00:00 +0000 2022</t>
  </si>
  <si>
    <t>768378407214252032</t>
  </si>
  <si>
    <t>http://pbs.twimg.com/profile_images/1352979252254277635/rNahKhYy_normal.jpg</t>
  </si>
  <si>
    <t>http://twitter.com/Gwentforeurope/statuses/1521066971948855296</t>
  </si>
  <si>
    <t>1521066971600769025</t>
  </si>
  <si>
    <t>http://twitter.com/VishaPhullah/statuses/1521066971600769025</t>
  </si>
  <si>
    <t>1521066968664743941</t>
  </si>
  <si>
    <t>tucker_sharon</t>
  </si>
  <si>
    <t>3387790546</t>
  </si>
  <si>
    <t>http://pbs.twimg.com/profile_images/1457987399955386370/M4YkJVvr_normal.jpg</t>
  </si>
  <si>
    <t>West Kirby, Wirral</t>
  </si>
  <si>
    <t>http://twitter.com/tucker_sharon/statuses/1521066968664743941</t>
  </si>
  <si>
    <t>1521066955586867203</t>
  </si>
  <si>
    <t>cook_ythink</t>
  </si>
  <si>
    <t>Mon May 02 09:59:56 +0000 2022</t>
  </si>
  <si>
    <t>895046365</t>
  </si>
  <si>
    <t>http://pbs.twimg.com/profile_images/1253029507767906304/4iPbKjMF_normal.jpg</t>
  </si>
  <si>
    <t>North West, England</t>
  </si>
  <si>
    <t>http://twitter.com/cook_ythink/statuses/1521066955586867203</t>
  </si>
  <si>
    <t>1521066950046138368</t>
  </si>
  <si>
    <t>Mon May 02 09:59:55 +0000 2022</t>
  </si>
  <si>
    <t>http://twitter.com/ruth_humble/statuses/1521066950046138368</t>
  </si>
  <si>
    <t>1521066934741213191</t>
  </si>
  <si>
    <t>Mon May 02 09:59:51 +0000 2022</t>
  </si>
  <si>
    <t>http://twitter.com/tucker_sharon/statuses/1521066934741213191</t>
  </si>
  <si>
    <t>1521066912888860673</t>
  </si>
  <si>
    <t>DrGLonergan</t>
  </si>
  <si>
    <t>RT @TheSocReview: Timely #Brexit insights from scholars @nandosigona, @Catherineruth and @Michaelacbenson, The Sociological Review Foundation's Chief Executive. 
@LSEEI @LSEnews https://t.co/sXYleZUFLw</t>
  </si>
  <si>
    <t>Mon May 02 09:59:46 +0000 2022</t>
  </si>
  <si>
    <t>851533147237953536</t>
  </si>
  <si>
    <t>http://pbs.twimg.com/profile_images/851555325283098624/ZE-pSsXo_normal.jpg</t>
  </si>
  <si>
    <t>http://twitter.com/DrGLonergan/statuses/1521066912888860673</t>
  </si>
  <si>
    <t>{"hashtags":[{"text":"Brexit","indices":[25,32]}],"symbols":[],"user_mentions":[{"screen_name":"TheSocReview","name":"The Sociological Review","id":1927411670,"id_str":"1927411670","indices":[3,16]},{"screen_name":"nandosigona","name":"Nando Sigona","id":205203605,"id_str":"205203605","indices":[56,68]},{"screen_name":"Catherineruth","name":"Catherine Craven","id":27510912,"id_str":"27510912","indices":[70,84]},{"screen_name":"Michaelacbenson","name":"Professor Michaela Benson","id":421705816,"id_str":"421705816","indices":[89,105]}],"urls":[]}</t>
  </si>
  <si>
    <t>1521066905385291776</t>
  </si>
  <si>
    <t>blucienwilliams</t>
  </si>
  <si>
    <t>Mon May 02 09:59:44 +0000 2022</t>
  </si>
  <si>
    <t>2158842633</t>
  </si>
  <si>
    <t>http://pbs.twimg.com/profile_images/1486039934049964040/xjd3T12I_normal.jpg</t>
  </si>
  <si>
    <t>http://twitter.com/blucienwilliams/statuses/1521066905385291776</t>
  </si>
  <si>
    <t>1521066896900112385</t>
  </si>
  <si>
    <t>Mon May 02 09:59:42 +0000 2022</t>
  </si>
  <si>
    <t>http://twitter.com/Gwentforeurope/statuses/1521066896900112385</t>
  </si>
  <si>
    <t>1521066837131337731</t>
  </si>
  <si>
    <t>SportIntegrity</t>
  </si>
  <si>
    <t>Mon May 02 09:59:28 +0000 2022</t>
  </si>
  <si>
    <t>28362717</t>
  </si>
  <si>
    <t>http://pbs.twimg.com/profile_images/118794790/SI_logo_only_normal.jpg</t>
  </si>
  <si>
    <t>http://twitter.com/SportIntegrity/statuses/1521066837131337731</t>
  </si>
  <si>
    <t>1521066764909559811</t>
  </si>
  <si>
    <t>paolobolzoni</t>
  </si>
  <si>
    <t>Mon May 02 09:59:11 +0000 2022</t>
  </si>
  <si>
    <t>145626984</t>
  </si>
  <si>
    <t>&lt;a href="http://itunes.apple.com/us/app/twitter/id409789998?mt=12" rel="nofollow"&gt;Twitter for Mac&lt;/a&gt;</t>
  </si>
  <si>
    <t>http://pbs.twimg.com/profile_images/1339892929209446400/HbT9t4iU_normal.jpg</t>
  </si>
  <si>
    <t>Maastricht, Netherlands</t>
  </si>
  <si>
    <t>http://twitter.com/paolobolzoni/statuses/1521066764909559811</t>
  </si>
  <si>
    <t>1521066759511588865</t>
  </si>
  <si>
    <t>Mon May 02 09:59:10 +0000 2022</t>
  </si>
  <si>
    <t>http://twitter.com/Gwentforeurope/statuses/1521066759511588865</t>
  </si>
  <si>
    <t>1521066715907567616</t>
  </si>
  <si>
    <t>FranNantongwe</t>
  </si>
  <si>
    <t>Mon May 02 09:58:59 +0000 2022</t>
  </si>
  <si>
    <t>440722421</t>
  </si>
  <si>
    <t>http://pbs.twimg.com/profile_images/1482397110733611018/aGjG6aHB_normal.jpg</t>
  </si>
  <si>
    <t>Norwich South, UK</t>
  </si>
  <si>
    <t>http://twitter.com/FranNantongwe/statuses/1521066715907567616</t>
  </si>
  <si>
    <t>1521066671846350848</t>
  </si>
  <si>
    <t>Mon May 02 09:58:49 +0000 2022</t>
  </si>
  <si>
    <t>http://twitter.com/ruth_humble/statuses/1521066671846350848</t>
  </si>
  <si>
    <t>1521066661138382848</t>
  </si>
  <si>
    <t>socialmissfit3</t>
  </si>
  <si>
    <t>Mon May 02 09:58:46 +0000 2022</t>
  </si>
  <si>
    <t>4877144999</t>
  </si>
  <si>
    <t>http://pbs.twimg.com/profile_images/1345133353725554688/5-PBwd7A_normal.jpg</t>
  </si>
  <si>
    <t>South East, England</t>
  </si>
  <si>
    <t>http://twitter.com/socialmissfit3/statuses/1521066661138382848</t>
  </si>
  <si>
    <t>1521066589503766528</t>
  </si>
  <si>
    <t>Brasfort49</t>
  </si>
  <si>
    <t>Mon May 02 09:58:29 +0000 2022</t>
  </si>
  <si>
    <t>710456808754843648</t>
  </si>
  <si>
    <t>&lt;a href="http://tapbots.com/tweetbot" rel="nofollow"&gt;Tweetbot for iΟS&lt;/a&gt;</t>
  </si>
  <si>
    <t>http://pbs.twimg.com/profile_images/880747679751573504/hOAsQ1yS_normal.jpg</t>
  </si>
  <si>
    <t>London SW, England</t>
  </si>
  <si>
    <t>http://twitter.com/Brasfort49/statuses/1521066589503766528</t>
  </si>
  <si>
    <t>1521066580414808064</t>
  </si>
  <si>
    <t>Mon May 02 09:58:27 +0000 2022</t>
  </si>
  <si>
    <t>http://twitter.com/M1JSS/statuses/1521066580414808064</t>
  </si>
  <si>
    <t>1521066569874432000</t>
  </si>
  <si>
    <t>Mon May 02 09:58:24 +0000 2022</t>
  </si>
  <si>
    <t>http://twitter.com/ruth_humble/statuses/1521066569874432000</t>
  </si>
  <si>
    <t>1521066567789907968</t>
  </si>
  <si>
    <t>johnandi</t>
  </si>
  <si>
    <t>419757788</t>
  </si>
  <si>
    <t>http://pbs.twimg.com/profile_images/2266745256/x97gc41xrjkl77olfb5y_normal.jpeg</t>
  </si>
  <si>
    <t>Cornwall.</t>
  </si>
  <si>
    <t>http://twitter.com/johnandi/statuses/1521066567789907968</t>
  </si>
  <si>
    <t>1521066536609460224</t>
  </si>
  <si>
    <t>Mon May 02 09:58:17 +0000 2022</t>
  </si>
  <si>
    <t>http://twitter.com/M1JSS/statuses/1521066536609460224</t>
  </si>
  <si>
    <t>1521066513696018432</t>
  </si>
  <si>
    <t>ajgreen62</t>
  </si>
  <si>
    <t>Mon May 02 09:58:11 +0000 2022</t>
  </si>
  <si>
    <t>1513170702827982849</t>
  </si>
  <si>
    <t>http://pbs.twimg.com/profile_images/1513171071176003585/MNFBOtZB_normal.jpg</t>
  </si>
  <si>
    <t>http://twitter.com/ajgreen62/statuses/1521066513696018432</t>
  </si>
  <si>
    <t>1521066498869149697</t>
  </si>
  <si>
    <t>McParlinStephen</t>
  </si>
  <si>
    <t>Mon May 02 09:58:08 +0000 2022</t>
  </si>
  <si>
    <t>2512549282</t>
  </si>
  <si>
    <t>http://pbs.twimg.com/profile_images/789185377462423552/jXHxf4T9_normal.jpg</t>
  </si>
  <si>
    <t>Farnham, Surrey</t>
  </si>
  <si>
    <t>http://twitter.com/McParlinStephen/statuses/1521066498869149697</t>
  </si>
  <si>
    <t>1521066498277662721</t>
  </si>
  <si>
    <t>41below</t>
  </si>
  <si>
    <t>Mon May 02 09:58:07 +0000 2022</t>
  </si>
  <si>
    <t>22807980</t>
  </si>
  <si>
    <t>http://pbs.twimg.com/profile_images/1479108425/evil_muppets_normal.jpg</t>
  </si>
  <si>
    <t>london</t>
  </si>
  <si>
    <t>http://twitter.com/41below/statuses/1521066498277662721</t>
  </si>
  <si>
    <t>1521066449586077697</t>
  </si>
  <si>
    <t>Mon May 02 09:57:56 +0000 2022</t>
  </si>
  <si>
    <t>http://twitter.com/ajgreen62/statuses/1521066449586077697</t>
  </si>
  <si>
    <t>1521066416874700801</t>
  </si>
  <si>
    <t>DbAshby</t>
  </si>
  <si>
    <t>@rainie1410 @kilt_walker21 @Record_Politics That argument is totally ignored by WM despite it being the one the UKIP/BNP government used for #Brexit.</t>
  </si>
  <si>
    <t>Mon May 02 09:57:48 +0000 2022</t>
  </si>
  <si>
    <t>32399945</t>
  </si>
  <si>
    <t>rainie1410</t>
  </si>
  <si>
    <t>1626325842</t>
  </si>
  <si>
    <t>1521049413271138304</t>
  </si>
  <si>
    <t>http://pbs.twimg.com/profile_images/1352192992149446662/BscT_CmY_normal.jpg</t>
  </si>
  <si>
    <t>Cheshire</t>
  </si>
  <si>
    <t>http://twitter.com/DbAshby/statuses/1521066416874700801</t>
  </si>
  <si>
    <t>{"hashtags":[{"text":"Brexit","indices":[141,148]}],"symbols":[],"user_mentions":[{"screen_name":"rainie1410","name":"Lorraine Bell🏴󠁧󠁢󠁳󠁣󠁴󠁿🏴󠁧󠁢󠁷󠁬󠁳󠁿🇮🇪🇺🇦","id":32399945,"id_str":"32399945","indices":[0,11]},{"screen_name":"kilt_walker21","name":"🏴󠁧󠁢󠁳󠁣󠁴󠁿KirstyWirsty 🏴󠁧󠁢󠁳󠁣󠁴󠁿","id":853561893579087900,"id_str":"853561893579087872","indices":[12,26]},{"screen_name":"Record_Politics","name":"Record Politics","id":2373613626,"id_str":"2373613626","indices":[27,43]}],"urls":[]}</t>
  </si>
  <si>
    <t>1521066406636314626</t>
  </si>
  <si>
    <t>Mon May 02 09:57:46 +0000 2022</t>
  </si>
  <si>
    <t>http://twitter.com/ajgreen62/statuses/1521066406636314626</t>
  </si>
  <si>
    <t>1521066338088853504</t>
  </si>
  <si>
    <t>JoPeacock16</t>
  </si>
  <si>
    <t>Mon May 02 09:57:29 +0000 2022</t>
  </si>
  <si>
    <t>1497648768992399361</t>
  </si>
  <si>
    <t>http://pbs.twimg.com/profile_images/1501462007710724101/1xj_Qtve_normal.jpg</t>
  </si>
  <si>
    <t>Manchester, England</t>
  </si>
  <si>
    <t>http://twitter.com/JoPeacock16/statuses/1521066338088853504</t>
  </si>
  <si>
    <t>1521066319973605376</t>
  </si>
  <si>
    <t>RichardBentall</t>
  </si>
  <si>
    <t>Mon May 02 09:57:25 +0000 2022</t>
  </si>
  <si>
    <t>1686105852</t>
  </si>
  <si>
    <t>http://pbs.twimg.com/profile_images/1497692711977209859/Gb9y-KGx_normal.jpg</t>
  </si>
  <si>
    <t>Liverpool, England</t>
  </si>
  <si>
    <t>http://twitter.com/RichardBentall/statuses/1521066319973605376</t>
  </si>
  <si>
    <t>1521066318274908160</t>
  </si>
  <si>
    <t>markpougatch</t>
  </si>
  <si>
    <t>Mon May 02 09:57:24 +0000 2022</t>
  </si>
  <si>
    <t>105486615</t>
  </si>
  <si>
    <t>http://pbs.twimg.com/profile_images/1519299043133956096/UvVm8wiA_normal.jpg</t>
  </si>
  <si>
    <t>Itinerant</t>
  </si>
  <si>
    <t>http://twitter.com/markpougatch/statuses/1521066318274908160</t>
  </si>
  <si>
    <t>1521066293016809472</t>
  </si>
  <si>
    <t>isofarro</t>
  </si>
  <si>
    <t>Mon May 02 09:57:18 +0000 2022</t>
  </si>
  <si>
    <t>15039921</t>
  </si>
  <si>
    <t>http://pbs.twimg.com/profile_images/883012441239678976/0NGq1mpE_normal.jpg</t>
  </si>
  <si>
    <t>London, UK</t>
  </si>
  <si>
    <t>http://twitter.com/isofarro/statuses/1521066293016809472</t>
  </si>
  <si>
    <t>1521066265590345728</t>
  </si>
  <si>
    <t>jagxjr40</t>
  </si>
  <si>
    <t>Mon May 02 09:57:12 +0000 2022</t>
  </si>
  <si>
    <t>1264294789</t>
  </si>
  <si>
    <t>http://twitter.com/jagxjr40/statuses/1521066265590345728</t>
  </si>
  <si>
    <t>1521066183499337728</t>
  </si>
  <si>
    <t>Jones_No6</t>
  </si>
  <si>
    <t>@YeovilVoter @MarcherMedia1 @ggbourne And this is one of the reason we have #Brexit. Some people should not be given the vote as they are obviously a danger to themselves and others🤦‍♂️</t>
  </si>
  <si>
    <t>Mon May 02 09:56:52 +0000 2022</t>
  </si>
  <si>
    <t>1057731846736412676</t>
  </si>
  <si>
    <t>YeovilVoter</t>
  </si>
  <si>
    <t>815633623768584194</t>
  </si>
  <si>
    <t>1520804606833532928</t>
  </si>
  <si>
    <t>Rhondda</t>
  </si>
  <si>
    <t>http://twitter.com/Jones_No6/statuses/1521066183499337728</t>
  </si>
  <si>
    <t>{"hashtags":[{"text":"Brexit","indices":[76,83]}],"symbols":[],"user_mentions":[{"screen_name":"YeovilVoter","name":"Yeovil_Voter 🇬🇧➡️🇸🇯🇨🇭🇮🇸🇱🇮","id":1057731846736412700,"id_str":"1057731846736412676","indices":[0,12]},{"screen_name":"MarcherMedia1","name":"#Marcher","id":1468967727238828000,"id_str":"1468967727238828036","indices":[13,27]},{"screen_name":"ggbourne","name":"Gareth 🌻","id":12319722,"id_str":"12319722","indices":[28,37]}],"urls":[]}</t>
  </si>
  <si>
    <t>1521066180399837184</t>
  </si>
  <si>
    <t>Slots_o_fun</t>
  </si>
  <si>
    <t>91845785</t>
  </si>
  <si>
    <t>http://pbs.twimg.com/profile_images/1219875518591504384/44tiW5bX_normal.jpg</t>
  </si>
  <si>
    <t>that London</t>
  </si>
  <si>
    <t>http://twitter.com/Slots_o_fun/statuses/1521066180399837184</t>
  </si>
  <si>
    <t>1521066160703385600</t>
  </si>
  <si>
    <t>Mon May 02 09:56:47 +0000 2022</t>
  </si>
  <si>
    <t>http://twitter.com/Slots_o_fun/statuses/1521066160703385600</t>
  </si>
  <si>
    <t>1521066121612472321</t>
  </si>
  <si>
    <t>graemelesaux14</t>
  </si>
  <si>
    <t>Mon May 02 09:56:38 +0000 2022</t>
  </si>
  <si>
    <t>216978882</t>
  </si>
  <si>
    <t>http://pbs.twimg.com/profile_images/682933692419956736/gA7RPSD9_normal.jpg</t>
  </si>
  <si>
    <t>Surrey</t>
  </si>
  <si>
    <t>http://twitter.com/graemelesaux14/statuses/1521066121612472321</t>
  </si>
  <si>
    <t>1521066079925252097</t>
  </si>
  <si>
    <t>WestonGrockle</t>
  </si>
  <si>
    <t>Mon May 02 09:56:28 +0000 2022</t>
  </si>
  <si>
    <t>1426487225986977795</t>
  </si>
  <si>
    <t>http://pbs.twimg.com/profile_images/1500380488686522368/MICHI078_normal.jpg</t>
  </si>
  <si>
    <t>http://twitter.com/WestonGrockle/statuses/1521066079925252097</t>
  </si>
  <si>
    <t>1521066018889736193</t>
  </si>
  <si>
    <t>Merlin54977538</t>
  </si>
  <si>
    <t>RT @Facts4euOrg: EU hypocrisy alert. Remember all the stories about pushing migrant boats back being illegal…? 
It turns out it’s the EU and the Greeks who seem to have been breaking the law. For your #Brexit revelations click here: https://t.co/qSrtnIa8C1 https://t.co/aWwwdLwxPy</t>
  </si>
  <si>
    <t>Mon May 02 09:56:13 +0000 2022</t>
  </si>
  <si>
    <t>1192413605578317825</t>
  </si>
  <si>
    <t>http://pbs.twimg.com/profile_images/1192804668096876545/sE-0O1W4_normal.jpg</t>
  </si>
  <si>
    <t>http://twitter.com/Merlin54977538/statuses/1521066018889736193</t>
  </si>
  <si>
    <t>1521065974010683394</t>
  </si>
  <si>
    <t>Iamegriff</t>
  </si>
  <si>
    <t>Mon May 02 09:56:02 +0000 2022</t>
  </si>
  <si>
    <t>1309116032641101825</t>
  </si>
  <si>
    <t>http://pbs.twimg.com/profile_images/1309171350616113164/FN1627RM_normal.jpg</t>
  </si>
  <si>
    <t xml:space="preserve">United Kingdom... just </t>
  </si>
  <si>
    <t>http://twitter.com/Iamegriff/statuses/1521065974010683394</t>
  </si>
  <si>
    <t>1521065913633624065</t>
  </si>
  <si>
    <t>MrShodijo</t>
  </si>
  <si>
    <t>RT @shilen_rajani: @Anna_Soubry As always you are absolutely right. #Brexit was always an ideological dream for likes of Johnson etc. The foundation of #Brexit was always lies. Since #Brexit this govt has systematically taken away our democratic rights ie policing Bill &amp;amp; next to remove our human rights</t>
  </si>
  <si>
    <t>Mon May 02 09:55:48 +0000 2022</t>
  </si>
  <si>
    <t>101496934</t>
  </si>
  <si>
    <t>http://pbs.twimg.com/profile_images/1167348497/5_Years_normal.jpg</t>
  </si>
  <si>
    <t>http://twitter.com/MrShodijo/statuses/1521065913633624065</t>
  </si>
  <si>
    <t>{"hashtags":[{"text":"Brexit","indices":[68,75]}],"symbols":[],"user_mentions":[{"screen_name":"shilen_rajani","name":"SR","id":783999060407640000,"id_str":"783999060407640068","indices":[3,17]},{"screen_name":"Anna_Soubry","name":"Anna Soubry","id":326184301,"id_str":"326184301","indices":[19,31]}],"urls":[]}</t>
  </si>
  <si>
    <t>1521065875234775045</t>
  </si>
  <si>
    <t>Geoffreytsmith</t>
  </si>
  <si>
    <t>RT @tom_tomrayner: It’s a pity the government wasn’t interested in tackling Russian troll farms when they were pushing out lies and propaganda in favour of #Brexit. https://t.co/UvHEHxJ1LF</t>
  </si>
  <si>
    <t>Mon May 02 09:55:39 +0000 2022</t>
  </si>
  <si>
    <t>339831705</t>
  </si>
  <si>
    <t>http://pbs.twimg.com/profile_images/428946684312170496/JhiJB2NG_normal.jpeg</t>
  </si>
  <si>
    <t>Frankfurt, Hesse</t>
  </si>
  <si>
    <t>http://twitter.com/Geoffreytsmith/statuses/1521065875234775045</t>
  </si>
  <si>
    <t>{"hashtags":[],"symbols":[],"user_mentions":[{"screen_name":"tom_tomrayner","name":"Tom Rayner","id":2908001207,"id_str":"2908001207","indices":[3,17]}],"urls":[]}</t>
  </si>
  <si>
    <t>1521065854082891776</t>
  </si>
  <si>
    <t>toadovision</t>
  </si>
  <si>
    <t>Mon May 02 09:55:34 +0000 2022</t>
  </si>
  <si>
    <t>552294855</t>
  </si>
  <si>
    <t>http://pbs.twimg.com/profile_images/2117127147/image_normal.jpg</t>
  </si>
  <si>
    <t>West Russia, Torystan</t>
  </si>
  <si>
    <t>http://twitter.com/toadovision/statuses/1521065854082891776</t>
  </si>
  <si>
    <t>1521065831509401600</t>
  </si>
  <si>
    <t>Mon May 02 09:55:28 +0000 2022</t>
  </si>
  <si>
    <t>http://twitter.com/toadovision/statuses/1521065831509401600</t>
  </si>
  <si>
    <t>1521065826740277249</t>
  </si>
  <si>
    <t>kjmarsh</t>
  </si>
  <si>
    <t>Mon May 02 09:55:27 +0000 2022</t>
  </si>
  <si>
    <t>6573342</t>
  </si>
  <si>
    <t>http://pbs.twimg.com/profile_images/666573784531533825/3JxpayUh_normal.jpg</t>
  </si>
  <si>
    <t>http://twitter.com/kjmarsh/statuses/1521065826740277249</t>
  </si>
  <si>
    <t>1521065774659653635</t>
  </si>
  <si>
    <t>tom_tomrayner</t>
  </si>
  <si>
    <t>It’s a pity the government wasn’t interested in tackling Russian troll farms when they were pushing out lies and propaganda in favour of #Brexit. https://t.co/UvHEHxJ1LF</t>
  </si>
  <si>
    <t>Mon May 02 09:55:15 +0000 2022</t>
  </si>
  <si>
    <t>2908001207</t>
  </si>
  <si>
    <t>http://pbs.twimg.com/profile_images/1458103177870516249/uOKbodib_normal.jpg</t>
  </si>
  <si>
    <t>http://twitter.com/tom_tomrayner/statuses/1521065774659653635</t>
  </si>
  <si>
    <t>{"hashtags":[{"text":"Brexit","indices":[137,144]}],"symbols":[],"user_mentions":[],"urls":[{"url":"https://t.co/UvHEHxJ1LF","expanded_url":"https://inews.co.uk/news/huge-russian-troll-farm-disused-factory-spreading-disinformation-social-media-1605318","display_url":"inews.co.uk/news/huge-russ…","indices":[146,169]}]}</t>
  </si>
  <si>
    <t>1521065773388767234</t>
  </si>
  <si>
    <t>caz5697</t>
  </si>
  <si>
    <t>1264459209405579271</t>
  </si>
  <si>
    <t>http://pbs.twimg.com/profile_images/1324752202725007360/C6vFj279_normal.jpg</t>
  </si>
  <si>
    <t>http://twitter.com/caz5697/statuses/1521065773388767234</t>
  </si>
  <si>
    <t>1521065771228712960</t>
  </si>
  <si>
    <t>Familist</t>
  </si>
  <si>
    <t>Mon May 02 09:55:14 +0000 2022</t>
  </si>
  <si>
    <t>125145899</t>
  </si>
  <si>
    <t>http://pbs.twimg.com/profile_images/820180438690004992/CYyc9y_L_normal.jpg</t>
  </si>
  <si>
    <t>http://twitter.com/Familist/statuses/1521065771228712960</t>
  </si>
  <si>
    <t>1521065738303381504</t>
  </si>
  <si>
    <t>AleksandarGodic</t>
  </si>
  <si>
    <t>Mon May 02 09:55:06 +0000 2022</t>
  </si>
  <si>
    <t>1249355097118826496</t>
  </si>
  <si>
    <t>http://pbs.twimg.com/profile_images/1309576876055310336/zKoSLPtp_normal.jpg</t>
  </si>
  <si>
    <t>http://twitter.com/AleksandarGodic/statuses/1521065738303381504</t>
  </si>
  <si>
    <t>1521065729897947137</t>
  </si>
  <si>
    <t>infamousgrouser</t>
  </si>
  <si>
    <t>RT @cmackinlay: Good luck with that. Sounds like the bitter end of national democracies, the sending of troops to war under #EU direction &amp;amp; with no further vetoes nothing any of the remaining member states can do about it or much else besides. Thank heavens for #Brexit. We won’t be the last. https://t.co/46gLSMi8HQ</t>
  </si>
  <si>
    <t>Mon May 02 09:55:04 +0000 2022</t>
  </si>
  <si>
    <t>138707415</t>
  </si>
  <si>
    <t>http://pbs.twimg.com/profile_images/1090722184547319808/SPDT0VnZ_normal.jpg</t>
  </si>
  <si>
    <t>East Riding of Yorkshire</t>
  </si>
  <si>
    <t>http://twitter.com/infamousgrouser/statuses/1521065729897947137</t>
  </si>
  <si>
    <t>{"hashtags":[{"text":"EU","indices":[124,127]}],"symbols":[],"user_mentions":[{"screen_name":"cmackinlay","name":"Craig Mackinlay MP","id":185790986,"id_str":"185790986","indices":[3,14]}],"urls":[]}</t>
  </si>
  <si>
    <t>1521065674524827649</t>
  </si>
  <si>
    <t>Val_Do</t>
  </si>
  <si>
    <t>Mon May 02 09:54:51 +0000 2022</t>
  </si>
  <si>
    <t>81668204</t>
  </si>
  <si>
    <t>http://pbs.twimg.com/profile_images/1477358120003424259/yZy9IVcR_normal.jpg</t>
  </si>
  <si>
    <t>http://twitter.com/Val_Do/statuses/1521065674524827649</t>
  </si>
  <si>
    <t>1521065669160230912</t>
  </si>
  <si>
    <t>palmaz2112</t>
  </si>
  <si>
    <t>Mon May 02 09:54:50 +0000 2022</t>
  </si>
  <si>
    <t>87915582</t>
  </si>
  <si>
    <t>http://pbs.twimg.com/profile_images/1259116206059126785/vagm8EJ-_normal.jpg</t>
  </si>
  <si>
    <t>London UK</t>
  </si>
  <si>
    <t>http://twitter.com/palmaz2112/statuses/1521065669160230912</t>
  </si>
  <si>
    <t>1521065644866912257</t>
  </si>
  <si>
    <t>Mon May 02 09:54:44 +0000 2022</t>
  </si>
  <si>
    <t>http://twitter.com/MrShodijo/statuses/1521065644866912257</t>
  </si>
  <si>
    <t>1521065633718411265</t>
  </si>
  <si>
    <t>Mon May 02 09:54:41 +0000 2022</t>
  </si>
  <si>
    <t>http://twitter.com/toadovision/statuses/1521065633718411265</t>
  </si>
  <si>
    <t>1521065615456407554</t>
  </si>
  <si>
    <t>Mon May 02 09:54:37 +0000 2022</t>
  </si>
  <si>
    <t>http://twitter.com/MrShodijo/statuses/1521065615456407554</t>
  </si>
  <si>
    <t>1521065608422510596</t>
  </si>
  <si>
    <t>gill_othen</t>
  </si>
  <si>
    <t>Mon May 02 09:54:35 +0000 2022</t>
  </si>
  <si>
    <t>744844552188665856</t>
  </si>
  <si>
    <t>http://pbs.twimg.com/profile_images/1497338611951353866/PGftmvAf_normal.jpg</t>
  </si>
  <si>
    <t>http://twitter.com/gill_othen/statuses/1521065608422510596</t>
  </si>
  <si>
    <t>1521065587438403586</t>
  </si>
  <si>
    <t>Mon May 02 09:54:30 +0000 2022</t>
  </si>
  <si>
    <t>http://twitter.com/MrShodijo/statuses/1521065587438403586</t>
  </si>
  <si>
    <t>1521065572104081408</t>
  </si>
  <si>
    <t>nutbrittles</t>
  </si>
  <si>
    <t>RT @geordiegreek: My brother was recently over from New Zealand, he told me that the people over there can't believe that Johnson is still PM, and they think that England has lost its marbles. We're an international laughing stock, but it seems the BBC hasn't noticed. #r4today  #bbcqt #Brexit</t>
  </si>
  <si>
    <t>Mon May 02 09:54:27 +0000 2022</t>
  </si>
  <si>
    <t>898931907043495937</t>
  </si>
  <si>
    <t>http://pbs.twimg.com/profile_images/1039121228567654401/Le-r-ud1_normal.jpg</t>
  </si>
  <si>
    <t>London, England</t>
  </si>
  <si>
    <t>http://twitter.com/nutbrittles/statuses/1521065572104081408</t>
  </si>
  <si>
    <t>{"hashtags":[],"symbols":[],"user_mentions":[{"screen_name":"geordiegreek","name":"Stephen.","id":1303055322119114800,"id_str":"1303055322119114752","indices":[3,16]}],"urls":[]}</t>
  </si>
  <si>
    <t>1521065570606759936</t>
  </si>
  <si>
    <t>Mon May 02 09:54:26 +0000 2022</t>
  </si>
  <si>
    <t>http://twitter.com/gill_othen/statuses/1521065570606759936</t>
  </si>
  <si>
    <t>1521065540630065158</t>
  </si>
  <si>
    <t>Mon May 02 09:54:19 +0000 2022</t>
  </si>
  <si>
    <t>http://twitter.com/MrShodijo/statuses/1521065540630065158</t>
  </si>
  <si>
    <t>1521065505829838849</t>
  </si>
  <si>
    <t>Mon May 02 09:54:11 +0000 2022</t>
  </si>
  <si>
    <t>http://twitter.com/MrShodijo/statuses/1521065505829838849</t>
  </si>
  <si>
    <t>1521065505125187584</t>
  </si>
  <si>
    <t>http://twitter.com/toadovision/statuses/1521065505125187584</t>
  </si>
  <si>
    <t>1521065504168947714</t>
  </si>
  <si>
    <t>Allyjambo</t>
  </si>
  <si>
    <t>Mon May 02 09:54:10 +0000 2022</t>
  </si>
  <si>
    <t>543578792</t>
  </si>
  <si>
    <t>http://pbs.twimg.com/profile_images/571410228828344321/73sqVri3_normal.png</t>
  </si>
  <si>
    <t>http://twitter.com/Allyjambo/statuses/1521065504168947714</t>
  </si>
  <si>
    <t>1521065447390593025</t>
  </si>
  <si>
    <t>TheSocReview</t>
  </si>
  <si>
    <t>Timely #Brexit insights from scholars @nandosigona, @Catherineruth and @Michaelacbenson, The Sociological Review Foundation's Chief Executive. 
@LSEEI @LSEnews https://t.co/sXYleZUFLw</t>
  </si>
  <si>
    <t>Mon May 02 09:53:57 +0000 2022</t>
  </si>
  <si>
    <t>1927411670</t>
  </si>
  <si>
    <t>http://pbs.twimg.com/profile_images/1382255122508566529/fqHRp_Jd_normal.png</t>
  </si>
  <si>
    <t>Global</t>
  </si>
  <si>
    <t>http://twitter.com/TheSocReview/statuses/1521065447390593025</t>
  </si>
  <si>
    <t>{"hashtags":[{"text":"Brexit","indices":[7,14]}],"symbols":[],"user_mentions":[{"screen_name":"nandosigona","name":"Nando Sigona","id":205203605,"id_str":"205203605","indices":[38,50]},{"screen_name":"Catherineruth","name":"Catherine Craven","id":27510912,"id_str":"27510912","indices":[52,66]},{"screen_name":"Michaelacbenson","name":"Professor Michaela Benson","id":421705816,"id_str":"421705816","indices":[71,87]},{"screen_name":"LSEEI","name":"LSE European Institute","id":1436241619,"id_str":"1436241619","indices":[145,151]},{"screen_name":"LSEnews","name":"LSE","id":155924984,"id_str":"155924984","indices":[152,160]}],"urls":[{"url":"https://t.co/sXYleZUFLw","expanded_url":"https://twitter.com/nandosigona/status/1519961489062379520","display_url":"twitter.com/nandosigona/st…","indices":[161,184]}]}</t>
  </si>
  <si>
    <t>1521065384971218944</t>
  </si>
  <si>
    <t>JumbleRates</t>
  </si>
  <si>
    <t>@coffer_mco18 What's this?  #Brexit is a total shitshow but lets keep it?
Not moving on!
#RejoinEU</t>
  </si>
  <si>
    <t>Mon May 02 09:53:42 +0000 2022</t>
  </si>
  <si>
    <t>977133410</t>
  </si>
  <si>
    <t>coffer_mco18</t>
  </si>
  <si>
    <t>2749339514</t>
  </si>
  <si>
    <t>1521052061512736773</t>
  </si>
  <si>
    <t>http://pbs.twimg.com/profile_images/1504734539184234531/-nE4ysYq_normal.jpg</t>
  </si>
  <si>
    <t>...Earth and beyond.</t>
  </si>
  <si>
    <t>http://twitter.com/JumbleRates/statuses/1521065384971218944</t>
  </si>
  <si>
    <t>{"hashtags":[{"text":"Brexit","indices":[28,35]},{"text":"RejoinEU","indices":[91,100]}],"symbols":[],"user_mentions":[{"screen_name":"coffer_mco18","name":"catlady","id":977133410,"id_str":"977133410","indices":[0,13]}],"urls":[]}</t>
  </si>
  <si>
    <t>1521065381200375808</t>
  </si>
  <si>
    <t>Mon May 02 09:53:41 +0000 2022</t>
  </si>
  <si>
    <t>http://twitter.com/gill_othen/statuses/1521065381200375808</t>
  </si>
  <si>
    <t>1521065379904241666</t>
  </si>
  <si>
    <t>BastionBucks</t>
  </si>
  <si>
    <t>1482056761293086725</t>
  </si>
  <si>
    <t>http://pbs.twimg.com/profile_images/1482063207447646214/nhmMaU1m_normal.jpg</t>
  </si>
  <si>
    <t>http://twitter.com/BastionBucks/statuses/1521065379904241666</t>
  </si>
  <si>
    <t>1521065361306755072</t>
  </si>
  <si>
    <t>ianbirrell</t>
  </si>
  <si>
    <t>Mon May 02 09:53:36 +0000 2022</t>
  </si>
  <si>
    <t>142230413</t>
  </si>
  <si>
    <t>http://pbs.twimg.com/profile_images/1308683587919769601/r5SJ4hBY_normal.jpg</t>
  </si>
  <si>
    <t>Portugal</t>
  </si>
  <si>
    <t>http://twitter.com/ianbirrell/statuses/1521065361306755072</t>
  </si>
  <si>
    <t>1521065327034978305</t>
  </si>
  <si>
    <t>Catwomanx6</t>
  </si>
  <si>
    <t>Mon May 02 09:53:28 +0000 2022</t>
  </si>
  <si>
    <t>1422553738519224325</t>
  </si>
  <si>
    <t>http://pbs.twimg.com/profile_images/1503636698189684736/GZbPl6JT_normal.jpg</t>
  </si>
  <si>
    <t>http://twitter.com/Catwomanx6/statuses/1521065327034978305</t>
  </si>
  <si>
    <t>1521065273624875009</t>
  </si>
  <si>
    <t>MirandaWhiting</t>
  </si>
  <si>
    <t>Mon May 02 09:53:15 +0000 2022</t>
  </si>
  <si>
    <t>2332033299</t>
  </si>
  <si>
    <t>http://pbs.twimg.com/profile_images/876449801625382912/qucDQzGS_normal.jpg</t>
  </si>
  <si>
    <t>http://twitter.com/MirandaWhiting/statuses/1521065273624875009</t>
  </si>
  <si>
    <t>1521065249343819776</t>
  </si>
  <si>
    <t>magicofthemind</t>
  </si>
  <si>
    <t>Mon May 02 09:53:10 +0000 2022</t>
  </si>
  <si>
    <t>16435069</t>
  </si>
  <si>
    <t>http://pbs.twimg.com/profile_images/1504843071355342849/Inupfm6e_normal.jpg</t>
  </si>
  <si>
    <t>http://twitter.com/magicofthemind/statuses/1521065249343819776</t>
  </si>
  <si>
    <t>1521065240577855489</t>
  </si>
  <si>
    <t>SillyDeity</t>
  </si>
  <si>
    <t>Another of those “Brexit Benefits”??
Remember “there will be no downside to Brexit”
#Brexit
#Brexitisshit
#BrexitIsntWorking https://t.co/4sJBDgWMy1</t>
  </si>
  <si>
    <t>Mon May 02 09:53:08 +0000 2022</t>
  </si>
  <si>
    <t>1451533656</t>
  </si>
  <si>
    <t>http://pbs.twimg.com/profile_images/1369238621388038147/-f7YDohr_normal.png</t>
  </si>
  <si>
    <t>http://twitter.com/SillyDeity/statuses/1521065240577855489</t>
  </si>
  <si>
    <t>{"hashtags":[{"text":"Brexit","indices":[86,93]},{"text":"Brexitisshit","indices":[94,107]},{"text":"BrexitIsntWorking","indices":[108,126]}],"symbols":[],"user_mentions":[],"urls":[{"url":"https://t.co/4sJBDgWMy1","expanded_url":"https://inews.co.uk/news/brexit/britons-living-spain-face-driving-ban-lack-post-brexit-agreement-1605496","display_url":"inews.co.uk/news/brexit/br…","indices":[127,150]}]}</t>
  </si>
  <si>
    <t>1521065217186308096</t>
  </si>
  <si>
    <t>marionprof</t>
  </si>
  <si>
    <t>Mon May 02 09:53:02 +0000 2022</t>
  </si>
  <si>
    <t>419778713</t>
  </si>
  <si>
    <t>http://pbs.twimg.com/profile_images/717315905781383168/AtzPJzux_normal.jpg</t>
  </si>
  <si>
    <t>Le début du Beaujolais</t>
  </si>
  <si>
    <t>http://twitter.com/marionprof/statuses/1521065217186308096</t>
  </si>
  <si>
    <t>1521065187582824449</t>
  </si>
  <si>
    <t>OdoyleCharlotte</t>
  </si>
  <si>
    <t>RT @etxberria55: Revealed: The English beaches with the dirtiest bathing water https://t.co/EkXqdApBrC  Sewage contamination  of beaches  another  #Brexit benefit #TorySewageParty  @GMB  #KayBurley  @BBCBreakfast  @Conservatives @UKLabour @GMB #GBNews #R4today #BrexitReality</t>
  </si>
  <si>
    <t>Mon May 02 09:52:55 +0000 2022</t>
  </si>
  <si>
    <t>1066860162152050688</t>
  </si>
  <si>
    <t>http://pbs.twimg.com/profile_images/1467249059153035273/7zkhDTMo_normal.jpg</t>
  </si>
  <si>
    <t>Soviet Florida</t>
  </si>
  <si>
    <t>http://twitter.com/OdoyleCharlotte/statuses/1521065187582824449</t>
  </si>
  <si>
    <t>{"hashtags":[],"symbols":[],"user_mentions":[{"screen_name":"etxberria55","name":"john Rodriguez","id":906491200655544300,"id_str":"906491200655544320","indices":[3,15]}],"urls":[{"url":"https://t.co/EkXqdApBrC","expanded_url":"https://uk.news.yahoo.com/tynemouth-cullercoat-wharfe-at-cromwheel-ilkley-heacham-in-west-norfolk-and-weston-bay-in-westen-super-mare-192437169.html","display_url":"uk.news.yahoo.com/tynemouth-cull…","indices":[79,102]}]}</t>
  </si>
  <si>
    <t>1521065122869002241</t>
  </si>
  <si>
    <t>Dredd1964</t>
  </si>
  <si>
    <t>Mon May 02 09:52:39 +0000 2022</t>
  </si>
  <si>
    <t>102333014</t>
  </si>
  <si>
    <t>http://twitter.com/Dredd1964/statuses/1521065122869002241</t>
  </si>
  <si>
    <t>1521065122743177216</t>
  </si>
  <si>
    <t>cai43245335</t>
  </si>
  <si>
    <t>1499719300885663747</t>
  </si>
  <si>
    <t>http://pbs.twimg.com/profile_images/1518222135377997824/IUSC_i_A_normal.jpg</t>
  </si>
  <si>
    <t>Airstrip One</t>
  </si>
  <si>
    <t>http://twitter.com/cai43245335/statuses/1521065122743177216</t>
  </si>
  <si>
    <t>1521065120599785472</t>
  </si>
  <si>
    <t>Iloveautumn2</t>
  </si>
  <si>
    <t>125143408</t>
  </si>
  <si>
    <t>http://pbs.twimg.com/profile_images/1417367428649136136/--5FpoDZ_normal.jpg</t>
  </si>
  <si>
    <t>Europe,hopefully EU again soon</t>
  </si>
  <si>
    <t>http://twitter.com/Iloveautumn2/statuses/1521065120599785472</t>
  </si>
  <si>
    <t>1521065113389867008</t>
  </si>
  <si>
    <t>LoziCamp</t>
  </si>
  <si>
    <t>Mon May 02 09:52:37 +0000 2022</t>
  </si>
  <si>
    <t>962683747748413441</t>
  </si>
  <si>
    <t>http://pbs.twimg.com/profile_images/962789599532732419/jZID-3KG_normal.jpg</t>
  </si>
  <si>
    <t>http://twitter.com/LoziCamp/statuses/1521065113389867008</t>
  </si>
  <si>
    <t>1521065112307650565</t>
  </si>
  <si>
    <t>MatthewWimpenny</t>
  </si>
  <si>
    <t>871813940967346177</t>
  </si>
  <si>
    <t>http://pbs.twimg.com/profile_images/1489360399074050058/ziqO5v2p_normal.jpg</t>
  </si>
  <si>
    <t>http://twitter.com/MatthewWimpenny/statuses/1521065112307650565</t>
  </si>
  <si>
    <t>1521065108511903747</t>
  </si>
  <si>
    <t>dan_ist</t>
  </si>
  <si>
    <t>RT @v_joron: Bon élève et même avec le #Brexit le Royaume-Uni applique déjà la feuille de route de la Commission de Mme von der Leyen en obligeant la vaccination des enfants de 5/11 ans en leur imposant un Pass sanitaire pour voyager “librement” cet été. 
A qui le tour ? La France ? https://t.co/yWwot4ThRp</t>
  </si>
  <si>
    <t>Mon May 02 09:52:36 +0000 2022</t>
  </si>
  <si>
    <t>1257284242406506497</t>
  </si>
  <si>
    <t>http://twitter.com/dan_ist/statuses/1521065108511903747</t>
  </si>
  <si>
    <t>{"hashtags":[{"text":"Brexit","indices":[39,46]}],"symbols":[],"user_mentions":[{"screen_name":"v_joron","name":"Virginie Joron","id":2991912647,"id_str":"2991912647","indices":[3,11]}],"urls":[]}</t>
  </si>
  <si>
    <t>1521065093047648256</t>
  </si>
  <si>
    <t>CeltIndy</t>
  </si>
  <si>
    <t>RT @ChillaxBcn: 1 "UK driving licences of residents in Spain no longer valid from May 1st"
Another #Brexit benefit!
This just reminds me of a driving licence story of mine. Years ago I had a car accident on Tower Bridge, London. Had to go to the police station in Surrey Quays. The police.....</t>
  </si>
  <si>
    <t>Mon May 02 09:52:32 +0000 2022</t>
  </si>
  <si>
    <t>1390660569871622152</t>
  </si>
  <si>
    <t>http://pbs.twimg.com/profile_images/1460226201985982465/q0VX0iEx_normal.jpg</t>
  </si>
  <si>
    <t>Colwyn Bay, Wales</t>
  </si>
  <si>
    <t>http://twitter.com/CeltIndy/statuses/1521065093047648256</t>
  </si>
  <si>
    <t>{"hashtags":[{"text":"Brexit","indices":[100,107]}],"symbols":[],"user_mentions":[{"screen_name":"ChillaxBcn","name":"🏳‍🌈 Frank 🇪🇺 🇺🇦","id":22189368,"id_str":"22189368","indices":[3,14]}],"urls":[]}</t>
  </si>
  <si>
    <t>1521065091181035523</t>
  </si>
  <si>
    <t>http://twitter.com/Iloveautumn2/statuses/1521065091181035523</t>
  </si>
  <si>
    <t>1521065078619049985</t>
  </si>
  <si>
    <t>Mon May 02 09:52:29 +0000 2022</t>
  </si>
  <si>
    <t>http://twitter.com/Iloveautumn2/statuses/1521065078619049985</t>
  </si>
  <si>
    <t>1521065055894310913</t>
  </si>
  <si>
    <t>tudorinjordan</t>
  </si>
  <si>
    <t>Mon May 02 09:52:24 +0000 2022</t>
  </si>
  <si>
    <t>2522923753</t>
  </si>
  <si>
    <t>http://pbs.twimg.com/profile_images/1454016565708480517/0GalNM_k_normal.jpg</t>
  </si>
  <si>
    <t>Amsterdam, UK and Aqaba</t>
  </si>
  <si>
    <t>http://twitter.com/tudorinjordan/statuses/1521065055894310913</t>
  </si>
  <si>
    <t>1521065029386313729</t>
  </si>
  <si>
    <t>Mon May 02 09:52:17 +0000 2022</t>
  </si>
  <si>
    <t>http://twitter.com/Iloveautumn2/statuses/1521065029386313729</t>
  </si>
  <si>
    <t>1521065009723453441</t>
  </si>
  <si>
    <t>MrsArcanum</t>
  </si>
  <si>
    <t>Mon May 02 09:52:12 +0000 2022</t>
  </si>
  <si>
    <t>439876441</t>
  </si>
  <si>
    <t>http://pbs.twimg.com/profile_images/1502608393982431234/WrXaOfZk_normal.jpg</t>
  </si>
  <si>
    <t>Oxfordshire</t>
  </si>
  <si>
    <t>http://twitter.com/MrsArcanum/statuses/1521065009723453441</t>
  </si>
  <si>
    <t>1521065004962824192</t>
  </si>
  <si>
    <t>VincitOmniaVe18</t>
  </si>
  <si>
    <t>Mon May 02 09:52:11 +0000 2022</t>
  </si>
  <si>
    <t>1357289132712751105</t>
  </si>
  <si>
    <t>http://pbs.twimg.com/profile_images/1357289817017638912/A2Kp3HaE_normal.jpg</t>
  </si>
  <si>
    <t>http://twitter.com/VincitOmniaVe18/statuses/1521065004962824192</t>
  </si>
  <si>
    <t>1521064999589982208</t>
  </si>
  <si>
    <t>tory_lies</t>
  </si>
  <si>
    <t>Mon May 02 09:52:10 +0000 2022</t>
  </si>
  <si>
    <t>949754838732156928</t>
  </si>
  <si>
    <t>http://pbs.twimg.com/profile_images/960285302530232326/sNLaPtQi_normal.jpg</t>
  </si>
  <si>
    <t>http://twitter.com/tory_lies/statuses/1521064999589982208</t>
  </si>
  <si>
    <t>1521064972863868930</t>
  </si>
  <si>
    <t>LegionAOD</t>
  </si>
  <si>
    <t>Mon May 02 09:52:04 +0000 2022</t>
  </si>
  <si>
    <t>30023125</t>
  </si>
  <si>
    <t>http://pbs.twimg.com/profile_images/1481230157109252099/obRDHOsY_normal.jpg</t>
  </si>
  <si>
    <t>Stoke</t>
  </si>
  <si>
    <t>http://twitter.com/LegionAOD/statuses/1521064972863868930</t>
  </si>
  <si>
    <t>1521064920082698242</t>
  </si>
  <si>
    <t>wilsoniana</t>
  </si>
  <si>
    <t>Mon May 02 09:51:51 +0000 2022</t>
  </si>
  <si>
    <t>259682171</t>
  </si>
  <si>
    <t>http://pbs.twimg.com/profile_images/1500593322469081090/L1t_qcBC_normal.jpg</t>
  </si>
  <si>
    <t>http://twitter.com/wilsoniana/statuses/1521064920082698242</t>
  </si>
  <si>
    <t>1521064913699065857</t>
  </si>
  <si>
    <t>GraceMurphy2</t>
  </si>
  <si>
    <t>Mon May 02 09:51:50 +0000 2022</t>
  </si>
  <si>
    <t>325688284</t>
  </si>
  <si>
    <t>http://pbs.twimg.com/profile_images/889651107546398724/rBz1hAWc_normal.jpg</t>
  </si>
  <si>
    <t>Glasgow, UK</t>
  </si>
  <si>
    <t>http://twitter.com/GraceMurphy2/statuses/1521064913699065857</t>
  </si>
  <si>
    <t>1521064893943853057</t>
  </si>
  <si>
    <t>BestForBritain</t>
  </si>
  <si>
    <t>Mon May 02 09:51:45 +0000 2022</t>
  </si>
  <si>
    <t>846037320667217921</t>
  </si>
  <si>
    <t>http://pbs.twimg.com/profile_images/1240044168833007620/vV3DzAWr_normal.jpg</t>
  </si>
  <si>
    <t>http://twitter.com/BestForBritain/statuses/1521064893943853057</t>
  </si>
  <si>
    <t>1521064884997431297</t>
  </si>
  <si>
    <t>CliffBondCo</t>
  </si>
  <si>
    <t>Mon May 02 09:51:43 +0000 2022</t>
  </si>
  <si>
    <t>2483474706</t>
  </si>
  <si>
    <t>http://pbs.twimg.com/profile_images/665985959427768322/R634wooT_normal.jpg</t>
  </si>
  <si>
    <t>waterford</t>
  </si>
  <si>
    <t>http://twitter.com/CliffBondCo/statuses/1521064884997431297</t>
  </si>
  <si>
    <t>1521064877401456640</t>
  </si>
  <si>
    <t>CliveWismayer</t>
  </si>
  <si>
    <t>Mon May 02 09:51:41 +0000 2022</t>
  </si>
  <si>
    <t>1298880800</t>
  </si>
  <si>
    <t>http://pbs.twimg.com/profile_images/1504090457487380485/sycLvwlQ_normal.jpg</t>
  </si>
  <si>
    <t>Amsterdam, The Netherlands</t>
  </si>
  <si>
    <t>http://twitter.com/CliveWismayer/statuses/1521064877401456640</t>
  </si>
  <si>
    <t>1521064866299138050</t>
  </si>
  <si>
    <t>tiger_ayres</t>
  </si>
  <si>
    <t>Mon May 02 09:51:38 +0000 2022</t>
  </si>
  <si>
    <t>1426477641729708036</t>
  </si>
  <si>
    <t>http://pbs.twimg.com/profile_images/1426570137843478531/jaQ4bFOj_normal.jpg</t>
  </si>
  <si>
    <t>http://twitter.com/tiger_ayres/statuses/1521064866299138050</t>
  </si>
  <si>
    <t>1521064813174087680</t>
  </si>
  <si>
    <t>stevescullion</t>
  </si>
  <si>
    <t>On Saturday, the Conference on the Future of Europe passed proposals that call for the creation of a European Union army and the concentration of power in the hands of Brussels eurocrats. The Conference, which was meant to bring... #Brexit #EuropeanUnion https://t.co/6HvE7bU1kR</t>
  </si>
  <si>
    <t>Mon May 02 09:51:26 +0000 2022</t>
  </si>
  <si>
    <t>27845592</t>
  </si>
  <si>
    <t>http://pbs.twimg.com/profile_images/865268038995759105/9apqwWv6_normal.jpg</t>
  </si>
  <si>
    <t>Felling, Tyne &amp; Wear</t>
  </si>
  <si>
    <t>http://twitter.com/stevescullion/statuses/1521064813174087680</t>
  </si>
  <si>
    <t>{"hashtags":[{"text":"Brexit","indices":[232,239]},{"text":"EuropeanUnion","indices":[240,254]}],"symbols":[],"user_mentions":[],"urls":[{"url":"https://t.co/6HvE7bU1kR","expanded_url":"https://savebritain.org/eu-empire-conference-approves-joint-armed-forces-more-centralised-power-for-brussels/","display_url":"savebritain.org/eu-empire-conf…","indices":[255,278]}]}</t>
  </si>
  <si>
    <t>1521064800435978240</t>
  </si>
  <si>
    <t>sarahcraig52</t>
  </si>
  <si>
    <t>Mon May 02 09:51:23 +0000 2022</t>
  </si>
  <si>
    <t>1480613276</t>
  </si>
  <si>
    <t>http://pbs.twimg.com/profile_images/1498965230445072389/-NIROUe5_normal.jpg</t>
  </si>
  <si>
    <t>Cheshire UK</t>
  </si>
  <si>
    <t>http://twitter.com/sarahcraig52/statuses/1521064800435978240</t>
  </si>
  <si>
    <t>1521064799425208320</t>
  </si>
  <si>
    <t>valmapal1</t>
  </si>
  <si>
    <t>RT @CentralPlanner9: While The Daily Mail is allowed to lie, distort and misrepresent with impunity, we will remain a corrupt, nasty little country: Boris' #Brexit Britain.
No honesty, no integrity, no public interest. The Mail is biased to its rotten core.
#JohnsonOut98 https://t.co/X8ueYj0RA1</t>
  </si>
  <si>
    <t>Mon May 02 09:51:22 +0000 2022</t>
  </si>
  <si>
    <t>1505995955505614854</t>
  </si>
  <si>
    <t>http://pbs.twimg.com/profile_images/1505996235488047116/11LYziu__normal.png</t>
  </si>
  <si>
    <t>http://twitter.com/valmapal1/statuses/1521064799425208320</t>
  </si>
  <si>
    <t>{"hashtags":[],"symbols":[],"user_mentions":[{"screen_name":"CentralPlanner9","name":"Central Planner #FBPE","id":1449825546,"id_str":"1449825546","indices":[3,19]}],"urls":[]}</t>
  </si>
  <si>
    <t>1521064723177177088</t>
  </si>
  <si>
    <t>cathie_wood</t>
  </si>
  <si>
    <t>Mon May 02 09:51:04 +0000 2022</t>
  </si>
  <si>
    <t>2150063662</t>
  </si>
  <si>
    <t>http://pbs.twimg.com/profile_images/830911992017739777/4F0eV2Ww_normal.png</t>
  </si>
  <si>
    <t>http://twitter.com/cathie_wood/statuses/1521064723177177088</t>
  </si>
  <si>
    <t>1521064675626135552</t>
  </si>
  <si>
    <t>Marcho451</t>
  </si>
  <si>
    <t>What next?! The #CareHomeScandal is about reversing #Brexit too?
Own your mistakes, take responsibility, stop hiding behind brexit. https://t.co/J1XzAct5wH</t>
  </si>
  <si>
    <t>Mon May 02 09:50:53 +0000 2022</t>
  </si>
  <si>
    <t>1244972066308272128</t>
  </si>
  <si>
    <t>http://pbs.twimg.com/profile_images/1245049850498035712/7nQb4Hme_normal.jpg</t>
  </si>
  <si>
    <t>http://twitter.com/Marcho451/statuses/1521064675626135552</t>
  </si>
  <si>
    <t>{"hashtags":[{"text":"CareHomeScandal","indices":[16,32]},{"text":"Brexit","indices":[52,59]}],"symbols":[],"user_mentions":[],"urls":[{"url":"https://t.co/J1XzAct5wH","expanded_url":"https://twitter.com/BrandonLewis/status/1520783926066823169","display_url":"twitter.com/BrandonLewis/s…","indices":[133,156]}]}</t>
  </si>
  <si>
    <t>1521064637667622915</t>
  </si>
  <si>
    <t>@etxberria55 @GMB @BBCBreakfast @Conservatives @UKLabour Another cost of #Brexit - Truly is #Brexshit
#ToriesOut5thMay #ToriesUnfitToGovern</t>
  </si>
  <si>
    <t>Mon May 02 09:50:44 +0000 2022</t>
  </si>
  <si>
    <t>906491200655544320</t>
  </si>
  <si>
    <t>etxberria55</t>
  </si>
  <si>
    <t>1521004699201200130</t>
  </si>
  <si>
    <t>http://twitter.com/MrsArcanum/statuses/1521064637667622915</t>
  </si>
  <si>
    <t>{"hashtags":[{"text":"Brexit","indices":[73,80]},{"text":"Brexshit","indices":[92,101]},{"text":"ToriesOut5thMay","indices":[102,118]},{"text":"ToriesUnfitToGovern","indices":[119,139]}],"symbols":[],"user_mentions":[{"screen_name":"etxberria55","name":"john Rodriguez","id":906491200655544300,"id_str":"906491200655544320","indices":[0,12]},{"screen_name":"GMB","name":"Good Morning Britain","id":19424427,"id_str":"19424427","indices":[13,17]},{"screen_name":"BBCBreakfast","name":"BBC Breakfast","id":143415291,"id_str":"143415291","indices":[18,31]},{"screen_name":"Conservatives","name":"Conservatives","id":14281853,"id_str":"14281853","indices":[32,46]},{"screen_name":"UKLabour","name":"The Labour Party","id":14291684,"id_str":"14291684","indices":[47,56]}],"urls":[]}</t>
  </si>
  <si>
    <t>1521064584517496835</t>
  </si>
  <si>
    <t>UnicornChettiar</t>
  </si>
  <si>
    <t>Mon May 02 09:50:31 +0000 2022</t>
  </si>
  <si>
    <t>19968144</t>
  </si>
  <si>
    <t>http://pbs.twimg.com/profile_images/1499022375/foliage-bonsai-tree-Download-Free-Vector-File-EPS-947_normal.jpg</t>
  </si>
  <si>
    <t xml:space="preserve">Wherever life takes me... </t>
  </si>
  <si>
    <t>http://twitter.com/UnicornChettiar/statuses/1521064584517496835</t>
  </si>
  <si>
    <t>1521064550761652225</t>
  </si>
  <si>
    <t>chirpychappy1</t>
  </si>
  <si>
    <t>Mon May 02 09:50:23 +0000 2022</t>
  </si>
  <si>
    <t>2279406246</t>
  </si>
  <si>
    <t>http://pbs.twimg.com/profile_images/1004081621849591808/UZscLXaj_normal.jpg</t>
  </si>
  <si>
    <t>The Far West</t>
  </si>
  <si>
    <t>http://twitter.com/chirpychappy1/statuses/1521064550761652225</t>
  </si>
  <si>
    <t>1521064511268085771</t>
  </si>
  <si>
    <t>BakerMcGER</t>
  </si>
  <si>
    <t>.@BakerMcGER Partnerin @anahita_thoms aktuell zum Thema "Ein Jahr #Brexit -EU-Austritt belastet britische Wirtschaft" im Interview auf #ntv (ab min. 05:55) https://t.co/pWfHSNwFYj Sie weist u.a. auf den Fachkräftemangel &amp;amp; Lieferengpässe hin @ntvde #Lieferketten #BrexitShambles https://t.co/XOKklGjAJb</t>
  </si>
  <si>
    <t>Mon May 02 09:50:14 +0000 2022</t>
  </si>
  <si>
    <t>2166468744</t>
  </si>
  <si>
    <t>http://pbs.twimg.com/profile_images/879275738402344960/cvlyauHo_normal.jpg</t>
  </si>
  <si>
    <t>askgermany@bakermckenzie.com</t>
  </si>
  <si>
    <t>http://twitter.com/BakerMcGER/statuses/1521064511268085771</t>
  </si>
  <si>
    <t>{"hashtags":[{"text":"Brexit","indices":[66,73]},{"text":"ntv","indices":[135,139]},{"text":"Lieferketten","indices":[252,265]},{"text":"BrexitShambles","indices":[266,281]}],"symbols":[],"user_mentions":[{"screen_name":"BakerMcGER","name":"Baker McKenzie GER","id":2166468744,"id_str":"2166468744","indices":[1,12]},{"screen_name":"anahita_thoms","name":"Anahita Thoms","id":938840328043483100,"id_str":"938840328043483138","indices":[23,37]},{"screen_name":"ntvde","name":"ntv Nachrichten","id":19232587,"id_str":"19232587","indices":[245,251]}],"urls":[{"url":"https://t.co/pWfHSNwFYj","expanded_url":"http://bit.ly/3H4l4OQ","display_url":"bit.ly/3H4l4OQ","indices":[156,179]}],"media":[{"id":1521064402409173000,"id_str":"1521064402409172993","indices":[282,305],"media_url":"http://pbs.twimg.com/media/FRvoA9oXMAELb3Q.jpg","media_url_https":"https://pbs.twimg.com/media/FRvoA9oXMAELb3Q.jpg","url":"https://t.co/XOKklGjAJb","display_url":"pic.twitter.com/XOKklGjAJb","expanded_url":"https://twitter.com/BakerMcGER/status/1521064511268085771/photo/1","type":"photo","sizes":{"thumb":{"w":150,"h":150,"resize":"crop"},"large":{"w":1509,"h":820,"resize":"fit"},"medium":{"w":1200,"h":652,"resize":"fit"},"small":{"w":680,"h":370,"resize":"fit"}}}]}</t>
  </si>
  <si>
    <t>1521064473641078786</t>
  </si>
  <si>
    <t>davidwaters79</t>
  </si>
  <si>
    <t>Mon May 02 09:50:05 +0000 2022</t>
  </si>
  <si>
    <t>177526716</t>
  </si>
  <si>
    <t>http://pbs.twimg.com/profile_images/1263472232019484684/-Vui4ADL_normal.jpg</t>
  </si>
  <si>
    <t>Manchester, UK</t>
  </si>
  <si>
    <t>http://twitter.com/davidwaters79/statuses/1521064473641078786</t>
  </si>
  <si>
    <t>1521064442162778113</t>
  </si>
  <si>
    <t>Mon May 02 09:49:57 +0000 2022</t>
  </si>
  <si>
    <t>http://twitter.com/MrsArcanum/statuses/1521064442162778113</t>
  </si>
  <si>
    <t>1521064423703654400</t>
  </si>
  <si>
    <t>Fionawinters6</t>
  </si>
  <si>
    <t>RT @eelemsti: #GTTO #ToriesOut5thMay #ToryScumOut #ToryCorruption #TorySleaze #ToriesOut #ToriesUnfitToGovern #ToriesOutNow #ToriesDevoidOfShame #ToryCriminals #JohnsonOut99 #torybritain #CorruptPoliticians #CorruptToriesOut #Elections2022 #covid #nhs #CostOfLivingCrisis #brexit #EnergyCrisis https://t.co/zpwYNXHAu0</t>
  </si>
  <si>
    <t>Mon May 02 09:49:53 +0000 2022</t>
  </si>
  <si>
    <t>919971015719038979</t>
  </si>
  <si>
    <t>http://pbs.twimg.com/profile_images/1432280834422226945/MNKn5lMA_normal.jpg</t>
  </si>
  <si>
    <t>http://twitter.com/Fionawinters6/statuses/1521064423703654400</t>
  </si>
  <si>
    <t>{"hashtags":[{"text":"GTTO","indices":[14,19]},{"text":"ToriesOut5thMay","indices":[20,36]},{"text":"ToryScumOut","indices":[37,49]},{"text":"ToryCorruption","indices":[50,65]},{"text":"TorySleaze","indices":[66,77]},{"text":"ToriesOut","indices":[78,88]},{"text":"ToriesUnfitToGovern","indices":[89,109]},{"text":"ToriesOutNow","indices":[110,123]}],"symbols":[],"user_mentions":[{"screen_name":"eelemsti","name":"Lee","id":103682164,"id_str":"103682164","indices":[3,12]}],"urls":[]}</t>
  </si>
  <si>
    <t>1521064293734703109</t>
  </si>
  <si>
    <t>vinegarjoe10</t>
  </si>
  <si>
    <t>Mon May 02 09:49:22 +0000 2022</t>
  </si>
  <si>
    <t>1364972906657308676</t>
  </si>
  <si>
    <t>http://pbs.twimg.com/profile_images/1517765194713382912/2F9X2jfo_normal.jpg</t>
  </si>
  <si>
    <t>http://twitter.com/vinegarjoe10/statuses/1521064293734703109</t>
  </si>
  <si>
    <t>1521064259991576576</t>
  </si>
  <si>
    <t>AndIlkley</t>
  </si>
  <si>
    <t>If Robbie Moore ‘MP’ is malingering #ilkley #carnival please ask why he voted for sewage in Wharfe, against windfall energy and bank taxes, massive tax hikes for us, why the drug and electoral fraud baloney, where the hospital upgrade? #LevellingUp and #brexit benefits? 
Liar</t>
  </si>
  <si>
    <t>Mon May 02 09:49:14 +0000 2022</t>
  </si>
  <si>
    <t>1285510121565696001</t>
  </si>
  <si>
    <t>http://pbs.twimg.com/profile_images/1417118307631652871/7CoH_pYn_normal.jpg</t>
  </si>
  <si>
    <t>Robbie Moore’s craptocracy</t>
  </si>
  <si>
    <t>http://twitter.com/AndIlkley/statuses/1521064259991576576</t>
  </si>
  <si>
    <t>{"hashtags":[{"text":"ilkley","indices":[36,43]},{"text":"carnival","indices":[44,53]},{"text":"LevellingUp","indices":[236,248]},{"text":"brexit","indices":[253,260]}],"symbols":[],"user_mentions":[],"urls":[]}</t>
  </si>
  <si>
    <t>1521064232816713728</t>
  </si>
  <si>
    <t>devonguy02</t>
  </si>
  <si>
    <t>Mon May 02 09:49:07 +0000 2022</t>
  </si>
  <si>
    <t>270632828</t>
  </si>
  <si>
    <t>http://pbs.twimg.com/profile_images/1316359821/DSCF0007_1__normal.jpg</t>
  </si>
  <si>
    <t>sw devon uk</t>
  </si>
  <si>
    <t>http://twitter.com/devonguy02/statuses/1521064232816713728</t>
  </si>
  <si>
    <t>1521064206812041216</t>
  </si>
  <si>
    <t>CarolEden7</t>
  </si>
  <si>
    <t>Mon May 02 09:49:01 +0000 2022</t>
  </si>
  <si>
    <t>1372356932</t>
  </si>
  <si>
    <t>http://pbs.twimg.com/profile_images/1082934788913270784/L6qmKbFO_normal.jpg</t>
  </si>
  <si>
    <t>Ipswich, England</t>
  </si>
  <si>
    <t>http://twitter.com/CarolEden7/statuses/1521064206812041216</t>
  </si>
  <si>
    <t>1521064174675271680</t>
  </si>
  <si>
    <t>Munku1</t>
  </si>
  <si>
    <t>I think @Femi_Sorry will disagree and blame it all on @BorisJohnson and #Brexit. https://t.co/e0sC1MptLW</t>
  </si>
  <si>
    <t>Mon May 02 09:48:53 +0000 2022</t>
  </si>
  <si>
    <t>102658803</t>
  </si>
  <si>
    <t>http://pbs.twimg.com/profile_images/1414863375226580992/G4Ro5KR3_normal.jpg</t>
  </si>
  <si>
    <t>Chesterfield</t>
  </si>
  <si>
    <t>http://twitter.com/Munku1/statuses/1521064174675271680</t>
  </si>
  <si>
    <t>{"hashtags":[{"text":"Brexit","indices":[72,79]}],"symbols":[],"user_mentions":[{"screen_name":"Femi_Sorry","name":"Femi","id":234694571,"id_str":"234694571","indices":[8,19]},{"screen_name":"BorisJohnson","name":"Boris Johnson","id":3131144855,"id_str":"3131144855","indices":[54,67]}],"urls":[{"url":"https://t.co/e0sC1MptLW","expanded_url":"https://twitter.com/talktv/status/1521061559962906627","display_url":"twitter.com/talktv/status/…","indices":[81,104]}]}</t>
  </si>
  <si>
    <t>1521064173253312512</t>
  </si>
  <si>
    <t>Pgb266</t>
  </si>
  <si>
    <t>931517515112558592</t>
  </si>
  <si>
    <t>http://pbs.twimg.com/profile_images/1031179793235099648/p66I0waA_normal.jpg</t>
  </si>
  <si>
    <t xml:space="preserve">Earth . North half </t>
  </si>
  <si>
    <t>http://twitter.com/Pgb266/statuses/1521064173253312512</t>
  </si>
  <si>
    <t>1521064159034630145</t>
  </si>
  <si>
    <t>A government that needs the disaster that is #Brexit to cover for all it's sins.
#ToryShambles #Conservatives #lies #Partygate https://t.co/J1XzAct5wH</t>
  </si>
  <si>
    <t>Mon May 02 09:48:50 +0000 2022</t>
  </si>
  <si>
    <t>http://twitter.com/Marcho451/statuses/1521064159034630145</t>
  </si>
  <si>
    <t>{"hashtags":[{"text":"Brexit","indices":[45,52]},{"text":"ToryShambles","indices":[82,95]},{"text":"Conservatives","indices":[96,110]},{"text":"lies","indices":[111,116]},{"text":"Partygate","indices":[117,127]}],"symbols":[],"user_mentions":[],"urls":[{"url":"https://t.co/J1XzAct5wH","expanded_url":"https://twitter.com/BrandonLewis/status/1520783926066823169","display_url":"twitter.com/BrandonLewis/s…","indices":[128,151]}]}</t>
  </si>
  <si>
    <t>1521064041782947841</t>
  </si>
  <si>
    <t>patsytheshark</t>
  </si>
  <si>
    <t>Mon May 02 09:48:22 +0000 2022</t>
  </si>
  <si>
    <t>742494004801994753</t>
  </si>
  <si>
    <t>http://pbs.twimg.com/profile_images/753329128963571712/qgMgYnhX_normal.jpg</t>
  </si>
  <si>
    <t>http://twitter.com/patsytheshark/statuses/1521064041782947841</t>
  </si>
  <si>
    <t>1521063978809667648</t>
  </si>
  <si>
    <t>Raycspike</t>
  </si>
  <si>
    <t>Mon May 02 09:48:07 +0000 2022</t>
  </si>
  <si>
    <t>1536330835</t>
  </si>
  <si>
    <t>http://pbs.twimg.com/profile_images/1496885079922167820/4k0114CY_normal.jpg</t>
  </si>
  <si>
    <t>http://twitter.com/Raycspike/statuses/1521063978809667648</t>
  </si>
  <si>
    <t>1521063949277573122</t>
  </si>
  <si>
    <t>nigethugrug</t>
  </si>
  <si>
    <t>Mon May 02 09:48:00 +0000 2022</t>
  </si>
  <si>
    <t>1445905244500676608</t>
  </si>
  <si>
    <t>http://pbs.twimg.com/profile_images/1445906179591311363/ICtrIAnW_normal.jpg</t>
  </si>
  <si>
    <t>#TeamBoris</t>
  </si>
  <si>
    <t>http://twitter.com/nigethugrug/statuses/1521063949277573122</t>
  </si>
  <si>
    <t>1521063948505726978</t>
  </si>
  <si>
    <t>bwmoles</t>
  </si>
  <si>
    <t>@amyfallon Britain, destabilising the world for 500yrs. I'm quite certain #Brexit only came about after it was pointed out that Britain was the last place left for the British to attempt to ruin, &amp;amp; bless them they set about it with the same enthusiasm as they did the rest of the world.</t>
  </si>
  <si>
    <t>Mon May 02 09:47:59 +0000 2022</t>
  </si>
  <si>
    <t>18526468</t>
  </si>
  <si>
    <t>amyfallon</t>
  </si>
  <si>
    <t>597988808</t>
  </si>
  <si>
    <t>1521062524933836800</t>
  </si>
  <si>
    <t>http://pbs.twimg.com/profile_images/1352563265398837251/IduDS7ZJ_normal.jpg</t>
  </si>
  <si>
    <t>Islamabad, Pakistan</t>
  </si>
  <si>
    <t>http://twitter.com/bwmoles/statuses/1521063948505726978</t>
  </si>
  <si>
    <t>{"hashtags":[{"text":"Brexit","indices":[74,81]}],"symbols":[],"user_mentions":[{"screen_name":"amyfallon","name":"amyfallon","id":18526468,"id_str":"18526468","indices":[0,10]}],"urls":[]}</t>
  </si>
  <si>
    <t>1521063908395651072</t>
  </si>
  <si>
    <t>madden_phil</t>
  </si>
  <si>
    <t>Mon May 02 09:47:50 +0000 2022</t>
  </si>
  <si>
    <t>372806461</t>
  </si>
  <si>
    <t>http://pbs.twimg.com/profile_images/1258801794559377408/0PYpgvst_normal.jpg</t>
  </si>
  <si>
    <t>http://twitter.com/madden_phil/statuses/1521063908395651072</t>
  </si>
  <si>
    <t>1521063853941051392</t>
  </si>
  <si>
    <t>MargaretCarman1</t>
  </si>
  <si>
    <t>Mon May 02 09:47:37 +0000 2022</t>
  </si>
  <si>
    <t>346563227</t>
  </si>
  <si>
    <t>http://pbs.twimg.com/profile_images/1477230159350706182/jce3ol1B_normal.jpg</t>
  </si>
  <si>
    <t>Benijofar, Alicante, Spain</t>
  </si>
  <si>
    <t>http://twitter.com/MargaretCarman1/statuses/1521063853941051392</t>
  </si>
  <si>
    <t>1521063841978888194</t>
  </si>
  <si>
    <t>LizWebsterLD</t>
  </si>
  <si>
    <t>Mon May 02 09:47:34 +0000 2022</t>
  </si>
  <si>
    <t>489377813</t>
  </si>
  <si>
    <t>http://pbs.twimg.com/profile_images/1516396055876751365/rErGQRyw_normal.jpg</t>
  </si>
  <si>
    <t>North Wiltshire. England</t>
  </si>
  <si>
    <t>http://twitter.com/LizWebsterLD/statuses/1521063841978888194</t>
  </si>
  <si>
    <t>1521063804641374208</t>
  </si>
  <si>
    <t>muir1966</t>
  </si>
  <si>
    <t>Mon May 02 09:47:25 +0000 2022</t>
  </si>
  <si>
    <t>1912178844</t>
  </si>
  <si>
    <t>http://pbs.twimg.com/profile_images/1401404056715681798/fchhBYO__normal.jpg</t>
  </si>
  <si>
    <t>Hamilton, New Zealand</t>
  </si>
  <si>
    <t>http://twitter.com/muir1966/statuses/1521063804641374208</t>
  </si>
  <si>
    <t>1521063803919740933</t>
  </si>
  <si>
    <t>http://twitter.com/MargaretCarman1/statuses/1521063803919740933</t>
  </si>
  <si>
    <t>1521063757216112640</t>
  </si>
  <si>
    <t>sen_j59</t>
  </si>
  <si>
    <t>Mon May 02 09:47:14 +0000 2022</t>
  </si>
  <si>
    <t>1459570674805133313</t>
  </si>
  <si>
    <t>http://pbs.twimg.com/profile_images/1501127732188655621/uoWUPNCv_normal.jpg</t>
  </si>
  <si>
    <t>http://twitter.com/sen_j59/statuses/1521063757216112640</t>
  </si>
  <si>
    <t>1521063709895917569</t>
  </si>
  <si>
    <t>BrexitLalaland</t>
  </si>
  <si>
    <t>Mon May 02 09:47:03 +0000 2022</t>
  </si>
  <si>
    <t>835975173660631042</t>
  </si>
  <si>
    <t>&lt;a href="http://www.lalaland.com" rel="nofollow"&gt;Lalaland x&lt;/a&gt;</t>
  </si>
  <si>
    <t>http://pbs.twimg.com/profile_images/835976168700534786/nkI_roQQ_normal.jpg</t>
  </si>
  <si>
    <t>The European Union.</t>
  </si>
  <si>
    <t>http://twitter.com/BrexitLalaland/statuses/1521063709895917569</t>
  </si>
  <si>
    <t>1521063689864073216</t>
  </si>
  <si>
    <t>iAntsaoir</t>
  </si>
  <si>
    <t>Mon May 02 09:46:58 +0000 2022</t>
  </si>
  <si>
    <t>734805107829792768</t>
  </si>
  <si>
    <t>http://pbs.twimg.com/profile_images/1390406648351580164/ypK4MmWk_normal.jpg</t>
  </si>
  <si>
    <t>Inverurie, Occupied Scotland</t>
  </si>
  <si>
    <t>http://twitter.com/iAntsaoir/statuses/1521063689864073216</t>
  </si>
  <si>
    <t>1521063671341924358</t>
  </si>
  <si>
    <t>SheronBoyle1</t>
  </si>
  <si>
    <t>Mon May 02 09:46:53 +0000 2022</t>
  </si>
  <si>
    <t>1015928011</t>
  </si>
  <si>
    <t>http://pbs.twimg.com/profile_images/1511686194014429187/uQDM3Pmw_normal.jpg</t>
  </si>
  <si>
    <t>Yorkshire and proud of it!</t>
  </si>
  <si>
    <t>http://twitter.com/SheronBoyle1/statuses/1521063671341924358</t>
  </si>
  <si>
    <t>1521063624214827009</t>
  </si>
  <si>
    <t>DonaHilaria</t>
  </si>
  <si>
    <t>Mon May 02 09:46:42 +0000 2022</t>
  </si>
  <si>
    <t>208091926</t>
  </si>
  <si>
    <t>http://pbs.twimg.com/profile_images/1509150346689630208/bLLpBqm6_normal.jpg</t>
  </si>
  <si>
    <t>Guildford, Surrey.</t>
  </si>
  <si>
    <t>http://twitter.com/DonaHilaria/statuses/1521063624214827009</t>
  </si>
  <si>
    <t>1521063554891272193</t>
  </si>
  <si>
    <t>darwent_charles</t>
  </si>
  <si>
    <t>Mon May 02 09:46:26 +0000 2022</t>
  </si>
  <si>
    <t>1216482482</t>
  </si>
  <si>
    <t>http://pbs.twimg.com/profile_images/3303412788/1e4c37892fc9db6fdb4024121f771471_normal.jpeg</t>
  </si>
  <si>
    <t>http://twitter.com/darwent_charles/statuses/1521063554891272193</t>
  </si>
  <si>
    <t>1521063494732288001</t>
  </si>
  <si>
    <t>Lawlor224</t>
  </si>
  <si>
    <t>RT @AlPinkerton: “You run a trade war against yourself, bad things happen” #brexit
#CostOfLivingCrisis 
https://t.co/l8KZJB5Liz</t>
  </si>
  <si>
    <t>Mon May 02 09:46:11 +0000 2022</t>
  </si>
  <si>
    <t>3396116080</t>
  </si>
  <si>
    <t>http://pbs.twimg.com/profile_images/626854603712282625/lzYXweH-_normal.jpg</t>
  </si>
  <si>
    <t>http://twitter.com/Lawlor224/statuses/1521063494732288001</t>
  </si>
  <si>
    <t>{"hashtags":[{"text":"brexit","indices":[75,82]},{"text":"CostOfLivingCrisis","indices":[83,102]}],"symbols":[],"user_mentions":[{"screen_name":"AlPinkerton","name":"Alasdair Pinkerton","id":56338737,"id_str":"56338737","indices":[3,15]}],"urls":[{"url":"https://t.co/l8KZJB5Liz","expanded_url":"https://www.bloomberg.com/news/articles/2022-04-27/brexit-explains-80-of-u-k-inflation-former-boe-official-says","display_url":"bloomberg.com/news/articles/…","indices":[105,128]}]}</t>
  </si>
  <si>
    <t>1521063480220073984</t>
  </si>
  <si>
    <t>jeanmedavis</t>
  </si>
  <si>
    <t>French seller - 'We can prepare your INTERNET orders. However delivery times cannot be guaranteed because of the transport delay. We thank you for your understanding'. That's OK, not time sensitive - BUT no UK option to deliver on address form. #Brexit Thanks @BorisJohnson #angry</t>
  </si>
  <si>
    <t>Mon May 02 09:46:08 +0000 2022</t>
  </si>
  <si>
    <t>1531710163</t>
  </si>
  <si>
    <t>http://pbs.twimg.com/profile_images/1520111640871587840/SGCXEXmt_normal.jpg</t>
  </si>
  <si>
    <t>Highlands &amp; Islands, Scotland.</t>
  </si>
  <si>
    <t>http://twitter.com/jeanmedavis/statuses/1521063480220073984</t>
  </si>
  <si>
    <t>{"hashtags":[{"text":"Brexit","indices":[245,252]},{"text":"angry","indices":[274,280]}],"symbols":[],"user_mentions":[{"screen_name":"BorisJohnson","name":"Boris Johnson","id":3131144855,"id_str":"3131144855","indices":[260,273]}],"urls":[]}</t>
  </si>
  <si>
    <t>1521063399379116033</t>
  </si>
  <si>
    <t>JoelRouvinen</t>
  </si>
  <si>
    <t>RT @Ulkopolitist: Kiitos #Kreml'in ja #Brexit'in, #EU:n integraation suunta on selvä: Se käy poispäin #Venäjä'stä ja fossiilisista polttoaineista kohti yhteistyötä, joka vielä muutama kuukausi sitten ohitettiin historian reaalipoliittisena jäänteenä, @Julleht kirjoittaa.https://t.co/XA3TJ4aryg</t>
  </si>
  <si>
    <t>Mon May 02 09:45:49 +0000 2022</t>
  </si>
  <si>
    <t>781086576</t>
  </si>
  <si>
    <t>http://pbs.twimg.com/profile_images/1443543209955766276/Wjq6pUeL_normal.jpg</t>
  </si>
  <si>
    <t>Finland</t>
  </si>
  <si>
    <t>http://twitter.com/JoelRouvinen/statuses/1521063399379116033</t>
  </si>
  <si>
    <t>{"hashtags":[{"text":"Kreml","indices":[25,31]},{"text":"Brexit","indices":[38,45]},{"text":"EU","indices":[50,53]},{"text":"Venäjä","indices":[102,109]}],"symbols":[],"user_mentions":[{"screen_name":"Ulkopolitist","name":"The Ulkopolitist","id":296735119,"id_str":"296735119","indices":[3,16]}],"urls":[]}</t>
  </si>
  <si>
    <t>1521063397307072512</t>
  </si>
  <si>
    <t>Aktuell in der @boersenzeitung: Explodierende Kosten und die anstehende Rückzahlung von Corona-Hilfskrediten haben dazu geführt, dass die Zahl der britischen Firmen in Finanznöten deutlich gestiegen ist #Brexit #coronavirus #BrexitShambles https://t.co/n0QFqmijfr</t>
  </si>
  <si>
    <t>Mon May 02 09:45:48 +0000 2022</t>
  </si>
  <si>
    <t>http://twitter.com/BakerMcGER/statuses/1521063397307072512</t>
  </si>
  <si>
    <t>{"hashtags":[{"text":"Brexit","indices":[203,210]},{"text":"coronavirus","indices":[211,223]},{"text":"BrexitShambles","indices":[224,239]}],"symbols":[],"user_mentions":[{"screen_name":"boersenzeitung","name":"Börsen-Zeitung","id":38622802,"id_str":"38622802","indices":[15,30]}],"urls":[],"media":[{"id":1521063227832127500,"id_str":"1521063227832127488","indices":[240,263],"media_url":"http://pbs.twimg.com/media/FRvm8l_X0AAFnL3.png","media_url_https":"https://pbs.twimg.com/media/FRvm8l_X0AAFnL3.png","url":"https://t.co/n0QFqmijfr","display_url":"pic.twitter.com/n0QFqmijfr","expanded_url":"https://twitter.com/BakerMcGER/status/1521063397307072512/photo/1","type":"photo","sizes":{"medium":{"w":399,"h":325,"resize":"fit"},"small":{"w":399,"h":325,"resize":"fit"},"large":{"w":399,"h":325,"resize":"fit"},"thumb":{"w":150,"h":150,"resize":"crop"}}}]}</t>
  </si>
  <si>
    <t>1521063308794773504</t>
  </si>
  <si>
    <t>BawsmanJJ</t>
  </si>
  <si>
    <t>RT @EliasMichalas: Another Brexit calamity: UK drivers now ‘BANNED’ from driving in Spain https://t.co/Am4sFjoZqO #bbcbreakfast #gmb #bbcnews #itvnews #C4News #5news #skynews #lbc #gbnews #Brexit #BrexitReality #BrexitHasFailed #BrexitShambles #Brexitbenefits #BrexitBritain #BrexitSuccess #Torymps</t>
  </si>
  <si>
    <t>Mon May 02 09:45:27 +0000 2022</t>
  </si>
  <si>
    <t>163381770</t>
  </si>
  <si>
    <t>http://pbs.twimg.com/profile_images/1499335559273140226/ybBx1qYk_normal.jpg</t>
  </si>
  <si>
    <t>Lytham St. Annes, England</t>
  </si>
  <si>
    <t>http://twitter.com/BawsmanJJ/statuses/1521063308794773504</t>
  </si>
  <si>
    <t>{"hashtags":[{"text":"bbcbreakfast","indices":[114,127]},{"text":"gmb","indices":[128,132]}],"symbols":[],"user_mentions":[{"screen_name":"EliasMichalas","name":"Elias M. 🏳️‍🌈🇨🇾 🔶️Testes ad Brexitam #FBPE","id":306823427,"id_str":"306823427","indices":[3,17]}],"urls":[{"url":"https://t.co/Am4sFjoZqO","expanded_url":"https://www.thelondoneconomic.com/news/why-uk-drivers-banned-driving-licence-spain-brexit-321207/","display_url":"thelondoneconomic.com/news/why-uk-dr…","indices":[90,113]}]}</t>
  </si>
  <si>
    <t>1521063303300145152</t>
  </si>
  <si>
    <t>bloggerheads</t>
  </si>
  <si>
    <t>Mon May 02 09:45:26 +0000 2022</t>
  </si>
  <si>
    <t>28528503</t>
  </si>
  <si>
    <t>http://pbs.twimg.com/profile_images/1457861383790411776/d6xWjIBY_normal.jpg</t>
  </si>
  <si>
    <t>Peaksville, Plague Island</t>
  </si>
  <si>
    <t>http://twitter.com/bloggerheads/statuses/1521063303300145152</t>
  </si>
  <si>
    <t>1521063254650507265</t>
  </si>
  <si>
    <t>A_HORDE_OF_CATS</t>
  </si>
  <si>
    <t>Mon May 02 09:45:14 +0000 2022</t>
  </si>
  <si>
    <t>818826927486173184</t>
  </si>
  <si>
    <t>http://pbs.twimg.com/profile_images/1504139248156479489/SPBRBk19_normal.jpg</t>
  </si>
  <si>
    <t>wouldnt you like to know</t>
  </si>
  <si>
    <t>http://twitter.com/A_HORDE_OF_CATS/statuses/1521063254650507265</t>
  </si>
  <si>
    <t>1521063093329178631</t>
  </si>
  <si>
    <t>paulhaganrea</t>
  </si>
  <si>
    <t>Mon May 02 09:44:36 +0000 2022</t>
  </si>
  <si>
    <t>700892911</t>
  </si>
  <si>
    <t>http://pbs.twimg.com/profile_images/1400341498110042113/cfhrUTUJ_normal.jpg</t>
  </si>
  <si>
    <t>Ballynure</t>
  </si>
  <si>
    <t>http://twitter.com/paulhaganrea/statuses/1521063093329178631</t>
  </si>
  <si>
    <t>1521063056624832512</t>
  </si>
  <si>
    <t>Phoeboise</t>
  </si>
  <si>
    <t>Mon May 02 09:44:27 +0000 2022</t>
  </si>
  <si>
    <t>1286972234272210950</t>
  </si>
  <si>
    <t>http://pbs.twimg.com/profile_images/1499868138623614976/azJo41GS_normal.jpg</t>
  </si>
  <si>
    <t>http://twitter.com/Phoeboise/statuses/1521063056624832512</t>
  </si>
  <si>
    <t>1521062984436621312</t>
  </si>
  <si>
    <t>CenGinLondon</t>
  </si>
  <si>
    <t>@johnredwood It's already cool. £80bn a year lost through #Brexit</t>
  </si>
  <si>
    <t>Mon May 02 09:44:10 +0000 2022</t>
  </si>
  <si>
    <t>93880122</t>
  </si>
  <si>
    <t>johnredwood</t>
  </si>
  <si>
    <t>538428412</t>
  </si>
  <si>
    <t>1521011749914300416</t>
  </si>
  <si>
    <t>http://pbs.twimg.com/profile_images/1210965979116834821/2I0BOOtg_normal.jpg</t>
  </si>
  <si>
    <t>County Durham</t>
  </si>
  <si>
    <t>http://twitter.com/CenGinLondon/statuses/1521062984436621312</t>
  </si>
  <si>
    <t>{"hashtags":[{"text":"Brexit","indices":[58,65]}],"symbols":[],"user_mentions":[{"screen_name":"johnredwood","name":"John Redwood","id":93880122,"id_str":"93880122","indices":[0,12]}],"urls":[]}</t>
  </si>
  <si>
    <t>1521062927012356096</t>
  </si>
  <si>
    <t>CentralPlanner9</t>
  </si>
  <si>
    <t>While The Daily Mail is allowed to lie, distort and misrepresent with impunity, we will remain a corrupt, nasty little country: Boris' #Brexit Britain.
No honesty, no integrity, no public interest. The Mail is biased to its rotten core.
#JohnsonOut98 https://t.co/X8ueYj0RA1</t>
  </si>
  <si>
    <t>Mon May 02 09:43:56 +0000 2022</t>
  </si>
  <si>
    <t>1449825546</t>
  </si>
  <si>
    <t>http://pbs.twimg.com/profile_images/892795702069182464/k4sTQF9N_normal.jpg</t>
  </si>
  <si>
    <t>http://twitter.com/CentralPlanner9/statuses/1521062927012356096</t>
  </si>
  <si>
    <t>{"hashtags":[{"text":"Brexit","indices":[135,142]},{"text":"JohnsonOut98","indices":[237,250]}],"symbols":[],"user_mentions":[],"urls":[{"url":"https://t.co/X8ueYj0RA1","expanded_url":"https://twitter.com/willgeorgelloyd/status/1520890933008551939","display_url":"twitter.com/willgeorgelloy…","indices":[251,274]}]}</t>
  </si>
  <si>
    <t>1521062905243914240</t>
  </si>
  <si>
    <t>ironknee61</t>
  </si>
  <si>
    <t>Mon May 02 09:43:51 +0000 2022</t>
  </si>
  <si>
    <t>915735345366491136</t>
  </si>
  <si>
    <t>http://pbs.twimg.com/profile_images/1360461045467394048/fBB8YKoP_normal.jpg</t>
  </si>
  <si>
    <t>Oakham, England</t>
  </si>
  <si>
    <t>http://twitter.com/ironknee61/statuses/1521062905243914240</t>
  </si>
  <si>
    <t>1521062890752684033</t>
  </si>
  <si>
    <t>chloe4711</t>
  </si>
  <si>
    <t>Mon May 02 09:43:47 +0000 2022</t>
  </si>
  <si>
    <t>914377458</t>
  </si>
  <si>
    <t>http://pbs.twimg.com/profile_images/1231263474942173184/sujwIENQ_normal.jpg</t>
  </si>
  <si>
    <t>Dundee, Scotland</t>
  </si>
  <si>
    <t>http://twitter.com/chloe4711/statuses/1521062890752684033</t>
  </si>
  <si>
    <t>1521062854073499648</t>
  </si>
  <si>
    <t>Eastwood12Colin</t>
  </si>
  <si>
    <t>Mon May 02 09:43:39 +0000 2022</t>
  </si>
  <si>
    <t>1501305670871703556</t>
  </si>
  <si>
    <t>http://twitter.com/Eastwood12Colin/statuses/1521062854073499648</t>
  </si>
  <si>
    <t>1521062826810482688</t>
  </si>
  <si>
    <t>PatrickFbpe</t>
  </si>
  <si>
    <t>Mon May 02 09:43:32 +0000 2022</t>
  </si>
  <si>
    <t>1066690690099367936</t>
  </si>
  <si>
    <t>http://pbs.twimg.com/profile_images/1205996337289928704/Ps8RZ-7-_normal.jpg</t>
  </si>
  <si>
    <t xml:space="preserve">United Kingdom in the EU </t>
  </si>
  <si>
    <t>http://twitter.com/PatrickFbpe/statuses/1521062826810482688</t>
  </si>
  <si>
    <t>1521062765602947073</t>
  </si>
  <si>
    <t>MariaDelGreco1</t>
  </si>
  <si>
    <t>Mon May 02 09:43:17 +0000 2022</t>
  </si>
  <si>
    <t>1334460630</t>
  </si>
  <si>
    <t>http://pbs.twimg.com/profile_images/1496976388276039681/eguhoZ6N_normal.jpg</t>
  </si>
  <si>
    <t>http://twitter.com/MariaDelGreco1/statuses/1521062765602947073</t>
  </si>
  <si>
    <t>1521062671432491008</t>
  </si>
  <si>
    <t>LaCheshireChat</t>
  </si>
  <si>
    <t>Mon May 02 09:42:55 +0000 2022</t>
  </si>
  <si>
    <t>17106496</t>
  </si>
  <si>
    <t>http://pbs.twimg.com/profile_images/1192410824888991744/QuTbKgbD_normal.jpg</t>
  </si>
  <si>
    <t>Central Brittany, France</t>
  </si>
  <si>
    <t>http://twitter.com/LaCheshireChat/statuses/1521062671432491008</t>
  </si>
  <si>
    <t>1521062581418565633</t>
  </si>
  <si>
    <t>Rachel_Borrill</t>
  </si>
  <si>
    <t>Mon May 02 09:42:34 +0000 2022</t>
  </si>
  <si>
    <t>550320370</t>
  </si>
  <si>
    <t>http://pbs.twimg.com/profile_images/2087114943/smaller_rose_normal.jpg</t>
  </si>
  <si>
    <t>Ireland</t>
  </si>
  <si>
    <t>http://twitter.com/Rachel_Borrill/statuses/1521062581418565633</t>
  </si>
  <si>
    <t>1521062567946465280</t>
  </si>
  <si>
    <t>LordFluffon</t>
  </si>
  <si>
    <t>#Brexit https://t.co/nHRBTzcDoH</t>
  </si>
  <si>
    <t>Mon May 02 09:42:30 +0000 2022</t>
  </si>
  <si>
    <t>204973629</t>
  </si>
  <si>
    <t>http://pbs.twimg.com/profile_images/1732665212/IMG00021-20110422-1220_normal.jpg</t>
  </si>
  <si>
    <t>Nottingham, United Kingdom</t>
  </si>
  <si>
    <t>http://twitter.com/LordFluffon/statuses/1521062567946465280</t>
  </si>
  <si>
    <t>{"hashtags":[{"text":"Brexit","indices":[0,7]}],"symbols":[],"user_mentions":[],"urls":[{"url":"https://t.co/nHRBTzcDoH","expanded_url":"https://twitter.com/nottslive/status/1521059671464894464","display_url":"twitter.com/nottslive/stat…","indices":[8,31]}]}</t>
  </si>
  <si>
    <t>1521062526934528000</t>
  </si>
  <si>
    <t>RT @bmay: Rees-Mogg saying that to actually implement our #Brexit deal, which they all claimed was a great triumph, would be ‘an act of self-harm’, is the final wheel falling off the red bus. They have run out of pretence, out of lies, out of excuses.
It is a total disaster. As predicted.</t>
  </si>
  <si>
    <t>Mon May 02 09:42:21 +0000 2022</t>
  </si>
  <si>
    <t>http://twitter.com/Rachel_Borrill/statuses/1521062526934528000</t>
  </si>
  <si>
    <t>{"hashtags":[{"text":"Brexit","indices":[58,65]}],"symbols":[],"user_mentions":[{"screen_name":"bmay","name":"Brendan May","id":12321952,"id_str":"12321952","indices":[3,8]}],"urls":[]}</t>
  </si>
  <si>
    <t>1521062493032005633</t>
  </si>
  <si>
    <t>lucysqueetle</t>
  </si>
  <si>
    <t>Mon May 02 09:42:12 +0000 2022</t>
  </si>
  <si>
    <t>827264962598825984</t>
  </si>
  <si>
    <t>http://pbs.twimg.com/profile_images/1005013058840940544/dyZhNtTA_normal.jpg</t>
  </si>
  <si>
    <t>http://twitter.com/lucysqueetle/statuses/1521062493032005633</t>
  </si>
  <si>
    <t>1521062475004796928</t>
  </si>
  <si>
    <t>Eleanor1026</t>
  </si>
  <si>
    <t>Mon May 02 09:42:08 +0000 2022</t>
  </si>
  <si>
    <t>235617709</t>
  </si>
  <si>
    <t>http://pbs.twimg.com/profile_images/512794861842333697/-tZr7fcL_normal.jpeg</t>
  </si>
  <si>
    <t>http://twitter.com/Eleanor1026/statuses/1521062475004796928</t>
  </si>
  <si>
    <t>1521062432013271042</t>
  </si>
  <si>
    <t>fluteuphisnose</t>
  </si>
  <si>
    <t>Mon May 02 09:41:58 +0000 2022</t>
  </si>
  <si>
    <t>1346119466363592706</t>
  </si>
  <si>
    <t>http://pbs.twimg.com/profile_images/1346417494957944833/fWtQZMpg_normal.jpg</t>
  </si>
  <si>
    <t>Wallington, UK</t>
  </si>
  <si>
    <t>http://twitter.com/fluteuphisnose/statuses/1521062432013271042</t>
  </si>
  <si>
    <t>1521062425096867841</t>
  </si>
  <si>
    <t>JulieBJewellery</t>
  </si>
  <si>
    <t>Mon May 02 09:41:56 +0000 2022</t>
  </si>
  <si>
    <t>350977914</t>
  </si>
  <si>
    <t>http://pbs.twimg.com/profile_images/1350406548984500225/ls3sOmBf_normal.png</t>
  </si>
  <si>
    <t>Buckinghamshire</t>
  </si>
  <si>
    <t>http://twitter.com/JulieBJewellery/statuses/1521062425096867841</t>
  </si>
  <si>
    <t>1521062420801892353</t>
  </si>
  <si>
    <t>Lordwessenden12</t>
  </si>
  <si>
    <t>@susannareid100 @GMB Can you ask him why he lied to the British people and to the HOC? Can you also ask him if he thinks it’s okay to lie about them knowing about asymptomatic covid and care homes and also why #brexit is such a disaster? #PinocchioPrimeMinister</t>
  </si>
  <si>
    <t>Mon May 02 09:41:55 +0000 2022</t>
  </si>
  <si>
    <t>19477583</t>
  </si>
  <si>
    <t>susannareid100</t>
  </si>
  <si>
    <t>1500391045066117123</t>
  </si>
  <si>
    <t>1521024148985847808</t>
  </si>
  <si>
    <t>http://pbs.twimg.com/profile_images/1500395867450265601/m2wwk5QX_normal.jpg</t>
  </si>
  <si>
    <t>http://twitter.com/Lordwessenden12/statuses/1521062420801892353</t>
  </si>
  <si>
    <t>{"hashtags":[{"text":"brexit","indices":[210,217]},{"text":"PinocchioPrimeMinister","indices":[238,261]}],"symbols":[],"user_mentions":[{"screen_name":"susannareid100","name":"Susanna Reid","id":19477583,"id_str":"19477583","indices":[0,15]},{"screen_name":"GMB","name":"Good Morning Britain","id":19424427,"id_str":"19424427","indices":[16,20]}],"urls":[]}</t>
  </si>
  <si>
    <t>1521062402908901379</t>
  </si>
  <si>
    <t>Mon May 02 09:41:51 +0000 2022</t>
  </si>
  <si>
    <t>http://twitter.com/Eleanor1026/statuses/1521062402908901379</t>
  </si>
  <si>
    <t>1521062334235656192</t>
  </si>
  <si>
    <t>Mon May 02 09:41:35 +0000 2022</t>
  </si>
  <si>
    <t>http://twitter.com/Eleanor1026/statuses/1521062334235656192</t>
  </si>
  <si>
    <t>1521062277499215878</t>
  </si>
  <si>
    <t>Mon May 02 09:41:21 +0000 2022</t>
  </si>
  <si>
    <t>http://twitter.com/Eleanor1026/statuses/1521062277499215878</t>
  </si>
  <si>
    <t>1521062206250622976</t>
  </si>
  <si>
    <t>bobirving_green</t>
  </si>
  <si>
    <t>Mon May 02 09:41:04 +0000 2022</t>
  </si>
  <si>
    <t>85199704</t>
  </si>
  <si>
    <t>http://pbs.twimg.com/profile_images/1330198665881939968/2PoPbITt_normal.jpg</t>
  </si>
  <si>
    <t>Cirencester, England</t>
  </si>
  <si>
    <t>http://twitter.com/bobirving_green/statuses/1521062206250622976</t>
  </si>
  <si>
    <t>1521062174185168896</t>
  </si>
  <si>
    <t>Bumbleb58352158</t>
  </si>
  <si>
    <t>RT @clarescastle: @JohnRentoul Tks for chance to reread Sue Gray update. I’d missed detail of her legal advisor on the gatherings. Had a quick look at Daniel Stilitz on Twitter. Should a QC so publicly antiTory, anti PM anti #Brexit have been consulted by the Civil Service? Spoilt for choice of partisan tweets https://t.co/usvfDhySyx</t>
  </si>
  <si>
    <t>Mon May 02 09:40:56 +0000 2022</t>
  </si>
  <si>
    <t>1142039463293521926</t>
  </si>
  <si>
    <t>http://pbs.twimg.com/profile_images/1293298670012641289/7dAwfSEA_normal.jpg</t>
  </si>
  <si>
    <t>http://twitter.com/Bumbleb58352158/statuses/1521062174185168896</t>
  </si>
  <si>
    <t>{"hashtags":[],"symbols":[],"user_mentions":[{"screen_name":"clarescastle","name":"Clarissa Reilly","id":1015356829373788200,"id_str":"1015356829373788169","indices":[3,16]},{"screen_name":"JohnRentoul","name":"John Rentoul","id":14085096,"id_str":"14085096","indices":[18,30]}],"urls":[]}</t>
  </si>
  <si>
    <t>1521062163154092035</t>
  </si>
  <si>
    <t>JuhaLemmetti</t>
  </si>
  <si>
    <t>Mon May 02 09:40:54 +0000 2022</t>
  </si>
  <si>
    <t>2461888274</t>
  </si>
  <si>
    <t>http://pbs.twimg.com/profile_images/582837157850558465/St0C4Dp2_normal.jpg</t>
  </si>
  <si>
    <t>Tampere, Finland</t>
  </si>
  <si>
    <t>http://twitter.com/JuhaLemmetti/statuses/1521062163154092035</t>
  </si>
  <si>
    <t>1521062153595363328</t>
  </si>
  <si>
    <t>Aktuell auf @DLF: Brexit und Corona - 78 Prozent der britischen Firmen mit Problemen bei der Suche nach Fachkräften https://t.co/Ligi07mngQ #Brexit #BrexitReality #COVID19</t>
  </si>
  <si>
    <t>Mon May 02 09:40:52 +0000 2022</t>
  </si>
  <si>
    <t>http://twitter.com/BakerMcGER/statuses/1521062153595363328</t>
  </si>
  <si>
    <t>{"hashtags":[{"text":"Brexit","indices":[140,147]},{"text":"BrexitReality","indices":[148,162]},{"text":"COVID19","indices":[163,171]}],"symbols":[],"user_mentions":[{"screen_name":"DLF","name":"Deutschlandfunk","id":212407067,"id_str":"212407067","indices":[12,16]}],"urls":[{"url":"https://t.co/Ligi07mngQ","expanded_url":"https://bit.ly/3OJNBhn","display_url":"bit.ly/3OJNBhn","indices":[116,139]}]}</t>
  </si>
  <si>
    <t>1521062135677263872</t>
  </si>
  <si>
    <t>datamanvt</t>
  </si>
  <si>
    <t>@mywonderfulbest @DailyMailUK @Conservatives Long time since it was a right wing paper, actually all the way back to @theresa_may’s day and #Brexit, it’s now trying to become the centre ground @guardian.</t>
  </si>
  <si>
    <t>Mon May 02 09:40:47 +0000 2022</t>
  </si>
  <si>
    <t>2355277091</t>
  </si>
  <si>
    <t>mywonderfulbest</t>
  </si>
  <si>
    <t>108117472</t>
  </si>
  <si>
    <t>1520908576415485953</t>
  </si>
  <si>
    <t>http://pbs.twimg.com/profile_images/1419610963800641542/4hfLPE6o_normal.jpg</t>
  </si>
  <si>
    <t>http://twitter.com/datamanvt/statuses/1521062135677263872</t>
  </si>
  <si>
    <t>{"hashtags":[{"text":"Brexit","indices":[140,147]}],"symbols":[],"user_mentions":[{"screen_name":"mywonderfulbest","name":"YoungWing","id":2355277091,"id_str":"2355277091","indices":[0,16]},{"screen_name":"DailyMailUK","name":"Daily Mail U.K.","id":111556423,"id_str":"111556423","indices":[17,29]},{"screen_name":"Conservatives","name":"Conservatives","id":14281853,"id_str":"14281853","indices":[30,44]},{"screen_name":"theresa_may","name":"Theresa May","id":747807250819981300,"id_str":"747807250819981312","indices":[117,129]},{"screen_name":"guardian","name":"The Guardian","id":87818409,"id_str":"87818409","indices":[193,202]}],"urls":[]}</t>
  </si>
  <si>
    <t>1521062039254405120</t>
  </si>
  <si>
    <t>theradgeygadgey</t>
  </si>
  <si>
    <t>@Angelsfeartogo Yes, the #Brexit crowd are so dim that with everything stacked against them they won the referendum.
Doesn’t say a lot for #FBPE, does it?</t>
  </si>
  <si>
    <t>Mon May 02 09:40:24 +0000 2022</t>
  </si>
  <si>
    <t>949387674737086464</t>
  </si>
  <si>
    <t>Angelsfeartogo</t>
  </si>
  <si>
    <t>161686725</t>
  </si>
  <si>
    <t>1521059706168651776</t>
  </si>
  <si>
    <t>http://pbs.twimg.com/profile_images/1483141928229249025/wG7Qplvp_normal.jpg</t>
  </si>
  <si>
    <t>Newcastle.</t>
  </si>
  <si>
    <t>http://twitter.com/theradgeygadgey/statuses/1521062039254405120</t>
  </si>
  <si>
    <t>{"hashtags":[{"text":"Brexit","indices":[25,32]},{"text":"FBPE","indices":[140,145]}],"symbols":[],"user_mentions":[{"screen_name":"Angelsfeartogo","name":"LozzatheAngel","id":949387674737086500,"id_str":"949387674737086464","indices":[0,15]}],"urls":[]}</t>
  </si>
  <si>
    <t>1521061900615888896</t>
  </si>
  <si>
    <t>Mon May 02 09:39:51 +0000 2022</t>
  </si>
  <si>
    <t>http://twitter.com/Raycspike/statuses/1521061900615888896</t>
  </si>
  <si>
    <t>1521061860648312832</t>
  </si>
  <si>
    <t>JTempowski</t>
  </si>
  <si>
    <t>Mon May 02 09:39:42 +0000 2022</t>
  </si>
  <si>
    <t>1217701146</t>
  </si>
  <si>
    <t>http://pbs.twimg.com/profile_images/636852912040374272/L0LwvbEp_normal.png</t>
  </si>
  <si>
    <t>http://twitter.com/JTempowski/statuses/1521061860648312832</t>
  </si>
  <si>
    <t>1521061847046238211</t>
  </si>
  <si>
    <t>IvanKlass_</t>
  </si>
  <si>
    <t>#BREXIT #UK #BIZ #DWP #DCMS #HUMANRIGHTS #USA #EU #Music #UkraineRussiaWar #Russia #War #Europe 
NOT CALLED HUMAN BEINGS !!!
UNDER BREXIT GESTAPO HUMAN &amp;amp; ARTISTIC OPPRESSION UK RULES
BBC NEWS: Channel Migrants: Border Force intercepts 254 on Sunday https://t.co/GnZ0iLbc92</t>
  </si>
  <si>
    <t>Mon May 02 09:39:38 +0000 2022</t>
  </si>
  <si>
    <t>2162364234</t>
  </si>
  <si>
    <t>http://pbs.twimg.com/profile_images/1349071400401833987/BiORcOg-_normal.jpg</t>
  </si>
  <si>
    <t>Milton Keynes, England</t>
  </si>
  <si>
    <t>http://twitter.com/IvanKlass_/statuses/1521061847046238211</t>
  </si>
  <si>
    <t>{"hashtags":[{"text":"BREXIT","indices":[0,7]},{"text":"UK","indices":[8,11]},{"text":"BIZ","indices":[12,16]},{"text":"DWP","indices":[17,21]},{"text":"DCMS","indices":[22,27]},{"text":"HUMANRIGHTS","indices":[28,40]},{"text":"USA","indices":[41,45]},{"text":"EU","indices":[46,49]},{"text":"Music","indices":[50,56]},{"text":"UkraineRussiaWar","indices":[57,74]},{"text":"Russia","indices":[75,82]},{"text":"War","indices":[83,87]},{"text":"Europe","indices":[88,95]}],"symbols":[],"user_mentions":[],"urls":[{"url":"https://t.co/GnZ0iLbc92","expanded_url":"https://www.bbc.co.uk/news/uk-england-kent-61293693","display_url":"bbc.co.uk/news/uk-englan…","indices":[254,277]}]}</t>
  </si>
  <si>
    <t>1521061843682353152</t>
  </si>
  <si>
    <t>DEYCatherine1</t>
  </si>
  <si>
    <t>RT @frenchieinlimbo: accused of interfering in the US presidential election in 2016 that saw Donald Trump win the presidency.
They are also suspected of assisting the #Brexit victory. https://t.co/V4D81CAn4t</t>
  </si>
  <si>
    <t>1083117836334190593</t>
  </si>
  <si>
    <t>http://pbs.twimg.com/profile_images/1477583989674323970/eaiEdDYY_normal.jpg</t>
  </si>
  <si>
    <t>http://twitter.com/DEYCatherine1/statuses/1521061843682353152</t>
  </si>
  <si>
    <t>{"hashtags":[],"symbols":[],"user_mentions":[{"screen_name":"frenchieinlimbo","name":"Murielle/European /🇪🇺🇬🇧🇨🇵🇺🇦","id":898453457409114100,"id_str":"898453457409114112","indices":[3,19]}],"urls":[]}</t>
  </si>
  <si>
    <t>1521061836292083712</t>
  </si>
  <si>
    <t>garside_geoff</t>
  </si>
  <si>
    <t>Really poor reporting of #PassportOffice backlog.
It is not just about people having their holidays ruined. Despite #brexit, British citizens do actually have to travel for their jobs.</t>
  </si>
  <si>
    <t>Mon May 02 09:39:36 +0000 2022</t>
  </si>
  <si>
    <t>1428737997776859145</t>
  </si>
  <si>
    <t>http://pbs.twimg.com/profile_images/1496203778118369282/RdTYCX7Y_normal.jpg</t>
  </si>
  <si>
    <t>Germany</t>
  </si>
  <si>
    <t>http://twitter.com/garside_geoff/statuses/1521061836292083712</t>
  </si>
  <si>
    <t>{"hashtags":[{"text":"PassportOffice","indices":[25,40]},{"text":"brexit","indices":[117,124]}],"symbols":[],"user_mentions":[],"urls":[]}</t>
  </si>
  <si>
    <t>1521061700887367680</t>
  </si>
  <si>
    <t>Macheath1</t>
  </si>
  <si>
    <t>Mon May 02 09:39:04 +0000 2022</t>
  </si>
  <si>
    <t>1372426416</t>
  </si>
  <si>
    <t>http://pbs.twimg.com/profile_images/498066849402064896/TmDHTnCF_normal.jpeg</t>
  </si>
  <si>
    <t>Shropshire, UK</t>
  </si>
  <si>
    <t>http://twitter.com/Macheath1/statuses/1521061700887367680</t>
  </si>
  <si>
    <t>1521061639382085633</t>
  </si>
  <si>
    <t>mikew4EU</t>
  </si>
  <si>
    <t>Mon May 02 09:38:49 +0000 2022</t>
  </si>
  <si>
    <t>4391165297</t>
  </si>
  <si>
    <t>http://pbs.twimg.com/profile_images/1372551209295446019/1VLlehOi_normal.jpg</t>
  </si>
  <si>
    <t>http://twitter.com/mikew4EU/statuses/1521061639382085633</t>
  </si>
  <si>
    <t>1521061624173539329</t>
  </si>
  <si>
    <t>Reasons2Rejoin</t>
  </si>
  <si>
    <t>Mon May 02 09:38:45 +0000 2022</t>
  </si>
  <si>
    <t>4056411503</t>
  </si>
  <si>
    <t>http://pbs.twimg.com/profile_images/719834784931979264/PvzjFM_J_normal.jpg</t>
  </si>
  <si>
    <t>http://twitter.com/Reasons2Rejoin/statuses/1521061624173539329</t>
  </si>
  <si>
    <t>1521061607186571264</t>
  </si>
  <si>
    <t>larrietiernan</t>
  </si>
  <si>
    <t>Enabled by @michaelgove! #ToryCorruption and #ToryCriminality You and @BorisJohnson lied about #Brexit! There are no #BrexitBenefits Mr @Jacob_Rees_Moog. #KickOutTheTories at the #LocalElections2022 and #Wakefield and #TivertonandHoniton by-elections. https://t.co/YV39s91NnA</t>
  </si>
  <si>
    <t>Mon May 02 09:38:41 +0000 2022</t>
  </si>
  <si>
    <t>636127267</t>
  </si>
  <si>
    <t>http://pbs.twimg.com/profile_images/2399790932/gmkozko8p9ubs044km0d_normal.jpeg</t>
  </si>
  <si>
    <t>http://twitter.com/larrietiernan/statuses/1521061607186571264</t>
  </si>
  <si>
    <t>{"hashtags":[{"text":"ToryCorruption","indices":[25,40]},{"text":"ToryCriminality","indices":[45,61]},{"text":"Brexit","indices":[95,102]},{"text":"BrexitBenefits","indices":[117,132]},{"text":"KickOutTheTories","indices":[154,171]},{"text":"LocalElections2022","indices":[179,198]},{"text":"Wakefield","indices":[203,213]},{"text":"TivertonandHoniton","indices":[218,237]}],"symbols":[],"user_mentions":[{"screen_name":"michaelgove","name":"Michael Gove","id":748453510048518100,"id_str":"748453510048518145","indices":[11,23]},{"screen_name":"BorisJohnson","name":"Boris Johnson","id":3131144855,"id_str":"3131144855","indices":[70,83]}],"urls":[{"url":"https://t.co/YV39s91NnA","expanded_url":"https://twitter.com/AngelaRayner/status/1521045305365565442","display_url":"twitter.com/AngelaRayner/s…","indices":[252,275]}]}</t>
  </si>
  <si>
    <t>1521061590421934081</t>
  </si>
  <si>
    <t>sludge0407</t>
  </si>
  <si>
    <t>RT @Facts4euOrg: Exposed: EU &amp;amp; French hypocrisy about migrant boats in the Channel.
EU coastguard boss quits after agency caught in pushbacks of migrant boats in Greece. For your extraordinary #Brexit summary click here: https://t.co/qSrtnIa8C1
@pritipatel https://t.co/LTtxa0goJJ</t>
  </si>
  <si>
    <t>Mon May 02 09:38:37 +0000 2022</t>
  </si>
  <si>
    <t>2467414394</t>
  </si>
  <si>
    <t>england</t>
  </si>
  <si>
    <t>http://twitter.com/sludge0407/statuses/1521061590421934081</t>
  </si>
  <si>
    <t>1521061590019321856</t>
  </si>
  <si>
    <t>eelemsti</t>
  </si>
  <si>
    <t>#GTTO #ToriesOut5thMay #ToryScumOut #ToryCorruption #TorySleaze #ToriesOut #ToriesUnfitToGovern #ToriesOutNow #ToriesDevoidOfShame #ToryCriminals #JohnsonOut99 #torybritain #CorruptPoliticians #CorruptToriesOut #Elections2022 #covid #nhs #CostOfLivingCrisis #brexit #EnergyCrisis https://t.co/zpwYNXHAu0</t>
  </si>
  <si>
    <t>103682164</t>
  </si>
  <si>
    <t>http://pbs.twimg.com/profile_images/1485212315909820419/MTuI0LJN_normal.jpg</t>
  </si>
  <si>
    <t>http://twitter.com/eelemsti/statuses/1521061590019321856</t>
  </si>
  <si>
    <t>{"hashtags":[{"text":"GTTO","indices":[0,5]},{"text":"ToriesOut5thMay","indices":[6,22]},{"text":"ToryScumOut","indices":[23,35]},{"text":"ToryCorruption","indices":[36,51]},{"text":"TorySleaze","indices":[52,63]},{"text":"ToriesOut","indices":[64,74]},{"text":"ToriesUnfitToGovern","indices":[75,95]},{"text":"ToriesOutNow","indices":[96,109]},{"text":"ToriesDevoidOfShame","indices":[110,130]},{"text":"ToryCriminals","indices":[131,145]},{"text":"JohnsonOut99","indices":[146,159]},{"text":"torybritain","indices":[160,172]},{"text":"CorruptPoliticians","indices":[173,192]},{"text":"CorruptToriesOut","indices":[193,210]},{"text":"Elections2022","indices":[211,225]},{"text":"covid","indices":[226,232]},{"text":"nhs","indices":[233,237]},{"text":"CostOfLivingCrisis","indices":[238,257]},{"text":"brexit","indices":[258,265]},{"text":"EnergyCrisis","indices":[266,279]}],"symbols":[],"user_mentions":[],"urls":[],"media":[{"id":1521061586781327400,"id_str":"1521061586781327360","indices":[280,303],"media_url":"http://pbs.twimg.com/media/FRvldEmX0AAA432.jpg","media_url_https":"https://pbs.twimg.com/media/FRvldEmX0AAA432.jpg","url":"https://t.co/zpwYNXHAu0","display_url":"pic.twitter.com/zpwYNXHAu0","expanded_url":"https://twitter.com/eelemsti/status/1521061590019321856/photo/1","type":"photo","sizes":{"thumb":{"w":150,"h":150,"resize":"crop"},"large":{"w":915,"h":518,"resize":"fit"},"medium":{"w":915,"h":518,"resize":"fit"},"small":{"w":680,"h":385,"resize":"fit"}}}]}</t>
  </si>
  <si>
    <t>1521061559325310977</t>
  </si>
  <si>
    <t>WstephenWatson</t>
  </si>
  <si>
    <t>Mon May 02 09:38:30 +0000 2022</t>
  </si>
  <si>
    <t>602964370</t>
  </si>
  <si>
    <t>http://pbs.twimg.com/profile_images/911675601781760000/VX8kKd1__normal.jpg</t>
  </si>
  <si>
    <t>Escocia, Reino Unido</t>
  </si>
  <si>
    <t>http://twitter.com/WstephenWatson/statuses/1521061559325310977</t>
  </si>
  <si>
    <t>1521061551104536576</t>
  </si>
  <si>
    <t>lyonette_ruth</t>
  </si>
  <si>
    <t>Mon May 02 09:38:28 +0000 2022</t>
  </si>
  <si>
    <t>1387838378431991812</t>
  </si>
  <si>
    <t>http://twitter.com/lyonette_ruth/statuses/1521061551104536576</t>
  </si>
  <si>
    <t>1521061547858141189</t>
  </si>
  <si>
    <t>HighlandHeathen</t>
  </si>
  <si>
    <t>Mon May 02 09:38:27 +0000 2022</t>
  </si>
  <si>
    <t>2262435659</t>
  </si>
  <si>
    <t>http://pbs.twimg.com/profile_images/1365009119506280457/65XGjQYk_normal.jpg</t>
  </si>
  <si>
    <t>Folkestone, England</t>
  </si>
  <si>
    <t>http://twitter.com/HighlandHeathen/statuses/1521061547858141189</t>
  </si>
  <si>
    <t>1521061516950347777</t>
  </si>
  <si>
    <t>nina_williamson</t>
  </si>
  <si>
    <t>Mon May 02 09:38:20 +0000 2022</t>
  </si>
  <si>
    <t>3242383048</t>
  </si>
  <si>
    <t>http://twitter.com/nina_williamson/statuses/1521061516950347777</t>
  </si>
  <si>
    <t>1521061491541221386</t>
  </si>
  <si>
    <t>Kander181</t>
  </si>
  <si>
    <t>Mon May 02 09:38:14 +0000 2022</t>
  </si>
  <si>
    <t>1030483515891171328</t>
  </si>
  <si>
    <t>http://twitter.com/Kander181/statuses/1521061491541221386</t>
  </si>
  <si>
    <t>1521061438823051266</t>
  </si>
  <si>
    <t>VerityKalcev</t>
  </si>
  <si>
    <t>@strandedatsea @Miss_Snuffy @DouglasKMurray What annoys me about Birbalsingh is her pupils being unable to access the #Erasmus education scheme at university which her former/founding governor politician @suellabraverman benefited from &amp;amp; then voted to prevent others enjoying. #Brexit #Hypocrite</t>
  </si>
  <si>
    <t>Mon May 02 09:38:01 +0000 2022</t>
  </si>
  <si>
    <t>186520006</t>
  </si>
  <si>
    <t>strandedatsea</t>
  </si>
  <si>
    <t>771611432</t>
  </si>
  <si>
    <t>1521058047795372032</t>
  </si>
  <si>
    <t>http://pbs.twimg.com/profile_images/563467930458136577/sHteWM3F_normal.jpeg</t>
  </si>
  <si>
    <t>Formerly EU</t>
  </si>
  <si>
    <t>http://twitter.com/VerityKalcev/statuses/1521061438823051266</t>
  </si>
  <si>
    <t>{"hashtags":[{"text":"Erasmus","indices":[118,126]},{"text":"Brexit","indices":[281,288]},{"text":"Hypocrite","indices":[289,299]}],"symbols":[],"user_mentions":[{"screen_name":"strandedatsea","name":"Half Woman Half Mince Pie","id":186520006,"id_str":"186520006","indices":[0,14]},{"screen_name":"Miss_Snuffy","name":"Katharine Birbalsingh","id":211675022,"id_str":"211675022","indices":[15,27]},{"screen_name":"DouglasKMurray","name":"Douglas Murray","id":419520517,"id_str":"419520517","indices":[28,43]},{"screen_name":"SuellaBraverman","name":"Suella Braverman MP","id":1722829178,"id_str":"1722829178","indices":[204,220]}],"urls":[]}</t>
  </si>
  <si>
    <t>1521061375115677700</t>
  </si>
  <si>
    <t>Julleht</t>
  </si>
  <si>
    <t>Mon May 02 09:37:46 +0000 2022</t>
  </si>
  <si>
    <t>629242290</t>
  </si>
  <si>
    <t>http://pbs.twimg.com/profile_images/1514320882377887760/wO25e4Pz_normal.jpg</t>
  </si>
  <si>
    <t>julius.lehtinen@databyro.fi</t>
  </si>
  <si>
    <t>http://twitter.com/Julleht/statuses/1521061375115677700</t>
  </si>
  <si>
    <t>1521061372569833475</t>
  </si>
  <si>
    <t>antrim_coaster</t>
  </si>
  <si>
    <t>Mon May 02 09:37:45 +0000 2022</t>
  </si>
  <si>
    <t>69091742</t>
  </si>
  <si>
    <t>http://pbs.twimg.com/profile_images/1909743496/image_normal.jpg</t>
  </si>
  <si>
    <t>Northern Ireland</t>
  </si>
  <si>
    <t>http://twitter.com/antrim_coaster/statuses/1521061372569833475</t>
  </si>
  <si>
    <t>1521061310284316673</t>
  </si>
  <si>
    <t>PShootLFWW</t>
  </si>
  <si>
    <t>@PeterChave3 #JohnsonOut98 #UkraineRussiaWar #Ukraine️ #CostOfLivingCrisis #RefugeesWelcome #Refugee #ToryLies #ToryHypocrisy #ToryCorruption #ToryScum #ToriesUnfitToGovern #Partygate #COVID19 #ToryBrexitDisaster #Brexit</t>
  </si>
  <si>
    <t>Mon May 02 09:37:30 +0000 2022</t>
  </si>
  <si>
    <t>1241045728761458688</t>
  </si>
  <si>
    <t>PeterChave3</t>
  </si>
  <si>
    <t>1140575482854948864</t>
  </si>
  <si>
    <t>1521025796562948113</t>
  </si>
  <si>
    <t>http://pbs.twimg.com/profile_images/1217377637246676993/hxOPOVkd_normal.jpg</t>
  </si>
  <si>
    <t>http://twitter.com/PShootLFWW/statuses/1521061310284316673</t>
  </si>
  <si>
    <t>{"hashtags":[{"text":"JohnsonOut98","indices":[13,26]},{"text":"UkraineRussiaWar","indices":[27,44]},{"text":"Ukraine️","indices":[45,54]},{"text":"CostOfLivingCrisis","indices":[55,74]},{"text":"RefugeesWelcome","indices":[75,91]},{"text":"Refugee","indices":[92,100]},{"text":"ToryLies","indices":[101,110]},{"text":"ToryHypocrisy","indices":[111,125]},{"text":"ToryCorruption","indices":[126,141]},{"text":"ToryScum","indices":[142,151]},{"text":"ToriesUnfitToGovern","indices":[152,172]},{"text":"Partygate","indices":[173,183]},{"text":"COVID19","indices":[184,192]},{"text":"ToryBrexitDisaster","indices":[193,212]},{"text":"Brexit","indices":[213,220]}],"symbols":[],"user_mentions":[{"screen_name":"PeterChave3","name":"Peter Chave #StarmerOut #IStandWithAlexeiSayle","id":1241045728761458700,"id_str":"1241045728761458688","indices":[0,12]}],"urls":[]}</t>
  </si>
  <si>
    <t>1521061219335131136</t>
  </si>
  <si>
    <t>bellesareblue</t>
  </si>
  <si>
    <t>Mon May 02 09:37:09 +0000 2022</t>
  </si>
  <si>
    <t>1021881101873233920</t>
  </si>
  <si>
    <t>http://twitter.com/bellesareblue/statuses/1521061219335131136</t>
  </si>
  <si>
    <t>1521061186158178305</t>
  </si>
  <si>
    <t>RT @TheCPDiary: @Graz_Jakomini @Raycspike @Tesco It's most supermarkets, including @asda - not bank holiday issues, although that's not helping, the long term issues are #Brexit and the fact that food that is being exported into the UK is stuck at ports, mostly perishable good. Madness...</t>
  </si>
  <si>
    <t>Mon May 02 09:37:01 +0000 2022</t>
  </si>
  <si>
    <t>http://twitter.com/Iloveautumn2/statuses/1521061186158178305</t>
  </si>
  <si>
    <t>{"hashtags":[],"symbols":[],"user_mentions":[{"screen_name":"TheCPDiary","name":"Ilana_Estelle_Author","id":138498185,"id_str":"138498185","indices":[3,14]},{"screen_name":"Graz_Jakomini","name":"Steiner #RejoinEU 🇪🇺🇦🇹","id":1173186635321790500,"id_str":"1173186635321790466","indices":[16,30]},{"screen_name":"Raycspike","name":"Ray. #FBPE #FBPEGlobal, #FBPA #FBPPR","id":1536330835,"id_str":"1536330835","indices":[31,41]},{"screen_name":"Tesco","name":"Tesco","id":271986064,"id_str":"271986064","indices":[42,48]},{"screen_name":"asda","name":"Asda","id":20123366,"id_str":"20123366","indices":[83,88]}],"urls":[]}</t>
  </si>
  <si>
    <t>1521061108181872642</t>
  </si>
  <si>
    <t>IainMacInnesUHI</t>
  </si>
  <si>
    <t>Mon May 02 09:36:42 +0000 2022</t>
  </si>
  <si>
    <t>730049253398204416</t>
  </si>
  <si>
    <t>http://pbs.twimg.com/profile_images/1427526811118972951/-Vob1Sl6_normal.jpg</t>
  </si>
  <si>
    <t>Dornoch, Scotland</t>
  </si>
  <si>
    <t>http://twitter.com/IainMacInnesUHI/statuses/1521061108181872642</t>
  </si>
  <si>
    <t>1521061088191823872</t>
  </si>
  <si>
    <t>ukreloaded</t>
  </si>
  <si>
    <t>What's being put forward is the "false promise" of a Referendum that "isnt going to happen"
People making the argument for a second referendum are "not being honest" about whether its achievable
Keir Starmer - March 2017
#NeverLabour #LabourLies #Brexit https://t.co/mY7EXExc7A</t>
  </si>
  <si>
    <t>Mon May 02 09:36:38 +0000 2022</t>
  </si>
  <si>
    <t>754635115368685568</t>
  </si>
  <si>
    <t>http://pbs.twimg.com/profile_images/1518593015685734400/9HzF2bkU_normal.jpg</t>
  </si>
  <si>
    <t xml:space="preserve">United Kingdom </t>
  </si>
  <si>
    <t>http://twitter.com/ukreloaded/statuses/1521061088191823872</t>
  </si>
  <si>
    <t>{"hashtags":[{"text":"NeverLabour","indices":[224,236]},{"text":"LabourLies","indices":[237,248]},{"text":"Brexit","indices":[249,256]}],"symbols":[],"user_mentions":[],"urls":[],"media":[{"id":1521061085666762800,"id_str":"1521061085666762752","indices":[257,280],"media_url":"http://pbs.twimg.com/media/FRvk_5zWYAAer4m.jpg","media_url_https":"https://pbs.twimg.com/media/FRvk_5zWYAAer4m.jpg","url":"https://t.co/mY7EXExc7A","display_url":"pic.twitter.com/mY7EXExc7A","expanded_url":"https://twitter.com/ukreloaded/status/1521061088191823872/photo/1","type":"photo","sizes":{"thumb":{"w":150,"h":150,"resize":"crop"},"medium":{"w":916,"h":601,"resize":"fit"},"small":{"w":680,"h":446,"resize":"fit"},"large":{"w":916,"h":601,"resize":"fit"}}}]}</t>
  </si>
  <si>
    <t>1521061067748638721</t>
  </si>
  <si>
    <t>palinterest</t>
  </si>
  <si>
    <t>Does #Brexit Really Means Brexit: UK Exiting European Union What is Brexit?
Brexit is a coined name for Britain’s exit from the membership of European https://t.co/NDZAp8QoQS #brexitnegotiations</t>
  </si>
  <si>
    <t>Mon May 02 09:36:33 +0000 2022</t>
  </si>
  <si>
    <t>975385661099462658</t>
  </si>
  <si>
    <t>&lt;a href="https://revive.social/" rel="nofollow"&gt;Revive Social App&lt;/a&gt;</t>
  </si>
  <si>
    <t>http://pbs.twimg.com/profile_images/975386814612758529/TzmfFxnp_normal.jpg</t>
  </si>
  <si>
    <t>http://twitter.com/palinterest/statuses/1521061067748638721</t>
  </si>
  <si>
    <t>{"hashtags":[{"text":"Brexit","indices":[5,12]},{"text":"brexitnegotiations","indices":[176,195]}],"symbols":[],"user_mentions":[],"urls":[{"url":"https://t.co/NDZAp8QoQS","expanded_url":"https://conclud.com/does-brexit-really-means-brexit-uk-exiting-european-union/?utm_source=ReviveOldPost&amp;utm_medium=social&amp;utm_campaign=ReviveOldPost","display_url":"conclud.com/does-brexit-re…","indices":[152,175]}]}</t>
  </si>
  <si>
    <t>1521061005610082305</t>
  </si>
  <si>
    <t>GladstoneMarian</t>
  </si>
  <si>
    <t>RT @GladstoneMarian: #MayDay2022 None. He said it would be 40. None. And #Brexit has undone. And he broke lockdown law. And he stripped away #Covid protections to enable contagion. And he oversaw elder care exposed to infection . And… https://t.co/J3Nulmll5c</t>
  </si>
  <si>
    <t>Mon May 02 09:36:18 +0000 2022</t>
  </si>
  <si>
    <t>1125443593085358082</t>
  </si>
  <si>
    <t>http://pbs.twimg.com/profile_images/1357635164311072768/ulZryeoL_normal.jpg</t>
  </si>
  <si>
    <t>Leicester, England</t>
  </si>
  <si>
    <t>http://twitter.com/GladstoneMarian/statuses/1521061005610082305</t>
  </si>
  <si>
    <t>{"hashtags":[{"text":"MayDay2022","indices":[21,32]},{"text":"Brexit","indices":[73,80]}],"symbols":[],"user_mentions":[{"screen_name":"GladstoneMarian","name":"Marian Gladstone","id":1125443593085358100,"id_str":"1125443593085358082","indices":[3,19]}],"urls":[]}</t>
  </si>
  <si>
    <t>1521060990607142912</t>
  </si>
  <si>
    <t>davidmacdougall</t>
  </si>
  <si>
    <t>Mon May 02 09:36:14 +0000 2022</t>
  </si>
  <si>
    <t>18606767</t>
  </si>
  <si>
    <t>http://pbs.twimg.com/profile_images/1412417199994773516/vDVk3oij_normal.jpg</t>
  </si>
  <si>
    <t>🏴󠁧󠁢󠁳󠁣󠁴󠁿/ 🇫🇮</t>
  </si>
  <si>
    <t>http://twitter.com/davidmacdougall/statuses/1521060990607142912</t>
  </si>
  <si>
    <t>1521060973813055489</t>
  </si>
  <si>
    <t>juk5252</t>
  </si>
  <si>
    <t>Mon May 02 09:36:10 +0000 2022</t>
  </si>
  <si>
    <t>1727895235</t>
  </si>
  <si>
    <t>http://pbs.twimg.com/profile_images/1309848749997465601/K_GCrHBj_normal.jpg</t>
  </si>
  <si>
    <t>http://twitter.com/juk5252/statuses/1521060973813055489</t>
  </si>
  <si>
    <t>1521060918771261440</t>
  </si>
  <si>
    <t>#MayDay2022 None. He said it would be 40. None. And #Brexit has undone. And he broke lockdown law. And he stripped away #Covid protections to enable contagion. And he oversaw elder care exposed to infection . And… https://t.co/J3Nulmll5c</t>
  </si>
  <si>
    <t>Mon May 02 09:35:57 +0000 2022</t>
  </si>
  <si>
    <t>http://twitter.com/GladstoneMarian/statuses/1521060918771261440</t>
  </si>
  <si>
    <t>{"hashtags":[{"text":"MayDay2022","indices":[0,11]},{"text":"Brexit","indices":[52,59]},{"text":"Covid","indices":[120,126]}],"symbols":[],"user_mentions":[],"urls":[{"url":"https://t.co/J3Nulmll5c","expanded_url":"https://twitter.com/mattprescott/status/1520873127944888323","display_url":"twitter.com/mattprescott/s…","indices":[214,237]}]}</t>
  </si>
  <si>
    <t>1521060847744958465</t>
  </si>
  <si>
    <t>_AndyHemming</t>
  </si>
  <si>
    <t>Mon May 02 09:35:40 +0000 2022</t>
  </si>
  <si>
    <t>3422068439</t>
  </si>
  <si>
    <t>http://pbs.twimg.com/profile_images/1488526366622507014/OWgXEDEc_normal.jpg</t>
  </si>
  <si>
    <t xml:space="preserve">On't Hill. </t>
  </si>
  <si>
    <t>http://twitter.com/_AndyHemming/statuses/1521060847744958465</t>
  </si>
  <si>
    <t>1521060824995057665</t>
  </si>
  <si>
    <t>jezobrien</t>
  </si>
  <si>
    <t>@Masios3 @capitanotonz @NickWebb73 @GyllKing I do understand it. You can’t explain how someone was legally resident in Spain before #Brexit before WA without following 🇪🇸 registration process. More to the point why did they knowingly evade it?</t>
  </si>
  <si>
    <t>Mon May 02 09:35:35 +0000 2022</t>
  </si>
  <si>
    <t>1076153101973970944</t>
  </si>
  <si>
    <t>Masios3</t>
  </si>
  <si>
    <t>1243720622</t>
  </si>
  <si>
    <t>1521058220432936960</t>
  </si>
  <si>
    <t>http://twitter.com/jezobrien/statuses/1521060824995057665</t>
  </si>
  <si>
    <t>{"hashtags":[{"text":"Brexit","indices":[132,139]}],"symbols":[],"user_mentions":[{"screen_name":"Masios3","name":"Masios","id":1076153101973971000,"id_str":"1076153101973970944","indices":[0,8]},{"screen_name":"capitanotonz","name":"anthony cummins","id":61614170,"id_str":"61614170","indices":[9,22]},{"screen_name":"NickWebb73","name":"Nick Webb","id":1568866248,"id_str":"1568866248","indices":[23,34]},{"screen_name":"GyllKing","name":"Lady Sir Gyll King","id":1292863282165026800,"id_str":"1292863282165026817","indices":[35,44]}],"urls":[]}</t>
  </si>
  <si>
    <t>1521060824277823489</t>
  </si>
  <si>
    <t>SHarr73146294</t>
  </si>
  <si>
    <t>3413221420</t>
  </si>
  <si>
    <t>http://twitter.com/SHarr73146294/statuses/1521060824277823489</t>
  </si>
  <si>
    <t>1521060799476912128</t>
  </si>
  <si>
    <t>MrN_Cooper</t>
  </si>
  <si>
    <t>Mon May 02 09:35:29 +0000 2022</t>
  </si>
  <si>
    <t>4195404089</t>
  </si>
  <si>
    <t>http://pbs.twimg.com/profile_images/930170034349133825/s3Tf-SYs_normal.jpg</t>
  </si>
  <si>
    <t>Derby, England</t>
  </si>
  <si>
    <t>http://twitter.com/MrN_Cooper/statuses/1521060799476912128</t>
  </si>
  <si>
    <t>1521060790987546625</t>
  </si>
  <si>
    <t>Mon May 02 09:35:27 +0000 2022</t>
  </si>
  <si>
    <t>http://twitter.com/SHarr73146294/statuses/1521060790987546625</t>
  </si>
  <si>
    <t>1521060733794066433</t>
  </si>
  <si>
    <t>Ulkopolitist</t>
  </si>
  <si>
    <t>Kiitos #Kreml'in ja #Brexit'in, #EU:n integraation suunta on selvä: Se käy poispäin #Venäjä'stä ja fossiilisista polttoaineista kohti yhteistyötä, joka vielä muutama kuukausi sitten ohitettiin historian reaalipoliittisena jäänteenä, @Julleht kirjoittaa.https://t.co/XA3TJ4aryg</t>
  </si>
  <si>
    <t>Mon May 02 09:35:13 +0000 2022</t>
  </si>
  <si>
    <t>296735119</t>
  </si>
  <si>
    <t>http://pbs.twimg.com/profile_images/1497235833463660544/cNd_elK-_normal.jpg</t>
  </si>
  <si>
    <t>Helsinki</t>
  </si>
  <si>
    <t>http://twitter.com/Ulkopolitist/statuses/1521060733794066433</t>
  </si>
  <si>
    <t>{"hashtags":[{"text":"Kreml","indices":[7,13]},{"text":"Brexit","indices":[20,27]},{"text":"EU","indices":[32,35]},{"text":"Venäjä","indices":[84,91]}],"symbols":[],"user_mentions":[{"screen_name":"Julleht","name":"Julius Lehtinen 🇺🇦","id":629242290,"id_str":"629242290","indices":[233,241]}],"urls":[{"url":"https://t.co/XA3TJ4aryg","expanded_url":"https://ulkopolitist.fi/2022/05/02/eu-federalismi-on-jalleen-taalla-kiitos-kreml-ja-brexit/","display_url":"ulkopolitist.fi/2022/05/02/eu-…","indices":[253,276]}]}</t>
  </si>
  <si>
    <t>1521060656119795713</t>
  </si>
  <si>
    <t>Jon_Danzig</t>
  </si>
  <si>
    <t>Without a proper fight back, the #Rejoin message won’t win. To be successful, we must demolish the #Brexit lies. My full commentary on Facebook: https://t.co/fSzW5ZPyhw LinkedIn: https://t.co/6N8bobNmAW Instagram: https://t.co/4XVEa9f1AQ https://t.co/uv3GKe7NhE</t>
  </si>
  <si>
    <t>Mon May 02 09:34:55 +0000 2022</t>
  </si>
  <si>
    <t>248187579</t>
  </si>
  <si>
    <t>http://pbs.twimg.com/profile_images/2592740101/iniqqdp2wxpzgsetim8i_normal.jpeg</t>
  </si>
  <si>
    <t>http://twitter.com/Jon_Danzig/statuses/1521060656119795713</t>
  </si>
  <si>
    <t>{"hashtags":[{"text":"Rejoin","indices":[33,40]},{"text":"Brexit","indices":[99,106]}],"symbols":[],"user_mentions":[],"urls":[{"url":"https://t.co/fSzW5ZPyhw","expanded_url":"https://bit.ly/3vBEtny","display_url":"bit.ly/3vBEtny","indices":[145,168]},{"url":"https://t.co/6N8bobNmAW","expanded_url":"https://bit.ly/3MH1OK3","display_url":"bit.ly/3MH1OK3","indices":[179,202]},{"url":"https://t.co/4XVEa9f1AQ","expanded_url":"https://bit.ly/37584vV","display_url":"bit.ly/37584vV","indices":[214,237]}],"media":[{"id":1521060328666189800,"id_str":"1521060328666189824","indices":[238,261],"media_url":"http://pbs.twimg.com/media/FRvkT1wWUAAX8nO.png","media_url_https":"https://pbs.twimg.com/media/FRvkT1wWUAAX8nO.png","url":"https://t.co/uv3GKe7NhE","display_url":"pic.twitter.com/uv3GKe7NhE","expanded_url":"https://twitter.com/Jon_Danzig/status/1521060656119795713/photo/1","type":"photo","sizes":{"small":{"w":680,"h":680,"resize":"fit"},"large":{"w":2048,"h":2048,"resize":"fit"},"thumb":{"w":150,"h":150,"resize":"crop"},"medium":{"w":1200,"h":1200,"resize":"fit"}}}]}</t>
  </si>
  <si>
    <t>1521060626013077504</t>
  </si>
  <si>
    <t>mgroedl</t>
  </si>
  <si>
    <t>British expats: ‘Best area’ in Spain’s Costa del Sol for Britons - ‘just breathtaking’ #expats #expat #people #expatlife #thousands #brexit #spain https://t.co/3rbCdkReHQ</t>
  </si>
  <si>
    <t>Mon May 02 09:34:47 +0000 2022</t>
  </si>
  <si>
    <t>44636539</t>
  </si>
  <si>
    <t>&lt;a href="https://nectar.social" rel="nofollow"&gt;BHIVE Nectar&lt;/a&gt;</t>
  </si>
  <si>
    <t>http://pbs.twimg.com/profile_images/1388803978339700736/Ffurm3Y1_normal.jpg</t>
  </si>
  <si>
    <t>Frankfurt am Main, Hessen</t>
  </si>
  <si>
    <t>http://twitter.com/mgroedl/statuses/1521060626013077504</t>
  </si>
  <si>
    <t>{"hashtags":[{"text":"expats","indices":[87,94]},{"text":"expat","indices":[95,101]},{"text":"people","indices":[102,109]},{"text":"expatlife","indices":[110,120]},{"text":"thousands","indices":[121,131]},{"text":"brexit","indices":[132,139]},{"text":"spain","indices":[140,146]}],"symbols":[],"user_mentions":[],"urls":[{"url":"https://t.co/3rbCdkReHQ","expanded_url":"https://bhive.nectar.social/Rd571A","display_url":"bhive.nectar.social/Rd571A","indices":[147,170]}]}</t>
  </si>
  <si>
    <t>1521060587475718145</t>
  </si>
  <si>
    <t>Brendan76922313</t>
  </si>
  <si>
    <t>Mon May 02 09:34:38 +0000 2022</t>
  </si>
  <si>
    <t>1475065577446293508</t>
  </si>
  <si>
    <t>http://pbs.twimg.com/profile_images/1475065753162465281/cAZIcdCy_normal.jpg</t>
  </si>
  <si>
    <t>http://twitter.com/Brendan76922313/statuses/1521060587475718145</t>
  </si>
  <si>
    <t>1521060579078598656</t>
  </si>
  <si>
    <t>Dorothy23897725</t>
  </si>
  <si>
    <t>Mon May 02 09:34:36 +0000 2022</t>
  </si>
  <si>
    <t>1172400317104709632</t>
  </si>
  <si>
    <t>http://pbs.twimg.com/profile_images/1318434944025206785/yGGiCi4n_normal.jpg</t>
  </si>
  <si>
    <t>Australia</t>
  </si>
  <si>
    <t>http://twitter.com/Dorothy23897725/statuses/1521060579078598656</t>
  </si>
  <si>
    <t>1521060562100228096</t>
  </si>
  <si>
    <t>strupy</t>
  </si>
  <si>
    <t>Mon May 02 09:34:32 +0000 2022</t>
  </si>
  <si>
    <t>24182196</t>
  </si>
  <si>
    <t>http://pbs.twimg.com/profile_images/1414996013039898631/zsHqNMsm_normal.jpg</t>
  </si>
  <si>
    <t>http://twitter.com/strupy/statuses/1521060562100228096</t>
  </si>
  <si>
    <t>1521060500662104066</t>
  </si>
  <si>
    <t>Olicanarama</t>
  </si>
  <si>
    <t>What took them so long? Normal for the EU … dither around until it is too late. 
#EU #EUFail #BrexitBenefit #Brexit 
Putin dealt hammer blow as EU ready to ban Russian oil and cripple Ukraine invasion 
https://t.co/GNuERRcftm</t>
  </si>
  <si>
    <t>Mon May 02 09:34:17 +0000 2022</t>
  </si>
  <si>
    <t>1345692894640955392</t>
  </si>
  <si>
    <t>http://pbs.twimg.com/profile_images/1345700244194029568/fbKUvmvb_normal.jpg</t>
  </si>
  <si>
    <t>http://twitter.com/Olicanarama/statuses/1521060500662104066</t>
  </si>
  <si>
    <t>{"hashtags":[{"text":"EU","indices":[82,85]},{"text":"EUFail","indices":[86,93]},{"text":"BrexitBenefit","indices":[94,108]},{"text":"Brexit","indices":[109,116]}],"symbols":[],"user_mentions":[],"urls":[{"url":"https://t.co/GNuERRcftm","expanded_url":"https://www.express.co.uk/news/science/1604079/putin-news-russia-oil-gas-sanctions-eu-ban-ursula-von-der-leyen","display_url":"express.co.uk/news/science/1…","indices":[205,228]}]}</t>
  </si>
  <si>
    <t>1521060448736616450</t>
  </si>
  <si>
    <t>NathanJordan81</t>
  </si>
  <si>
    <t>Mon May 02 09:34:05 +0000 2022</t>
  </si>
  <si>
    <t>1509776817149956096</t>
  </si>
  <si>
    <t>http://pbs.twimg.com/profile_images/1509780317523034112/87YCnUX8_normal.jpg</t>
  </si>
  <si>
    <t>Glasgow</t>
  </si>
  <si>
    <t>http://twitter.com/NathanJordan81/statuses/1521060448736616450</t>
  </si>
  <si>
    <t>1521060398102978560</t>
  </si>
  <si>
    <t>JillFox16</t>
  </si>
  <si>
    <t>Mon May 02 09:33:53 +0000 2022</t>
  </si>
  <si>
    <t>19925677</t>
  </si>
  <si>
    <t>http://pbs.twimg.com/profile_images/1497524763987689472/9kAfFK8w_normal.jpg</t>
  </si>
  <si>
    <t>http://twitter.com/JillFox16/statuses/1521060398102978560</t>
  </si>
  <si>
    <t>1521060315504517121</t>
  </si>
  <si>
    <t>loubug</t>
  </si>
  <si>
    <t>Mon May 02 09:33:33 +0000 2022</t>
  </si>
  <si>
    <t>14952915</t>
  </si>
  <si>
    <t>http://pbs.twimg.com/profile_images/1450466420303798280/jk8DVC8D_normal.jpg</t>
  </si>
  <si>
    <t>http://twitter.com/loubug/statuses/1521060315504517121</t>
  </si>
  <si>
    <t>1521060248949346304</t>
  </si>
  <si>
    <t>p2pmoneyshop</t>
  </si>
  <si>
    <t>@Selacious @thetakappa73 @mike434prof we bit of advice son let the Scots decide things about Scotland you stick to your #Brexit benefits</t>
  </si>
  <si>
    <t>Mon May 02 09:33:17 +0000 2022</t>
  </si>
  <si>
    <t>1493363156311322630</t>
  </si>
  <si>
    <t>Selacious</t>
  </si>
  <si>
    <t>1270123698</t>
  </si>
  <si>
    <t>1521058874425589761</t>
  </si>
  <si>
    <t>http://pbs.twimg.com/profile_images/1520063843594084359/wQOqcNx3_normal.jpg</t>
  </si>
  <si>
    <t>http://twitter.com/p2pmoneyshop/statuses/1521060248949346304</t>
  </si>
  <si>
    <t>{"hashtags":[{"text":"Brexit","indices":[120,127]}],"symbols":[],"user_mentions":[{"screen_name":"Selacious","name":"Marcus","id":1493363156311322600,"id_str":"1493363156311322630","indices":[0,10]},{"screen_name":"thetakappa73","name":"Theo🇬🇷🏴󠁧󠁢󠁳󠁣󠁴󠁿🇪🇺","id":2221840593,"id_str":"2221840593","indices":[11,24]},{"screen_name":"mike434prof","name":"Mike McCann Veterans Radio Network","id":722804070,"id_str":"722804070","indices":[25,37]}],"urls":[]}</t>
  </si>
  <si>
    <t>1521060231589122048</t>
  </si>
  <si>
    <t>BearnePeter</t>
  </si>
  <si>
    <t>Mon May 02 09:33:13 +0000 2022</t>
  </si>
  <si>
    <t>1148500249276801024</t>
  </si>
  <si>
    <t>http://pbs.twimg.com/profile_images/1448276214829961220/Vy8Mxmb5_normal.jpg</t>
  </si>
  <si>
    <t>Bower Hinton South Somerset</t>
  </si>
  <si>
    <t>http://twitter.com/BearnePeter/statuses/1521060231589122048</t>
  </si>
  <si>
    <t>1521060193878040576</t>
  </si>
  <si>
    <t>VinaigretteGirl</t>
  </si>
  <si>
    <t>Mon May 02 09:33:04 +0000 2022</t>
  </si>
  <si>
    <t>310028318</t>
  </si>
  <si>
    <t>http://pbs.twimg.com/profile_images/1400186564253212674/u0Yunbw7_normal.jpg</t>
  </si>
  <si>
    <t>Oxford, England</t>
  </si>
  <si>
    <t>http://twitter.com/VinaigretteGirl/statuses/1521060193878040576</t>
  </si>
  <si>
    <t>1521060169584623622</t>
  </si>
  <si>
    <t>Geenimetsuri</t>
  </si>
  <si>
    <t>@StamatinaLiosi Look how well it went with the #BREXIT vote, where people had limited real information about the consequences, and the rampant disinformation campaign by the media decided the vote.
Parliamentary elections serve the purpose of deciding the politics, not random referendums.</t>
  </si>
  <si>
    <t>Mon May 02 09:32:59 +0000 2022</t>
  </si>
  <si>
    <t>1253572774683193345</t>
  </si>
  <si>
    <t>StamatinaLiosi</t>
  </si>
  <si>
    <t>2748499999</t>
  </si>
  <si>
    <t>1521058356580044802</t>
  </si>
  <si>
    <t>http://pbs.twimg.com/profile_images/1165389252886220802/gDuxwPpo_normal.jpg</t>
  </si>
  <si>
    <t>4 dimensional variable</t>
  </si>
  <si>
    <t>http://twitter.com/Geenimetsuri/statuses/1521060169584623622</t>
  </si>
  <si>
    <t>{"hashtags":[{"text":"BREXIT","indices":[47,54]}],"symbols":[],"user_mentions":[{"screen_name":"StamatinaLiosi","name":"Stamatina Liosi","id":1253572774683193300,"id_str":"1253572774683193345","indices":[0,15]}],"urls":[]}</t>
  </si>
  <si>
    <t>1521060057290584064</t>
  </si>
  <si>
    <t>reza_sharifii</t>
  </si>
  <si>
    <t>به خروج بریتانیا از اتحادیه اروپا گفتند برگزیت (ترکیب بریتانیا+اگزیت) الان به خروج ایرلند شمالی از اتحادیه بریتانیا چی بگیم؟ ایرگزیت خوبه؟ :)
#Brexit https://t.co/5myjm62RTp</t>
  </si>
  <si>
    <t>Mon May 02 09:32:32 +0000 2022</t>
  </si>
  <si>
    <t>855522219669282816</t>
  </si>
  <si>
    <t>http://pbs.twimg.com/profile_images/1505616465449390085/Y3uKOVqS_normal.jpg</t>
  </si>
  <si>
    <t>Tehran, Iran</t>
  </si>
  <si>
    <t>http://twitter.com/reza_sharifii/statuses/1521060057290584064</t>
  </si>
  <si>
    <t>{"hashtags":[{"text":"Brexit","indices":[142,149]}],"symbols":[],"user_mentions":[],"urls":[{"url":"https://t.co/5myjm62RTp","expanded_url":"https://twitter.com/AbediniElham/status/1521040885638647809","display_url":"twitter.com/AbediniElham/s…","indices":[150,173]}]}</t>
  </si>
  <si>
    <t>1521060011773992960</t>
  </si>
  <si>
    <t>infobancaetica</t>
  </si>
  <si>
    <t>Mon May 02 09:32:21 +0000 2022</t>
  </si>
  <si>
    <t>611057586</t>
  </si>
  <si>
    <t>http://pbs.twimg.com/profile_images/2316882204/iconoInfoBancaEtica_normal.png</t>
  </si>
  <si>
    <t>http://twitter.com/infobancaetica/statuses/1521060011773992960</t>
  </si>
  <si>
    <t>1521059962734227457</t>
  </si>
  <si>
    <t>superdupedoodle</t>
  </si>
  <si>
    <t>Mon May 02 09:32:09 +0000 2022</t>
  </si>
  <si>
    <t>866477964</t>
  </si>
  <si>
    <t>http://pbs.twimg.com/profile_images/1092370775363936256/lDCAltSx_normal.jpg</t>
  </si>
  <si>
    <t>http://twitter.com/superdupedoodle/statuses/1521059962734227457</t>
  </si>
  <si>
    <t>1521059948624596995</t>
  </si>
  <si>
    <t>mariexcotte</t>
  </si>
  <si>
    <t>RT @salima_yenbou: « Désobéir à certaines règles européennes  » ceux qui l’ont fait ce sont les #anglais et l’étape suivante a été le #Brexit !
 #EELV s’est vendue pour un plat de lentilles. 
Où sont passés ces militants verts fédéralistes européens ? #legislatives2022 @UEF_France @MouvEuropeen_Fr https://t.co/6Dtsl2WDhm</t>
  </si>
  <si>
    <t>Mon May 02 09:32:06 +0000 2022</t>
  </si>
  <si>
    <t>1245245495347499008</t>
  </si>
  <si>
    <t>http://pbs.twimg.com/profile_images/1516709587797385222/IzEwhYku_normal.jpg</t>
  </si>
  <si>
    <t>http://twitter.com/mariexcotte/statuses/1521059948624596995</t>
  </si>
  <si>
    <t>{"hashtags":[{"text":"anglais","indices":[96,104]}],"symbols":[],"user_mentions":[{"screen_name":"salima_yenbou","name":"Salima Yenbou","id":714914764,"id_str":"714914764","indices":[3,17]}],"urls":[]}</t>
  </si>
  <si>
    <t>1521059892320215041</t>
  </si>
  <si>
    <t>charlie001</t>
  </si>
  <si>
    <t>Mon May 02 09:31:52 +0000 2022</t>
  </si>
  <si>
    <t>18413470</t>
  </si>
  <si>
    <t>http://pbs.twimg.com/profile_images/1412448493130682378/7pHkSPdB_normal.jpg</t>
  </si>
  <si>
    <t>http://twitter.com/charlie001/statuses/1521059892320215041</t>
  </si>
  <si>
    <t>1521059863442477056</t>
  </si>
  <si>
    <t>graham669</t>
  </si>
  <si>
    <t>Mon May 02 09:31:46 +0000 2022</t>
  </si>
  <si>
    <t>108000529</t>
  </si>
  <si>
    <t>http://pbs.twimg.com/profile_images/1503664413500493826/EtrtSs48_normal.jpg</t>
  </si>
  <si>
    <t>Worcestershire, UK</t>
  </si>
  <si>
    <t>http://twitter.com/graham669/statuses/1521059863442477056</t>
  </si>
  <si>
    <t>1521059859055226881</t>
  </si>
  <si>
    <t>Mon May 02 09:31:44 +0000 2022</t>
  </si>
  <si>
    <t>http://twitter.com/charlie001/statuses/1521059859055226881</t>
  </si>
  <si>
    <t>1521059845457256449</t>
  </si>
  <si>
    <t>damaumart1</t>
  </si>
  <si>
    <t>RT @TomFriang: La voie 2️⃣, c’est la même que celle de #LePen. C’est la rhétorique qui a permis le #Brexit dont on connaît les résultats. C’est @yjadot doublé par @sandrousseau, c’est @Anne_Hidalgo minée par @faureolivier. Les candidats trahis deux fois. Pendant la campagne, après la campagne.</t>
  </si>
  <si>
    <t>Mon May 02 09:31:41 +0000 2022</t>
  </si>
  <si>
    <t>111256680</t>
  </si>
  <si>
    <t>http://pbs.twimg.com/profile_images/666262462656872448/StbBmf68_normal.jpg</t>
  </si>
  <si>
    <t>Limoges,Tarbes,Paris,Toulouse</t>
  </si>
  <si>
    <t>http://twitter.com/damaumart1/statuses/1521059845457256449</t>
  </si>
  <si>
    <t>{"hashtags":[{"text":"LePen","indices":[55,61]},{"text":"Brexit","indices":[99,106]}],"symbols":[],"user_mentions":[{"screen_name":"TomFriang","name":"Thomas Friang","id":522256829,"id_str":"522256829","indices":[3,13]}],"urls":[]}</t>
  </si>
  <si>
    <t>1521059768823128070</t>
  </si>
  <si>
    <t>Mon May 02 09:31:23 +0000 2022</t>
  </si>
  <si>
    <t>http://twitter.com/BearnePeter/statuses/1521059768823128070</t>
  </si>
  <si>
    <t>1521059695955521538</t>
  </si>
  <si>
    <t>its4me23</t>
  </si>
  <si>
    <t>RT @TheLittleWaster: If i live to be a hundred, i'll still never understand how Johnson, Farage &amp;amp; Cummings managed to decieve the low income working class into fighting tooth &amp;amp; nail for the right of billionaires not to pay tax 🤷‍♂️
#Brexit</t>
  </si>
  <si>
    <t>Mon May 02 09:31:06 +0000 2022</t>
  </si>
  <si>
    <t>324975557</t>
  </si>
  <si>
    <t>http://pbs.twimg.com/profile_images/1244172536725868544/1DYOgz2G_normal.jpg</t>
  </si>
  <si>
    <t>http://twitter.com/its4me23/statuses/1521059695955521538</t>
  </si>
  <si>
    <t>{"hashtags":[],"symbols":[],"user_mentions":[{"screen_name":"TheLittleWaster","name":"ⒿⒶⓀ (tarnished)","id":1228268170126991400,"id_str":"1228268170126991360","indices":[3,19]}],"urls":[]}</t>
  </si>
  <si>
    <t>1521059549620445185</t>
  </si>
  <si>
    <t>ThelmaMcNamara3</t>
  </si>
  <si>
    <t>RT @gas2green: You can tell how just how massively out of touch #Conservatives really are.
After #COVID19, #Brexit and multiple #Tory tax rises, they still actually believe most families have savings.
Delusional, cruel incompetence.
#ToriesOut5thMay
https://t.co/40Gfns9zSe</t>
  </si>
  <si>
    <t>Mon May 02 09:30:31 +0000 2022</t>
  </si>
  <si>
    <t>1192419420175515650</t>
  </si>
  <si>
    <t>http://pbs.twimg.com/profile_images/1200526007721172993/U-ajYGDo_normal.jpg</t>
  </si>
  <si>
    <t>http://twitter.com/ThelmaMcNamara3/statuses/1521059549620445185</t>
  </si>
  <si>
    <t>{"hashtags":[{"text":"Conservatives","indices":[64,78]},{"text":"COVID19","indices":[97,105]},{"text":"Brexit","indices":[107,114]},{"text":"Tory","indices":[128,133]}],"symbols":[],"user_mentions":[{"screen_name":"gas2green","name":"Mark Everson #JoinTheDots 🇪🇺 #FBPA","id":2601559130,"id_str":"2601559130","indices":[3,13]}],"urls":[]}</t>
  </si>
  <si>
    <t>1521059484956860416</t>
  </si>
  <si>
    <t>cheryl_beech</t>
  </si>
  <si>
    <t>Mon May 02 09:30:15 +0000 2022</t>
  </si>
  <si>
    <t>957217161386307585</t>
  </si>
  <si>
    <t>http://pbs.twimg.com/profile_images/1349083086202556417/ULw0iDMK_normal.jpg</t>
  </si>
  <si>
    <t>http://twitter.com/cheryl_beech/statuses/1521059484956860416</t>
  </si>
  <si>
    <t>1521059484512174080</t>
  </si>
  <si>
    <t>SaraGSLondon</t>
  </si>
  <si>
    <t>1108657469151240192</t>
  </si>
  <si>
    <t>http://pbs.twimg.com/profile_images/1394348838362787843/R4kL_3Ui_normal.jpg</t>
  </si>
  <si>
    <t>http://twitter.com/SaraGSLondon/statuses/1521059484512174080</t>
  </si>
  <si>
    <t>1521059427264118785</t>
  </si>
  <si>
    <t>RSSneakyTweeter</t>
  </si>
  <si>
    <t>Mon May 02 09:30:02 +0000 2022</t>
  </si>
  <si>
    <t>724598618</t>
  </si>
  <si>
    <t>http://pbs.twimg.com/profile_images/2449318866/owhg40otw9f12z9lbvld_normal.jpeg</t>
  </si>
  <si>
    <t>S Wales</t>
  </si>
  <si>
    <t>http://twitter.com/RSSneakyTweeter/statuses/1521059427264118785</t>
  </si>
  <si>
    <t>1521059385979584513</t>
  </si>
  <si>
    <t>Georgie_g_</t>
  </si>
  <si>
    <t>Mon May 02 09:29:52 +0000 2022</t>
  </si>
  <si>
    <t>365448381</t>
  </si>
  <si>
    <t>http://pbs.twimg.com/profile_images/1502723715372621840/EjIe_Avw_normal.jpg</t>
  </si>
  <si>
    <t>http://twitter.com/Georgie_g_/statuses/1521059385979584513</t>
  </si>
  <si>
    <t>1521059385396670464</t>
  </si>
  <si>
    <t>LindaRo79230017</t>
  </si>
  <si>
    <t>RT @ConnexionFrance: British #second-home owners in #France say the UK government is not doing enough to push the #EU to recognise a British #petpassport - #Brexit has left them paying 'more for less' when taking #pets to France
#petstoFrance #lifeinfrance #petpassportfrance
https://t.co/z3Q1QbOmBB</t>
  </si>
  <si>
    <t>1275379284794802178</t>
  </si>
  <si>
    <t>http://pbs.twimg.com/profile_images/1275424567444549632/9jgAl2qa_normal.jpg</t>
  </si>
  <si>
    <t>Uk</t>
  </si>
  <si>
    <t>http://twitter.com/LindaRo79230017/statuses/1521059385396670464</t>
  </si>
  <si>
    <t>{"hashtags":[{"text":"second","indices":[29,36]},{"text":"France","indices":[52,59]},{"text":"EU","indices":[114,117]}],"symbols":[],"user_mentions":[{"screen_name":"ConnexionFrance","name":"The Connexion","id":53781633,"id_str":"53781633","indices":[3,19]}],"urls":[]}</t>
  </si>
  <si>
    <t>1521059354778157056</t>
  </si>
  <si>
    <t>sterramilk</t>
  </si>
  <si>
    <t>Mon May 02 09:29:44 +0000 2022</t>
  </si>
  <si>
    <t>779781803213262848</t>
  </si>
  <si>
    <t>http://pbs.twimg.com/profile_images/1520842975714107398/nwXWzlX6_normal.jpg</t>
  </si>
  <si>
    <t>http://twitter.com/sterramilk/statuses/1521059354778157056</t>
  </si>
  <si>
    <t>1521059318241579008</t>
  </si>
  <si>
    <t>jfporchez</t>
  </si>
  <si>
    <t>Mon May 02 09:29:36 +0000 2022</t>
  </si>
  <si>
    <t>295249309</t>
  </si>
  <si>
    <t>http://pbs.twimg.com/profile_images/1048538575137067010/cqcI2nvw_normal.jpg</t>
  </si>
  <si>
    <t>Clamart, France</t>
  </si>
  <si>
    <t>http://twitter.com/jfporchez/statuses/1521059318241579008</t>
  </si>
  <si>
    <t>1521059295089016834</t>
  </si>
  <si>
    <t>OhYesItDid</t>
  </si>
  <si>
    <t>Mon May 02 09:29:30 +0000 2022</t>
  </si>
  <si>
    <t>1407298222553501696</t>
  </si>
  <si>
    <t>http://pbs.twimg.com/profile_images/1467081980739297285/7eTRp0o3_normal.jpg</t>
  </si>
  <si>
    <t>http://twitter.com/OhYesItDid/statuses/1521059295089016834</t>
  </si>
  <si>
    <t>1521059116977995777</t>
  </si>
  <si>
    <t>mdigioiat</t>
  </si>
  <si>
    <t>UK announcing no additional custom checks on EU imports until end of 2023 #brexit #movementofgoods #roadhaulage  https://t.co/9njauSHjbQ</t>
  </si>
  <si>
    <t>Mon May 02 09:28:48 +0000 2022</t>
  </si>
  <si>
    <t>789475312262344705</t>
  </si>
  <si>
    <t>http://pbs.twimg.com/profile_images/928204198776332288/ZmMuRviP_normal.jpg</t>
  </si>
  <si>
    <t>Brussels, Belgium</t>
  </si>
  <si>
    <t>http://twitter.com/mdigioiat/statuses/1521059116977995777</t>
  </si>
  <si>
    <t>{"hashtags":[{"text":"brexit","indices":[74,81]},{"text":"movementofgoods","indices":[82,98]},{"text":"roadhaulage","indices":[99,111]}],"symbols":[],"user_mentions":[],"urls":[{"url":"https://t.co/9njauSHjbQ","expanded_url":"https://www.gov.uk/government/news/new-approach-to-import-controls-to-help-ease-cost-of-living","display_url":"gov.uk/government/new…","indices":[113,136]}]}</t>
  </si>
  <si>
    <t>1521058898345668609</t>
  </si>
  <si>
    <t>ClaireHanna</t>
  </si>
  <si>
    <t>Mon May 02 09:27:55 +0000 2022</t>
  </si>
  <si>
    <t>20508666</t>
  </si>
  <si>
    <t>http://pbs.twimg.com/profile_images/1229882927082803200/cd9N4yaE_normal.jpg</t>
  </si>
  <si>
    <t>South Belfast</t>
  </si>
  <si>
    <t>http://twitter.com/ClaireHanna/statuses/1521058898345668609</t>
  </si>
  <si>
    <t>1521058867693694976</t>
  </si>
  <si>
    <t>annehadet1</t>
  </si>
  <si>
    <t>RT @SteveShovlar: Thread. People wonder why I am anti Brexit. Because it wrecked my business almost overnight. I am a U.K. based art dealer who sells to thousands of customers across the EU. 99% of my customers are EU based and before #brexit it was no issue. Like selling to a customer in Hull. 1/</t>
  </si>
  <si>
    <t>Mon May 02 09:27:48 +0000 2022</t>
  </si>
  <si>
    <t>1170497283403735041</t>
  </si>
  <si>
    <t>http://pbs.twimg.com/profile_images/1498254144880136192/r5QLCG7Y_normal.jpg</t>
  </si>
  <si>
    <t>Tin-pot dictatorship</t>
  </si>
  <si>
    <t>http://twitter.com/annehadet1/statuses/1521058867693694976</t>
  </si>
  <si>
    <t>{"hashtags":[],"symbols":[],"user_mentions":[{"screen_name":"SteveShovlar","name":"Sir Steve Shovlar 🇪🇺🇬🇧🇺🇦 #FBPE #GTTO #PROEU","id":110949260,"id_str":"110949260","indices":[3,16]}],"urls":[]}</t>
  </si>
  <si>
    <t>1521058853416325123</t>
  </si>
  <si>
    <t>themarkloan</t>
  </si>
  <si>
    <t>Mon May 02 09:27:45 +0000 2022</t>
  </si>
  <si>
    <t>435839036</t>
  </si>
  <si>
    <t>http://pbs.twimg.com/profile_images/378800000661847482/d27d6ea3d6cca3735db4d1d2090247d9_normal.jpeg</t>
  </si>
  <si>
    <t>http://twitter.com/themarkloan/statuses/1521058853416325123</t>
  </si>
  <si>
    <t>1521058840195878912</t>
  </si>
  <si>
    <t>Mon May 02 09:27:42 +0000 2022</t>
  </si>
  <si>
    <t>http://twitter.com/themarkloan/statuses/1521058840195878912</t>
  </si>
  <si>
    <t>1521058784382177280</t>
  </si>
  <si>
    <t>MUvonBulow</t>
  </si>
  <si>
    <t>Mon May 02 09:27:28 +0000 2022</t>
  </si>
  <si>
    <t>1128930617750675456</t>
  </si>
  <si>
    <t>http://pbs.twimg.com/profile_images/1515977894258003970/-K6DVu_L_normal.jpg</t>
  </si>
  <si>
    <t>St Andrews, Scotland</t>
  </si>
  <si>
    <t>http://twitter.com/MUvonBulow/statuses/1521058784382177280</t>
  </si>
  <si>
    <t>1521058756154560512</t>
  </si>
  <si>
    <t>CLLo_12</t>
  </si>
  <si>
    <t>Mon May 02 09:27:22 +0000 2022</t>
  </si>
  <si>
    <t>380505915</t>
  </si>
  <si>
    <t>http://twitter.com/CLLo_12/statuses/1521058756154560512</t>
  </si>
  <si>
    <t>1521058671983308800</t>
  </si>
  <si>
    <t>LindaMa32012495</t>
  </si>
  <si>
    <t>Mon May 02 09:27:01 +0000 2022</t>
  </si>
  <si>
    <t>1428775492891648006</t>
  </si>
  <si>
    <t>http://twitter.com/LindaMa32012495/statuses/1521058671983308800</t>
  </si>
  <si>
    <t>1521058632535789568</t>
  </si>
  <si>
    <t>DesMchlmcgnn</t>
  </si>
  <si>
    <t>Mon May 02 09:26:52 +0000 2022</t>
  </si>
  <si>
    <t>712939219</t>
  </si>
  <si>
    <t>http://pbs.twimg.com/profile_images/1385599414144733192/HAunSgsL_normal.jpg</t>
  </si>
  <si>
    <t>http://twitter.com/DesMchlmcgnn/statuses/1521058632535789568</t>
  </si>
  <si>
    <t>1521058608565604352</t>
  </si>
  <si>
    <t>Mon May 02 09:26:46 +0000 2022</t>
  </si>
  <si>
    <t>http://twitter.com/DesMchlmcgnn/statuses/1521058608565604352</t>
  </si>
  <si>
    <t>1521058565737304066</t>
  </si>
  <si>
    <t>Itsuvoman</t>
  </si>
  <si>
    <t>Mon May 02 09:26:36 +0000 2022</t>
  </si>
  <si>
    <t>48663559</t>
  </si>
  <si>
    <t>http://twitter.com/Itsuvoman/statuses/1521058565737304066</t>
  </si>
  <si>
    <t>1521058552776900608</t>
  </si>
  <si>
    <t>Mon May 02 09:26:33 +0000 2022</t>
  </si>
  <si>
    <t>http://twitter.com/DesMchlmcgnn/statuses/1521058552776900608</t>
  </si>
  <si>
    <t>1521058533348884480</t>
  </si>
  <si>
    <t>Peter24P</t>
  </si>
  <si>
    <t>Mon May 02 09:26:28 +0000 2022</t>
  </si>
  <si>
    <t>1070994863586451456</t>
  </si>
  <si>
    <t>http://pbs.twimg.com/profile_images/1091243084862627840/r6bJRGFZ_normal.jpg</t>
  </si>
  <si>
    <t>http://twitter.com/Peter24P/statuses/1521058533348884480</t>
  </si>
  <si>
    <t>1521058482916573184</t>
  </si>
  <si>
    <t>Mon May 02 09:26:16 +0000 2022</t>
  </si>
  <si>
    <t>http://twitter.com/DesMchlmcgnn/statuses/1521058482916573184</t>
  </si>
  <si>
    <t>1521058457532743680</t>
  </si>
  <si>
    <t>NuncTempus</t>
  </si>
  <si>
    <t>@inthezoneuk @SkyNews 27 million EHIC cards were issued by the U.K., allowing U.K. citizens to travel to (say Norway) with pre-existing medical conditions.
#Brexit took that away.
As for dual SIMs when travelling, that doesn’t work for phone numbers or locked phones.
#BrexitLies</t>
  </si>
  <si>
    <t>Mon May 02 09:26:10 +0000 2022</t>
  </si>
  <si>
    <t>25372667</t>
  </si>
  <si>
    <t>inthezoneuk</t>
  </si>
  <si>
    <t>975007943795118081</t>
  </si>
  <si>
    <t>1521053750122721280</t>
  </si>
  <si>
    <t>http://pbs.twimg.com/profile_images/1037424551158792192/2kvxZjKf_normal.jpg</t>
  </si>
  <si>
    <t>http://twitter.com/NuncTempus/statuses/1521058457532743680</t>
  </si>
  <si>
    <t>{"hashtags":[{"text":"Brexit","indices":[157,164]},{"text":"BrexitLies","indices":[271,282]}],"symbols":[],"user_mentions":[{"screen_name":"inthezoneuk","name":"inthezone","id":25372667,"id_str":"25372667","indices":[0,12]},{"screen_name":"SkyNews","name":"Sky News","id":7587032,"id_str":"7587032","indices":[13,21]}],"urls":[]}</t>
  </si>
  <si>
    <t>1521058422975877120</t>
  </si>
  <si>
    <t>Mon May 02 09:26:02 +0000 2022</t>
  </si>
  <si>
    <t>http://twitter.com/DesMchlmcgnn/statuses/1521058422975877120</t>
  </si>
  <si>
    <t>1521058279182540800</t>
  </si>
  <si>
    <t>June_Roche</t>
  </si>
  <si>
    <t>Mon May 02 09:25:28 +0000 2022</t>
  </si>
  <si>
    <t>20261952</t>
  </si>
  <si>
    <t>http://pbs.twimg.com/profile_images/912491636260777984/-bFyIEQw_normal.jpg</t>
  </si>
  <si>
    <t>Nottingham</t>
  </si>
  <si>
    <t>http://twitter.com/June_Roche/statuses/1521058279182540800</t>
  </si>
  <si>
    <t>1521058252406104066</t>
  </si>
  <si>
    <t>Fifilefluffter</t>
  </si>
  <si>
    <t>Mon May 02 09:25:21 +0000 2022</t>
  </si>
  <si>
    <t>185104707</t>
  </si>
  <si>
    <t>http://pbs.twimg.com/profile_images/1448343546700996614/epnc85--_normal.jpg</t>
  </si>
  <si>
    <t>http://twitter.com/Fifilefluffter/statuses/1521058252406104066</t>
  </si>
  <si>
    <t>1521058224610369538</t>
  </si>
  <si>
    <t>Jrheyworth</t>
  </si>
  <si>
    <t>Mon May 02 09:25:15 +0000 2022</t>
  </si>
  <si>
    <t>281723327</t>
  </si>
  <si>
    <t>http://pbs.twimg.com/profile_images/850331460892536834/EtPtXaZ2_normal.jpg</t>
  </si>
  <si>
    <t>manchester</t>
  </si>
  <si>
    <t>http://twitter.com/Jrheyworth/statuses/1521058224610369538</t>
  </si>
  <si>
    <t>1521058159162445824</t>
  </si>
  <si>
    <t>ApertureImage</t>
  </si>
  <si>
    <t>Mon May 02 09:24:59 +0000 2022</t>
  </si>
  <si>
    <t>14830798</t>
  </si>
  <si>
    <t>http://pbs.twimg.com/profile_images/1497342256986140676/GP09MFEY_normal.jpg</t>
  </si>
  <si>
    <t>North of the Isle of Wight!</t>
  </si>
  <si>
    <t>http://twitter.com/ApertureImage/statuses/1521058159162445824</t>
  </si>
  <si>
    <t>1521058072118149120</t>
  </si>
  <si>
    <t>DesignTheFuture</t>
  </si>
  <si>
    <t>Mon May 02 09:24:38 +0000 2022</t>
  </si>
  <si>
    <t>25976260</t>
  </si>
  <si>
    <t>http://pbs.twimg.com/profile_images/753544649273438209/AqMfZw3m_normal.jpg</t>
  </si>
  <si>
    <t>http://twitter.com/DesignTheFuture/statuses/1521058072118149120</t>
  </si>
  <si>
    <t>1521058028300259328</t>
  </si>
  <si>
    <t>DianaShirlaw</t>
  </si>
  <si>
    <t>Mon May 02 09:24:28 +0000 2022</t>
  </si>
  <si>
    <t>1033869481649623040</t>
  </si>
  <si>
    <t>http://pbs.twimg.com/profile_images/1497608591968243715/Kzm172G5_normal.jpg</t>
  </si>
  <si>
    <t>Edinburgh, Scotland</t>
  </si>
  <si>
    <t>http://twitter.com/DianaShirlaw/statuses/1521058028300259328</t>
  </si>
  <si>
    <t>1521058004489154560</t>
  </si>
  <si>
    <t>SPropertyPortal</t>
  </si>
  <si>
    <t>#Luxury 3 Beds, 3 Baths #property for sale in #Benijófar #Alicante, #Spain for 309,000€ #brexit #wow https://t.co/4uH5iNFw3p https://t.co/UcGFrA1ubE</t>
  </si>
  <si>
    <t>Mon May 02 09:24:22 +0000 2022</t>
  </si>
  <si>
    <t>251742949</t>
  </si>
  <si>
    <t>&lt;a href="https://www.spainpropertyportal.com" rel="nofollow"&gt;Spain Property Portal&lt;/a&gt;</t>
  </si>
  <si>
    <t>http://pbs.twimg.com/profile_images/1452969033184251912/04MeLnLS_normal.jpg</t>
  </si>
  <si>
    <t>http://twitter.com/SPropertyPortal/statuses/1521058004489154560</t>
  </si>
  <si>
    <t>{"hashtags":[{"text":"Luxury","indices":[0,7]},{"text":"property","indices":[24,33]},{"text":"Benijófar","indices":[46,56]},{"text":"Alicante","indices":[57,66]},{"text":"Spain","indices":[68,74]},{"text":"brexit","indices":[88,95]},{"text":"wow","indices":[96,100]}],"symbols":[],"user_mentions":[],"urls":[{"url":"https://t.co/4uH5iNFw3p","expanded_url":"https://www.spainpropertyportal.com/view-property/75667-villa-for-sale-in-benijofar.html","display_url":"spainpropertyportal.com/view-property/…","indices":[101,124]}],"media":[{"id":1521058003100831700,"id_str":"1521058003100831744","indices":[125,148],"media_url":"http://pbs.twimg.com/media/FRviMeWXEAAWWkh.jpg","media_url_https":"https://pbs.twimg.com/media/FRviMeWXEAAWWkh.jpg","url":"https://t.co/UcGFrA1ubE","display_url":"pic.twitter.com/UcGFrA1ubE","expanded_url":"https://twitter.com/SPropertyPortal/status/1521058004489154560/photo/1","type":"photo","sizes":{"thumb":{"w":150,"h":150,"resize":"crop"},"small":{"w":680,"h":340,"resize":"fit"},"medium":{"w":1200,"h":600,"resize":"fit"},"large":{"w":1200,"h":600,"resize":"fit"}}}]}</t>
  </si>
  <si>
    <t>1521058001481838592</t>
  </si>
  <si>
    <t>CleoDavies2</t>
  </si>
  <si>
    <t>Article @denis_campbell mentions Brexit but not why it may be having an impact. See @TheBDA on #Brexit: 'process for recognition of EU citizens' qualifications unclear at moment'. Important as 16-17% of dentists in🇬🇧 in 2020 had EU qualifications https://t.co/fFSFCiZWSt https://t.co/vviA1CMY9M</t>
  </si>
  <si>
    <t>806460894968422401</t>
  </si>
  <si>
    <t>http://pbs.twimg.com/profile_images/806465817084854272/ugde6AhY_normal.jpg</t>
  </si>
  <si>
    <t>http://twitter.com/CleoDavies2/statuses/1521058001481838592</t>
  </si>
  <si>
    <t>{"hashtags":[{"text":"Brexit","indices":[95,102]}],"symbols":[],"user_mentions":[{"screen_name":"denis_campbell","name":"Denis Campbell","id":159125669,"id_str":"159125669","indices":[8,23]},{"screen_name":"TheBDA","name":"BDA","id":40014354,"id_str":"40014354","indices":[84,91]}],"urls":[{"url":"https://t.co/fFSFCiZWSt","expanded_url":"https://bit.ly/3w1n8U1","display_url":"bit.ly/3w1n8U1","indices":[247,270]},{"url":"https://t.co/vviA1CMY9M","expanded_url":"https://twitter.com/guardian/status/1520823668431114240","display_url":"twitter.com/guardian/statu…","indices":[271,294]}]}</t>
  </si>
  <si>
    <t>1521057982661935106</t>
  </si>
  <si>
    <t>re11ddy</t>
  </si>
  <si>
    <t>RT @Facts4euOrg: Exclusive: 80% of growth in UK export of services has come from outside the EU.
How the EU stifled most of the UK economy – now freed up by #Brexit. For the summary click here: https://t.co/qlzQkN64GF
@annietrev @tradegovuk https://t.co/lgDb15Sc1Y</t>
  </si>
  <si>
    <t>Mon May 02 09:24:17 +0000 2022</t>
  </si>
  <si>
    <t>843860654</t>
  </si>
  <si>
    <t>http://twitter.com/re11ddy/statuses/1521057982661935106</t>
  </si>
  <si>
    <t>1521057964634873856</t>
  </si>
  <si>
    <t>MalkyC01</t>
  </si>
  <si>
    <t>Mon May 02 09:24:13 +0000 2022</t>
  </si>
  <si>
    <t>514723837</t>
  </si>
  <si>
    <t>http://pbs.twimg.com/profile_images/1494738610003890176/ICPgHh16_normal.jpg</t>
  </si>
  <si>
    <t>http://twitter.com/MalkyC01/statuses/1521057964634873856</t>
  </si>
  <si>
    <t>1521057811584667648</t>
  </si>
  <si>
    <t>jones_pj</t>
  </si>
  <si>
    <t>Mon May 02 09:23:36 +0000 2022</t>
  </si>
  <si>
    <t>309171192</t>
  </si>
  <si>
    <t>http://pbs.twimg.com/profile_images/1377761291/20-Sept_163a_normal.jpg</t>
  </si>
  <si>
    <t>Faversham, Kent</t>
  </si>
  <si>
    <t>http://twitter.com/jones_pj/statuses/1521057811584667648</t>
  </si>
  <si>
    <t>1521057803179376642</t>
  </si>
  <si>
    <t>Mon May 02 09:23:34 +0000 2022</t>
  </si>
  <si>
    <t>http://pbs.twimg.com/profile_images/597044604270174208/zewyccb4_normal.jpg</t>
  </si>
  <si>
    <t>Newcastle Upon Tyne, England</t>
  </si>
  <si>
    <t>http://twitter.com/coffer_mco18/statuses/1521057803179376642</t>
  </si>
  <si>
    <t>1521057794308333568</t>
  </si>
  <si>
    <t>MMRBoyce</t>
  </si>
  <si>
    <t>Mon May 02 09:23:32 +0000 2022</t>
  </si>
  <si>
    <t>2238203358</t>
  </si>
  <si>
    <t>http://pbs.twimg.com/profile_images/893155363255484416/fGUwntBQ_normal.jpg</t>
  </si>
  <si>
    <t>http://twitter.com/MMRBoyce/statuses/1521057794308333568</t>
  </si>
  <si>
    <t>1521057759843827712</t>
  </si>
  <si>
    <t>Tbuthfer</t>
  </si>
  <si>
    <t>Mon May 02 09:23:24 +0000 2022</t>
  </si>
  <si>
    <t>22290911</t>
  </si>
  <si>
    <t>http://pbs.twimg.com/profile_images/523435207257776128/5p_REixw_normal.jpeg</t>
  </si>
  <si>
    <t>http://twitter.com/Tbuthfer/statuses/1521057759843827712</t>
  </si>
  <si>
    <t>1521057754391191554</t>
  </si>
  <si>
    <t>JoeCatcheside</t>
  </si>
  <si>
    <t>Mon May 02 09:23:23 +0000 2022</t>
  </si>
  <si>
    <t>461330813</t>
  </si>
  <si>
    <t>http://pbs.twimg.com/profile_images/1288398487726497792/GAMo5pWf_normal.jpg</t>
  </si>
  <si>
    <t>Exeter, UK</t>
  </si>
  <si>
    <t>http://twitter.com/JoeCatcheside/statuses/1521057754391191554</t>
  </si>
  <si>
    <t>1521057744224202752</t>
  </si>
  <si>
    <t>CsizmadiaC</t>
  </si>
  <si>
    <t>Mon May 02 09:23:20 +0000 2022</t>
  </si>
  <si>
    <t>492892882</t>
  </si>
  <si>
    <t>http://pbs.twimg.com/profile_images/1515040477556396036/fE0eZGuh_normal.jpg</t>
  </si>
  <si>
    <t>http://twitter.com/CsizmadiaC/statuses/1521057744224202752</t>
  </si>
  <si>
    <t>1521057742882021376</t>
  </si>
  <si>
    <t>maggie20445251</t>
  </si>
  <si>
    <t>1384424658267684868</t>
  </si>
  <si>
    <t>http://pbs.twimg.com/profile_images/1384425143469019137/FdTbubHv_normal.jpg</t>
  </si>
  <si>
    <t>http://twitter.com/maggie20445251/statuses/1521057742882021376</t>
  </si>
  <si>
    <t>1521057710556565505</t>
  </si>
  <si>
    <t>PhilKimby</t>
  </si>
  <si>
    <t>@Sebasti87105371 @seal_curious @seamusoceara @AllisonMorris1 Aren't we seeing though that it really hasn't left the EU? Britain can and has but NI can't really and so has only left in name.
#BrexitReality
#BrexitLies
#BrexitShambles
#Brexit</t>
  </si>
  <si>
    <t>Mon May 02 09:23:12 +0000 2022</t>
  </si>
  <si>
    <t>1486274954291298307</t>
  </si>
  <si>
    <t>Sebasti87105371</t>
  </si>
  <si>
    <t>807328494095134720</t>
  </si>
  <si>
    <t>1520888359727554560</t>
  </si>
  <si>
    <t>http://pbs.twimg.com/profile_images/807330022872776704/4o7ADKyW_normal.jpg</t>
  </si>
  <si>
    <t>http://twitter.com/PhilKimby/statuses/1521057710556565505</t>
  </si>
  <si>
    <t>{"hashtags":[{"text":"BrexitReality","indices":[190,204]},{"text":"BrexitLies","indices":[205,216]},{"text":"BrexitShambles","indices":[217,232]},{"text":"Brexit","indices":[233,240]}],"symbols":[],"user_mentions":[{"screen_name":"Sebasti87105371","name":"Sebastian","id":1486274954291298300,"id_str":"1486274954291298307","indices":[0,16]},{"screen_name":"seal_curious","name":"Eoin MacSuibhne","id":125337033,"id_str":"125337033","indices":[17,30]},{"screen_name":"seamusoceara","name":"seamusoceara 🎩🎩","id":101576144,"id_str":"101576144","indices":[31,44]},{"screen_name":"AllisonMorris1","name":"Allison Morris","id":220819048,"id_str":"220819048","indices":[45,60]}],"urls":[]}</t>
  </si>
  <si>
    <t>1521057672434442240</t>
  </si>
  <si>
    <t>isthisab0t</t>
  </si>
  <si>
    <t>RT @GwenGatesParke1: Wood for the fire. Today is a good day.
Wolf Craigs arrives 01/06/22
#indyref2 #speculativefiction #Dystopia #dystopianbooks #Brexit 
https://t.co/Lw0y93L59O</t>
  </si>
  <si>
    <t>Mon May 02 09:23:03 +0000 2022</t>
  </si>
  <si>
    <t>1225127915328806912</t>
  </si>
  <si>
    <t>&lt;a href="https://twitter.com" rel="nofollow"&gt;McBOT &lt;/a&gt;</t>
  </si>
  <si>
    <t>http://pbs.twimg.com/profile_images/1225538244344938496/16id1r6l_normal.jpg</t>
  </si>
  <si>
    <t>Durham, England</t>
  </si>
  <si>
    <t>http://twitter.com/isthisab0t/statuses/1521057672434442240</t>
  </si>
  <si>
    <t>{"hashtags":[{"text":"indyref2","indices":[90,99]},{"text":"speculativefiction","indices":[100,119]},{"text":"Dystopia","indices":[120,129]}],"symbols":[],"user_mentions":[{"screen_name":"GwenGatesParke1","name":"Gwen Gates Parker","id":1099673037836898300,"id_str":"1099673037836898304","indices":[3,19]}],"urls":[]}</t>
  </si>
  <si>
    <t>1521057553576308736</t>
  </si>
  <si>
    <t>GwenGatesParke1</t>
  </si>
  <si>
    <t>Wood for the fire. Today is a good day.
Wolf Craigs arrives 01/06/22
#indyref2 #speculativefiction #Dystopia #dystopianbooks #Brexit 
https://t.co/Lw0y93L59O</t>
  </si>
  <si>
    <t>Mon May 02 09:22:35 +0000 2022</t>
  </si>
  <si>
    <t>1099673037836898304</t>
  </si>
  <si>
    <t>http://pbs.twimg.com/profile_images/1173352238191980544/07WD7ToR_normal.jpg</t>
  </si>
  <si>
    <t>http://twitter.com/GwenGatesParke1/statuses/1521057553576308736</t>
  </si>
  <si>
    <t>{"hashtags":[{"text":"indyref2","indices":[69,78]},{"text":"speculativefiction","indices":[79,98]},{"text":"Dystopia","indices":[99,108]},{"text":"dystopianbooks","indices":[109,124]},{"text":"Brexit","indices":[125,132]}],"symbols":[],"user_mentions":[],"urls":[{"url":"https://t.co/Lw0y93L59O","expanded_url":"https://vm.tiktok.com/ZMLtYXpMN/","display_url":"vm.tiktok.com/ZMLtYXpMN/","indices":[134,157]}]}</t>
  </si>
  <si>
    <t>1521057531933642753</t>
  </si>
  <si>
    <t>1949jack</t>
  </si>
  <si>
    <t>Mon May 02 09:22:30 +0000 2022</t>
  </si>
  <si>
    <t>234996623</t>
  </si>
  <si>
    <t>http://twitter.com/1949jack/statuses/1521057531933642753</t>
  </si>
  <si>
    <t>1521057465370124288</t>
  </si>
  <si>
    <t>Mon May 02 09:22:14 +0000 2022</t>
  </si>
  <si>
    <t>http://twitter.com/1949jack/statuses/1521057465370124288</t>
  </si>
  <si>
    <t>1521057435628224513</t>
  </si>
  <si>
    <t>AdrianFarrellAT</t>
  </si>
  <si>
    <t>If #Brexit was popular this would be a non-issue for you Mr Lewis. https://t.co/jv1NbsNOO9</t>
  </si>
  <si>
    <t>Mon May 02 09:22:07 +0000 2022</t>
  </si>
  <si>
    <t>2701104476</t>
  </si>
  <si>
    <t>http://pbs.twimg.com/profile_images/496598186748674048/miUq4bRr_normal.jpeg</t>
  </si>
  <si>
    <t>East Finchley, London</t>
  </si>
  <si>
    <t>http://twitter.com/AdrianFarrellAT/statuses/1521057435628224513</t>
  </si>
  <si>
    <t>{"hashtags":[{"text":"Brexit","indices":[3,10]}],"symbols":[],"user_mentions":[],"urls":[{"url":"https://t.co/jv1NbsNOO9","expanded_url":"https://twitter.com/BrandonLewis/status/1520783926066823169","display_url":"twitter.com/BrandonLewis/s…","indices":[67,90]}]}</t>
  </si>
  <si>
    <t>1521057415847940096</t>
  </si>
  <si>
    <t>moorland2</t>
  </si>
  <si>
    <t>RT @rec777777: @SiobhanBenita EU membership cost us £500billion over 40 years and in a good year, we got up to 40% back in 'grants'.
That love, is what a con looks like.
#Brexit has been brilliant for most UK businesses.
Thanks.</t>
  </si>
  <si>
    <t>Mon May 02 09:22:02 +0000 2022</t>
  </si>
  <si>
    <t>3234339118</t>
  </si>
  <si>
    <t>http://pbs.twimg.com/profile_images/1505474023785914369/zZZDhPmp_normal.jpg</t>
  </si>
  <si>
    <t>Staffordshire</t>
  </si>
  <si>
    <t>http://twitter.com/moorland2/statuses/1521057415847940096</t>
  </si>
  <si>
    <t>{"hashtags":[],"symbols":[],"user_mentions":[{"screen_name":"rec777777","name":"REC","id":812295444604866600,"id_str":"812295444604866560","indices":[3,13]},{"screen_name":"SiobhanBenita","name":"Siobhan Benita 🇺🇦🌻","id":21645209,"id_str":"21645209","indices":[15,29]}],"urls":[]}</t>
  </si>
  <si>
    <t>1521057410361790465</t>
  </si>
  <si>
    <t>strange_al</t>
  </si>
  <si>
    <t>Mon May 02 09:22:01 +0000 2022</t>
  </si>
  <si>
    <t>2249294209</t>
  </si>
  <si>
    <t>http://pbs.twimg.com/profile_images/882288290665291776/PfEgSeyW_normal.jpg</t>
  </si>
  <si>
    <t>http://twitter.com/strange_al/statuses/1521057410361790465</t>
  </si>
  <si>
    <t>1521057391260884992</t>
  </si>
  <si>
    <t>TommysDaddy</t>
  </si>
  <si>
    <t>Mon May 02 09:21:56 +0000 2022</t>
  </si>
  <si>
    <t>43004177</t>
  </si>
  <si>
    <t>http://pbs.twimg.com/profile_images/1217856997091106817/dQGH__UF_normal.jpg</t>
  </si>
  <si>
    <t>http://twitter.com/TommysDaddy/statuses/1521057391260884992</t>
  </si>
  <si>
    <t>1521057358918598657</t>
  </si>
  <si>
    <t>sarahtturvey</t>
  </si>
  <si>
    <t>Mon May 02 09:21:48 +0000 2022</t>
  </si>
  <si>
    <t>146171579</t>
  </si>
  <si>
    <t>http://pbs.twimg.com/profile_images/876417802793562112/ePDZkcM__normal.jpg</t>
  </si>
  <si>
    <t>http://twitter.com/sarahtturvey/statuses/1521057358918598657</t>
  </si>
  <si>
    <t>1521057317638356992</t>
  </si>
  <si>
    <t>financedoor_de</t>
  </si>
  <si>
    <t>Britische #Lebensversicherung und #Brexit - Was tun mit meiner englischen Versicherung? https://t.co/PBH2OqJ7Hy</t>
  </si>
  <si>
    <t>Mon May 02 09:21:39 +0000 2022</t>
  </si>
  <si>
    <t>493267897</t>
  </si>
  <si>
    <t>http://pbs.twimg.com/profile_images/902864471814660097/mamfdo_E_normal.jpg</t>
  </si>
  <si>
    <t>Frankfurt am Main</t>
  </si>
  <si>
    <t>http://twitter.com/financedoor_de/statuses/1521057317638356992</t>
  </si>
  <si>
    <t>{"hashtags":[{"text":"Lebensversicherung","indices":[10,29]},{"text":"Brexit","indices":[34,41]}],"symbols":[],"user_mentions":[],"urls":[{"url":"https://t.co/PBH2OqJ7Hy","expanded_url":"https://t1p.de/ms3v5","display_url":"t1p.de/ms3v5","indices":[88,111]}]}</t>
  </si>
  <si>
    <t>1521057282745896960</t>
  </si>
  <si>
    <t>scook2003</t>
  </si>
  <si>
    <t>Mon May 02 09:21:30 +0000 2022</t>
  </si>
  <si>
    <t>464778570</t>
  </si>
  <si>
    <t>http://pbs.twimg.com/profile_images/1340343961165160449/nwUDWmUV_normal.jpg</t>
  </si>
  <si>
    <t>http://twitter.com/scook2003/statuses/1521057282745896960</t>
  </si>
  <si>
    <t>1521057258855190533</t>
  </si>
  <si>
    <t>gellilyfdy</t>
  </si>
  <si>
    <t>Are you prepared
More importantly are the #Tory Government
after #Brexit &amp;amp; #Covid I doubt it
https://t.co/AHQKklSwwP https://t.co/zTac4KbFlm</t>
  </si>
  <si>
    <t>Mon May 02 09:21:25 +0000 2022</t>
  </si>
  <si>
    <t>1062604369944817665</t>
  </si>
  <si>
    <t>http://pbs.twimg.com/profile_images/1062715724957806592/RbGWD0X4_normal.jpg</t>
  </si>
  <si>
    <t>East Midlands</t>
  </si>
  <si>
    <t>http://twitter.com/gellilyfdy/statuses/1521057258855190533</t>
  </si>
  <si>
    <t>{"hashtags":[{"text":"Tory","indices":[42,47]},{"text":"Brexit","indices":[65,72]},{"text":"Covid","indices":[79,85]}],"symbols":[],"user_mentions":[],"urls":[{"url":"https://t.co/AHQKklSwwP","expanded_url":"https://www.theguardian.com/books/2019/oct/30/uk-was-primed-for-nuclear-war-in-the-uk-taras-young-interview","display_url":"theguardian.com/books/2019/oct…","indices":[98,121]},{"url":"https://t.co/zTac4KbFlm","expanded_url":"https://twitter.com/GaryBeighton7/status/1521051319993315329","display_url":"twitter.com/GaryBeighton7/…","indices":[122,145]}]}</t>
  </si>
  <si>
    <t>1521057078064087040</t>
  </si>
  <si>
    <t>Jan82276614</t>
  </si>
  <si>
    <t>Mon May 02 09:20:41 +0000 2022</t>
  </si>
  <si>
    <t>1306900368966799361</t>
  </si>
  <si>
    <t>http://twitter.com/Jan82276614/statuses/1521057078064087040</t>
  </si>
  <si>
    <t>1521057068266004486</t>
  </si>
  <si>
    <t>Lifelandlady</t>
  </si>
  <si>
    <t>Mon May 02 09:20:39 +0000 2022</t>
  </si>
  <si>
    <t>581208856</t>
  </si>
  <si>
    <t>http://pbs.twimg.com/profile_images/782517021586104320/RLDnnJf6_normal.jpg</t>
  </si>
  <si>
    <t>citizen of the world</t>
  </si>
  <si>
    <t>http://twitter.com/Lifelandlady/statuses/1521057068266004486</t>
  </si>
  <si>
    <t>1521057064134578177</t>
  </si>
  <si>
    <t>EveCollen</t>
  </si>
  <si>
    <t>Mon May 02 09:20:38 +0000 2022</t>
  </si>
  <si>
    <t>2301373755</t>
  </si>
  <si>
    <t>http://twitter.com/EveCollen/statuses/1521057064134578177</t>
  </si>
  <si>
    <t>1521057023802159104</t>
  </si>
  <si>
    <t>BFinham</t>
  </si>
  <si>
    <t>Mon May 02 09:20:29 +0000 2022</t>
  </si>
  <si>
    <t>1167005379211014145</t>
  </si>
  <si>
    <t>http://pbs.twimg.com/profile_images/1167371951851147264/SUDruXyL_normal.jpg</t>
  </si>
  <si>
    <t>East Anglia</t>
  </si>
  <si>
    <t>http://twitter.com/BFinham/statuses/1521057023802159104</t>
  </si>
  <si>
    <t>1521057018483818497</t>
  </si>
  <si>
    <t>DanieleMeloni80</t>
  </si>
  <si>
    <t>Il #Right2Buy fu una politica fondamentale per fidelizzare al thatcherismo le classi popolari. Persino il sindacalista Scargill, nemesi della Lady di Ferro ne approfittò per prendere casa alla figlia!
#Brexit #BorisJohnson 
https://t.co/S5q7cA27zz</t>
  </si>
  <si>
    <t>Mon May 02 09:20:27 +0000 2022</t>
  </si>
  <si>
    <t>1493039701</t>
  </si>
  <si>
    <t>http://pbs.twimg.com/profile_images/1471193346844594177/XpBJRsCl_normal.jpg</t>
  </si>
  <si>
    <t>http://twitter.com/DanieleMeloni80/statuses/1521057018483818497</t>
  </si>
  <si>
    <t>{"hashtags":[{"text":"Right2Buy","indices":[3,13]},{"text":"Brexit","indices":[202,209]},{"text":"BorisJohnson","indices":[210,223]}],"symbols":[],"user_mentions":[],"urls":[{"url":"https://t.co/S5q7cA27zz","expanded_url":"https://www.telegraph.co.uk/politics/2022/05/01/boris-johnson-planning-bring-back-right-buy/","display_url":"telegraph.co.uk/politics/2022/…","indices":[226,249]}]}</t>
  </si>
  <si>
    <t>1521056985369698305</t>
  </si>
  <si>
    <t>JetoxTV</t>
  </si>
  <si>
    <t>GET YOUR VOICE HEARD! SIGN PETITION HELP IT REACH 10K SO GOVERNMENT HAS TO RESPOND! #BrexitHasFailed #BrexitShambles #BrexitIsntWorking #BrexitHasFailed #Brexit #RejoinEU https://t.co/hcSgcqnX0B https://t.co/dC5KccXzp7</t>
  </si>
  <si>
    <t>Mon May 02 09:20:19 +0000 2022</t>
  </si>
  <si>
    <t>1112431918002393089</t>
  </si>
  <si>
    <t>http://pbs.twimg.com/profile_images/1149407856195715077/TX5QHYPA_normal.png</t>
  </si>
  <si>
    <t>http://twitter.com/JetoxTV/statuses/1521056985369698305</t>
  </si>
  <si>
    <t>{"hashtags":[{"text":"BrexitHasFailed","indices":[84,100]},{"text":"BrexitShambles","indices":[101,116]},{"text":"BrexitIsntWorking","indices":[117,135]},{"text":"BrexitHasFailed","indices":[136,152]},{"text":"Brexit","indices":[153,160]},{"text":"RejoinEU","indices":[161,170]}],"symbols":[],"user_mentions":[],"urls":[{"url":"https://t.co/hcSgcqnX0B","expanded_url":"https://petition.parliament.uk/petitions/600832","display_url":"petition.parliament.uk/petitions/6008…","indices":[171,194]}],"media":[{"id":1521056978046525400,"id_str":"1521056978046525441","indices":[195,218],"media_url":"http://pbs.twimg.com/media/FRvhQzuXoAEjh21.jpg","media_url_https":"https://pbs.twimg.com/media/FRvhQzuXoAEjh21.jpg","url":"https://t.co/dC5KccXzp7","display_url":"pic.twitter.com/dC5KccXzp7","expanded_url":"https://twitter.com/JetoxTV/status/1521056985369698305/photo/1","type":"photo","sizes":{"thumb":{"w":150,"h":150,"resize":"crop"},"large":{"w":849,"h":849,"resize":"fit"},"small":{"w":680,"h":680,"resize":"fit"},"medium":{"w":849,"h":849,"resize":"fit"}}}]}</t>
  </si>
  <si>
    <t>1521056827860996097</t>
  </si>
  <si>
    <t>tartancobweb</t>
  </si>
  <si>
    <t>RT @LondonEconomic: Need to hitchhike to the sunlit uplands now...
https://t.co/Xv1RWKLJej #Brexit</t>
  </si>
  <si>
    <t>Mon May 02 09:19:42 +0000 2022</t>
  </si>
  <si>
    <t>2780346221</t>
  </si>
  <si>
    <t>http://pbs.twimg.com/profile_images/1363270410935046145/XhkUrG8W_normal.png</t>
  </si>
  <si>
    <t>Scotland Europe.</t>
  </si>
  <si>
    <t>http://twitter.com/tartancobweb/statuses/1521056827860996097</t>
  </si>
  <si>
    <t>{"hashtags":[{"text":"Brexit","indices":[91,98]}],"symbols":[],"user_mentions":[{"screen_name":"LondonEconomic","name":"The London Economic","id":1593295976,"id_str":"1593295976","indices":[3,18]}],"urls":[{"url":"https://t.co/Xv1RWKLJej","expanded_url":"https://www.thelondoneconomic.com/news/why-uk-drivers-banned-driving-licence-spain-brexit-321207/","display_url":"thelondoneconomic.com/news/why-uk-dr…","indices":[67,90]}]}</t>
  </si>
  <si>
    <t>1521056826518872064</t>
  </si>
  <si>
    <t>Sanvers84</t>
  </si>
  <si>
    <t>Mon May 02 09:19:41 +0000 2022</t>
  </si>
  <si>
    <t>858277294925860865</t>
  </si>
  <si>
    <t>http://pbs.twimg.com/profile_images/1100100365872234496/j4wfj6r2_normal.jpg</t>
  </si>
  <si>
    <t>France</t>
  </si>
  <si>
    <t>http://twitter.com/Sanvers84/statuses/1521056826518872064</t>
  </si>
  <si>
    <t>1521056739558412288</t>
  </si>
  <si>
    <t>ChristinaDonn11</t>
  </si>
  <si>
    <t>RT @BelindadeLucy: “Abolishment of Vetoes” We predicted this would happen. Further stripping democratic agency from our European friends😔Thank you #Brexit for getting us out. https://t.co/ipAOWQtaWa</t>
  </si>
  <si>
    <t>Mon May 02 09:19:21 +0000 2022</t>
  </si>
  <si>
    <t>745283414983581696</t>
  </si>
  <si>
    <t>http://pbs.twimg.com/profile_images/759143117962485761/Mqc4pn1-_normal.jpg</t>
  </si>
  <si>
    <t>http://twitter.com/ChristinaDonn11/statuses/1521056739558412288</t>
  </si>
  <si>
    <t>{"hashtags":[],"symbols":[],"user_mentions":[{"screen_name":"BelindadeLucy","name":"Belinda de Lucy","id":1124345151642587100,"id_str":"1124345151642587136","indices":[3,17]}],"urls":[]}</t>
  </si>
  <si>
    <t>1521056611430809606</t>
  </si>
  <si>
    <t>mwatsonlux</t>
  </si>
  <si>
    <t>Mon May 02 09:18:50 +0000 2022</t>
  </si>
  <si>
    <t>61543155</t>
  </si>
  <si>
    <t>http://pbs.twimg.com/profile_images/688051326325002240/7J4uxxgi_normal.jpg</t>
  </si>
  <si>
    <t>Brighton, England</t>
  </si>
  <si>
    <t>http://twitter.com/mwatsonlux/statuses/1521056611430809606</t>
  </si>
  <si>
    <t>1521056588081074177</t>
  </si>
  <si>
    <t>Andy_sMyName</t>
  </si>
  <si>
    <t>Mon May 02 09:18:45 +0000 2022</t>
  </si>
  <si>
    <t>1254777382084337664</t>
  </si>
  <si>
    <t>http://pbs.twimg.com/profile_images/1501995012673912833/MK1XrXWQ_normal.jpg</t>
  </si>
  <si>
    <t>http://twitter.com/Andy_sMyName/statuses/1521056588081074177</t>
  </si>
  <si>
    <t>1521056495357632513</t>
  </si>
  <si>
    <t>Mon May 02 09:18:23 +0000 2022</t>
  </si>
  <si>
    <t>http://twitter.com/Raycspike/statuses/1521056495357632513</t>
  </si>
  <si>
    <t>1521056485417136128</t>
  </si>
  <si>
    <t>JBazzard</t>
  </si>
  <si>
    <t>Thank god for #Brexit 😍😍😍👍🏻👍🏻🇬🇧🇬🇧 https://t.co/Z7NaHdhqQS</t>
  </si>
  <si>
    <t>Mon May 02 09:18:20 +0000 2022</t>
  </si>
  <si>
    <t>2942825793</t>
  </si>
  <si>
    <t>http://pbs.twimg.com/profile_images/1232391988231704576/0BpwXf4B_normal.jpg</t>
  </si>
  <si>
    <t>http://twitter.com/JBazzard/statuses/1521056485417136128</t>
  </si>
  <si>
    <t>{"hashtags":[{"text":"Brexit","indices":[14,21]}],"symbols":[],"user_mentions":[],"urls":[{"url":"https://t.co/Z7NaHdhqQS","expanded_url":"https://twitter.com/guyverhofstadt/status/1520336571945426945","display_url":"twitter.com/guyverhofstadt…","indices":[34,57]}]}</t>
  </si>
  <si>
    <t>1521056485094174723</t>
  </si>
  <si>
    <t>smcc1954</t>
  </si>
  <si>
    <t>RT @ronbuch: #brexit https://t.co/jeQNwG8waz</t>
  </si>
  <si>
    <t>204385446</t>
  </si>
  <si>
    <t>http://pbs.twimg.com/profile_images/848507346024267777/OUbCmi5C_normal.jpg</t>
  </si>
  <si>
    <t>monifieth, angus</t>
  </si>
  <si>
    <t>http://twitter.com/smcc1954/statuses/1521056485094174723</t>
  </si>
  <si>
    <t>{"hashtags":[{"text":"brexit","indices":[13,20]}],"symbols":[],"user_mentions":[{"screen_name":"ronbuch","name":"Ron B","id":397105478,"id_str":"397105478","indices":[3,11]}],"urls":[],"media":[{"id":1520969935207362600,"id_str":"1520969935207362560","indices":[21,44],"media_url":"http://pbs.twimg.com/media/FRuSGP4VcAA3jP-.jpg","media_url_https":"https://pbs.twimg.com/media/FRuSGP4VcAA3jP-.jpg","url":"https://t.co/jeQNwG8waz","display_url":"pic.twitter.com/jeQNwG8waz","expanded_url":"https://twitter.com/ronbuch/status/1520969939649130498/photo/1","type":"photo","sizes":{"small":{"w":547,"h":680,"resize":"fit"},"thumb":{"w":150,"h":150,"resize":"crop"},"large":{"w":1170,"h":1455,"resize":"fit"},"medium":{"w":965,"h":1200,"resize":"fit"}},"source_status_id":1520969939649130500,"source_status_id_str":"1520969939649130498","source_user_id":397105478,"source_user_id_str":"397105478"}]}</t>
  </si>
  <si>
    <t>1521056482174902272</t>
  </si>
  <si>
    <t>YusufMoosajee</t>
  </si>
  <si>
    <t>RT @BusEconYMO_HGS: #MonetaryPolicy: #BankofEngland ‘duty bound’ to trigger #recession to curb #inflation - Ex-official says policymakers must shrink the UK economy to limit upward pressure on prices made worse by #Brexit  https://t.co/3x0lO1FPUz #economics #finance #business #unemployment</t>
  </si>
  <si>
    <t>Mon May 02 09:18:19 +0000 2022</t>
  </si>
  <si>
    <t>223301740</t>
  </si>
  <si>
    <t>http://pbs.twimg.com/profile_images/414028131465699328/pB1H-AwO_normal.jpeg</t>
  </si>
  <si>
    <t>http://twitter.com/YusufMoosajee/statuses/1521056482174902272</t>
  </si>
  <si>
    <t>{"hashtags":[{"text":"MonetaryPolicy","indices":[20,35]},{"text":"BankofEngland","indices":[37,51]},{"text":"recession","indices":[76,86]},{"text":"inflation","indices":[95,105]}],"symbols":[],"user_mentions":[{"screen_name":"BusEconYMO_HGS","name":"The Mr Moosajee","id":2319664800,"id_str":"2319664800","indices":[3,18]}],"urls":[]}</t>
  </si>
  <si>
    <t>1521056455780093952</t>
  </si>
  <si>
    <t>SMOCKFORD</t>
  </si>
  <si>
    <t>The EU members were rock solid in their position on #brexit, not so much when it really matters #ukrainesanctions</t>
  </si>
  <si>
    <t>Mon May 02 09:18:13 +0000 2022</t>
  </si>
  <si>
    <t>22135002</t>
  </si>
  <si>
    <t>http://pbs.twimg.com/profile_images/598879055077859330/fK9bASgM_normal.png</t>
  </si>
  <si>
    <t>http://twitter.com/SMOCKFORD/statuses/1521056455780093952</t>
  </si>
  <si>
    <t>{"hashtags":[{"text":"brexit","indices":[52,59]},{"text":"ukrainesanctions","indices":[96,113]}],"symbols":[],"user_mentions":[],"urls":[]}</t>
  </si>
  <si>
    <t>1521056394253946882</t>
  </si>
  <si>
    <t>MancCoin</t>
  </si>
  <si>
    <t>Mon May 02 09:17:58 +0000 2022</t>
  </si>
  <si>
    <t>145399847</t>
  </si>
  <si>
    <t>http://pbs.twimg.com/profile_images/1463413720059727873/vFvaa_28_normal.png</t>
  </si>
  <si>
    <t>Republic of Manchester</t>
  </si>
  <si>
    <t>http://twitter.com/MancCoin/statuses/1521056394253946882</t>
  </si>
  <si>
    <t>1521056382623096832</t>
  </si>
  <si>
    <t>tomm_baldwin</t>
  </si>
  <si>
    <t>👏🏼 #JohnsonOut #uknews #ukpolitics #uk #tory #tories #boris #ToryShambles #ToryLies #Brexit #globalbritain #BuildBackBetter #Conservatives #Conservative https://t.co/5FLy9ZlCkJ</t>
  </si>
  <si>
    <t>Mon May 02 09:17:56 +0000 2022</t>
  </si>
  <si>
    <t>1098225147163619328</t>
  </si>
  <si>
    <t>http://pbs.twimg.com/profile_images/1409971823530369027/DLUAo7ZE_normal.jpg</t>
  </si>
  <si>
    <t>England, Europe.</t>
  </si>
  <si>
    <t>http://twitter.com/tomm_baldwin/statuses/1521056382623096832</t>
  </si>
  <si>
    <t>{"hashtags":[{"text":"JohnsonOut","indices":[3,14]},{"text":"uknews","indices":[15,22]},{"text":"ukpolitics","indices":[23,34]},{"text":"uk","indices":[35,38]},{"text":"tory","indices":[39,44]},{"text":"tories","indices":[45,52]},{"text":"boris","indices":[53,59]},{"text":"ToryShambles","indices":[60,73]},{"text":"ToryLies","indices":[74,83]},{"text":"Brexit","indices":[84,91]},{"text":"globalbritain","indices":[92,106]},{"text":"BuildBackBetter","indices":[107,123]},{"text":"Conservatives","indices":[124,138]},{"text":"Conservative","indices":[139,152]}],"symbols":[],"user_mentions":[],"urls":[{"url":"https://t.co/5FLy9ZlCkJ","expanded_url":"https://twitter.com/docrussjackson/status/1520825339299127296","display_url":"twitter.com/docrussjackson…","indices":[153,176]}]}</t>
  </si>
  <si>
    <t>1521056377044623365</t>
  </si>
  <si>
    <t>TheCPDiary</t>
  </si>
  <si>
    <t>@Graz_Jakomini @Raycspike @Tesco It's most supermarkets, including @asda - not bank holiday issues, although that's not helping, the long term issues are #Brexit and the fact that food that is being exported into the UK is stuck at ports, mostly perishable good. Madness...</t>
  </si>
  <si>
    <t>Mon May 02 09:17:54 +0000 2022</t>
  </si>
  <si>
    <t>1173186635321790466</t>
  </si>
  <si>
    <t>Graz_Jakomini</t>
  </si>
  <si>
    <t>138498185</t>
  </si>
  <si>
    <t>1520756365567959043</t>
  </si>
  <si>
    <t>http://pbs.twimg.com/profile_images/1250448404192415744/1g28Gb3c_normal.jpg</t>
  </si>
  <si>
    <t>http://twitter.com/TheCPDiary/statuses/1521056377044623365</t>
  </si>
  <si>
    <t>{"hashtags":[{"text":"Brexit","indices":[154,161]}],"symbols":[],"user_mentions":[{"screen_name":"Graz_Jakomini","name":"Steiner #RejoinEU 🇪🇺🇦🇹","id":1173186635321790500,"id_str":"1173186635321790466","indices":[0,14]},{"screen_name":"Raycspike","name":"Ray. #FBPE #FBPEGlobal, #FBPA #FBPPR","id":1536330835,"id_str":"1536330835","indices":[15,25]},{"screen_name":"Tesco","name":"Tesco","id":271986064,"id_str":"271986064","indices":[26,32]},{"screen_name":"asda","name":"Asda","id":20123366,"id_str":"20123366","indices":[67,72]}],"urls":[]}</t>
  </si>
  <si>
    <t>1521056318911664132</t>
  </si>
  <si>
    <t>Alchmist93till</t>
  </si>
  <si>
    <t>RT @jdpoc: #Brexit Benefit Number 742:
As from today, May 1, if you are residing in Spain and driving on a current British driving license, it is no longer valid. You have to already have taken the Spanish test by now. 
￼
France, soon. Each nation decides individually￼. https://t.co/kTE9mnqXut</t>
  </si>
  <si>
    <t>Mon May 02 09:17:40 +0000 2022</t>
  </si>
  <si>
    <t>614912756</t>
  </si>
  <si>
    <t>http://pbs.twimg.com/profile_images/1413840176846102529/TnPPgexH_normal.jpg</t>
  </si>
  <si>
    <t>http://twitter.com/Alchmist93till/statuses/1521056318911664132</t>
  </si>
  <si>
    <t>{"hashtags":[{"text":"Brexit","indices":[11,18]}],"symbols":[],"user_mentions":[{"screen_name":"jdpoc","name":"John O'Connell","id":213243802,"id_str":"213243802","indices":[3,9]}],"urls":[]}</t>
  </si>
  <si>
    <t>1521056312729214976</t>
  </si>
  <si>
    <t>ezzye</t>
  </si>
  <si>
    <t>RT @BluJay1066: @markjenkinsonmp If #johnsonOut98 is the only thing keeping #Brexit afloat, we really are in trouble. https://t.co/q96alGzOjV</t>
  </si>
  <si>
    <t>Mon May 02 09:17:39 +0000 2022</t>
  </si>
  <si>
    <t>1612011</t>
  </si>
  <si>
    <t>http://pbs.twimg.com/profile_images/1495435956756918275/xfxfRFGN_normal.jpg</t>
  </si>
  <si>
    <t>Hackney, London, UK</t>
  </si>
  <si>
    <t>http://twitter.com/ezzye/statuses/1521056312729214976</t>
  </si>
  <si>
    <t>{"hashtags":[{"text":"johnsonOut98","indices":[36,49]},{"text":"Brexit","indices":[76,83]}],"symbols":[],"user_mentions":[{"screen_name":"BluJay1066","name":"BluJay","id":1506235195053199400,"id_str":"1506235195053199360","indices":[3,14]},{"screen_name":"markjenkinsonmp","name":"Mark Jenkinson MP","id":116228328,"id_str":"116228328","indices":[16,32]}],"urls":[]}</t>
  </si>
  <si>
    <t>1521056277396344832</t>
  </si>
  <si>
    <t>magicdmw</t>
  </si>
  <si>
    <t>Mon May 02 09:17:31 +0000 2022</t>
  </si>
  <si>
    <t>831815773</t>
  </si>
  <si>
    <t>http://pbs.twimg.com/profile_images/1514178416832126980/-RBT4ZEv_normal.jpg</t>
  </si>
  <si>
    <t>http://twitter.com/magicdmw/statuses/1521056277396344832</t>
  </si>
  <si>
    <t>1521056271708966912</t>
  </si>
  <si>
    <t>BedlingtonJamie</t>
  </si>
  <si>
    <t>RT @DavidWPoole73: Listening to @bbc5live phone in about Bank Holidays. UK workers currently get fewer public holidays than the EU. Caller doesn’t understand why we need parity with EU ? Classic #Brexit voter - let’s have fewer rights, fewer holidays and work longer hours #BrexitReality #ToryLies</t>
  </si>
  <si>
    <t>Mon May 02 09:17:29 +0000 2022</t>
  </si>
  <si>
    <t>130283867</t>
  </si>
  <si>
    <t>http://pbs.twimg.com/profile_images/1496066948584587266/Vj6GUUnG_normal.jpg</t>
  </si>
  <si>
    <t>Moray</t>
  </si>
  <si>
    <t>http://twitter.com/BedlingtonJamie/statuses/1521056271708966912</t>
  </si>
  <si>
    <t>{"hashtags":[],"symbols":[],"user_mentions":[{"screen_name":"DavidWPoole73","name":"David W Poole","id":1219743127,"id_str":"1219743127","indices":[3,17]},{"screen_name":"bbc5live","name":"BBC Radio 5 Live","id":7589572,"id_str":"7589572","indices":[32,41]}],"urls":[]}</t>
  </si>
  <si>
    <t>1521056243749695488</t>
  </si>
  <si>
    <t>NaturalMessiah</t>
  </si>
  <si>
    <t>"...while the Bank of England would not want workers to lose their jobs, it should hike interest rates now to squeeze out inflationary pressures made worse by #Brexit trade and #immigration restrictions."
#Brexiters, get a coffee, sit down, &amp;amp; read that sentence to yourself. https://t.co/lBfwBwe29w</t>
  </si>
  <si>
    <t>Mon May 02 09:17:23 +0000 2022</t>
  </si>
  <si>
    <t>207494585</t>
  </si>
  <si>
    <t>http://pbs.twimg.com/profile_images/1515374077455777794/vgpz-fxU_normal.jpg</t>
  </si>
  <si>
    <t>Libertalia</t>
  </si>
  <si>
    <t>http://twitter.com/NaturalMessiah/statuses/1521056243749695488</t>
  </si>
  <si>
    <t>{"hashtags":[{"text":"Brexit","indices":[159,166]},{"text":"immigration","indices":[177,189]},{"text":"Brexiters","indices":[206,216]}],"symbols":[],"user_mentions":[],"urls":[{"url":"https://t.co/lBfwBwe29w","expanded_url":"https://twitter.com/richyphillips/status/1521042122580938752","display_url":"twitter.com/richyphillips/…","indices":[280,303]}]}</t>
  </si>
  <si>
    <t>1521056170382921728</t>
  </si>
  <si>
    <t>objectsmith</t>
  </si>
  <si>
    <t>Mon May 02 09:17:05 +0000 2022</t>
  </si>
  <si>
    <t>150618812</t>
  </si>
  <si>
    <t>http://pbs.twimg.com/profile_images/857994932472164352/69-vkcsx_normal.jpg</t>
  </si>
  <si>
    <t>http://twitter.com/objectsmith/statuses/1521056170382921728</t>
  </si>
  <si>
    <t>1521056159653892096</t>
  </si>
  <si>
    <t>SallyFereday</t>
  </si>
  <si>
    <t>Mon May 02 09:17:02 +0000 2022</t>
  </si>
  <si>
    <t>3380761420</t>
  </si>
  <si>
    <t>http://pbs.twimg.com/profile_images/622341406984679424/xyScQHNz_normal.png</t>
  </si>
  <si>
    <t>http://twitter.com/SallyFereday/statuses/1521056159653892096</t>
  </si>
  <si>
    <t>1521056133884088321</t>
  </si>
  <si>
    <t>stuartfmckee1</t>
  </si>
  <si>
    <t>RT @JKLDNMAD: @markjenkinsonmp Fingers crossed.
#Brexit is a disaster. A Tory made disaster. 
Its like the Tories were paid by a hostile foreign state to  destabilise and dismantle the UK with their rancid project.
Tories are traitors. https://t.co/rqYOyYnH2T</t>
  </si>
  <si>
    <t>Mon May 02 09:16:56 +0000 2022</t>
  </si>
  <si>
    <t>2802269921</t>
  </si>
  <si>
    <t>http://pbs.twimg.com/profile_images/518083022051368962/T1ohmZW2_normal.jpeg</t>
  </si>
  <si>
    <t>http://twitter.com/stuartfmckee1/statuses/1521056133884088321</t>
  </si>
  <si>
    <t>{"hashtags":[{"text":"Brexit","indices":[49,56]}],"symbols":[],"user_mentions":[{"screen_name":"JKLDNMAD","name":"JK","id":872158753008877600,"id_str":"872158753008877569","indices":[3,12]},{"screen_name":"markjenkinsonmp","name":"Mark Jenkinson MP","id":116228328,"id_str":"116228328","indices":[14,30]}],"urls":[]}</t>
  </si>
  <si>
    <t>1521056105199292416</t>
  </si>
  <si>
    <t>jamespfeffer</t>
  </si>
  <si>
    <t>Mon May 02 09:16:49 +0000 2022</t>
  </si>
  <si>
    <t>82741074</t>
  </si>
  <si>
    <t>http://pbs.twimg.com/profile_images/1297744995198410754/6_gnqt5L_normal.jpg</t>
  </si>
  <si>
    <t>Gdańsk</t>
  </si>
  <si>
    <t>http://twitter.com/jamespfeffer/statuses/1521056105199292416</t>
  </si>
  <si>
    <t>1521056030309945344</t>
  </si>
  <si>
    <t>UnpubWrites</t>
  </si>
  <si>
    <t>Mon May 02 09:16:32 +0000 2022</t>
  </si>
  <si>
    <t>473112970</t>
  </si>
  <si>
    <t>http://pbs.twimg.com/profile_images/1850241420/Copy_of_avon_street_normal.JPG</t>
  </si>
  <si>
    <t>Bath</t>
  </si>
  <si>
    <t>http://twitter.com/UnpubWrites/statuses/1521056030309945344</t>
  </si>
  <si>
    <t>1521056022324031488</t>
  </si>
  <si>
    <t>jan1mal</t>
  </si>
  <si>
    <t>Mon May 02 09:16:30 +0000 2022</t>
  </si>
  <si>
    <t>271331160</t>
  </si>
  <si>
    <t>http://pbs.twimg.com/profile_images/1496768431034617857/dR4lOzzA_normal.jpg</t>
  </si>
  <si>
    <t>UK, Europe</t>
  </si>
  <si>
    <t>http://twitter.com/jan1mal/statuses/1521056022324031488</t>
  </si>
  <si>
    <t>1521055996923289601</t>
  </si>
  <si>
    <t>VanDutchmanXXX</t>
  </si>
  <si>
    <t>@SebastianEPayne British farmers were relatively safe within the EU but they opted to expose themselves to global competition 🤦 #Brexit</t>
  </si>
  <si>
    <t>Mon May 02 09:16:24 +0000 2022</t>
  </si>
  <si>
    <t>162473641</t>
  </si>
  <si>
    <t>SebastianEPayne</t>
  </si>
  <si>
    <t>780875862</t>
  </si>
  <si>
    <t>1520345683659829249</t>
  </si>
  <si>
    <t>http://pbs.twimg.com/profile_images/2542750339/windmill3_normal.gif</t>
  </si>
  <si>
    <t>http://twitter.com/VanDutchmanXXX/statuses/1521055996923289601</t>
  </si>
  <si>
    <t>{"hashtags":[{"text":"Brexit","indices":[128,135]}],"symbols":[],"user_mentions":[{"screen_name":"SebastianEPayne","name":"Sebastian Payne","id":162473641,"id_str":"162473641","indices":[0,16]}],"urls":[]}</t>
  </si>
  <si>
    <t>1521055967001165824</t>
  </si>
  <si>
    <t>TomFriang</t>
  </si>
  <si>
    <t>La voie 2️⃣, c’est la même que celle de #LePen. C’est la rhétorique qui a permis le #Brexit dont on connaît les résultats. C’est @yjadot doublé par @sandrousseau, c’est @Anne_Hidalgo minée par @faureolivier. Les candidats trahis deux fois. Pendant la campagne, après la campagne.</t>
  </si>
  <si>
    <t>Mon May 02 09:16:17 +0000 2022</t>
  </si>
  <si>
    <t>522256829</t>
  </si>
  <si>
    <t>1521055201465184257</t>
  </si>
  <si>
    <t>http://pbs.twimg.com/profile_images/1507101161177948162/96BIsZQk_normal.jpg</t>
  </si>
  <si>
    <t>http://twitter.com/TomFriang/statuses/1521055967001165824</t>
  </si>
  <si>
    <t>{"hashtags":[{"text":"LePen","indices":[40,46]},{"text":"Brexit","indices":[84,91]}],"symbols":[],"user_mentions":[{"screen_name":"yjadot","name":"Yannick Jadot","id":117761523,"id_str":"117761523","indices":[129,136]},{"screen_name":"sandrousseau","name":"Sandrine Rousseau","id":371381075,"id_str":"371381075","indices":[148,161]},{"screen_name":"Anne_Hidalgo","name":"Anne Hidalgo","id":26073581,"id_str":"26073581","indices":[169,182]},{"screen_name":"faureolivier","name":"Olivier Faure","id":213754264,"id_str":"213754264","indices":[193,206]}],"urls":[]}</t>
  </si>
  <si>
    <t>1521055941462011905</t>
  </si>
  <si>
    <t>Mon May 02 09:16:10 +0000 2022</t>
  </si>
  <si>
    <t>http://twitter.com/jan1mal/statuses/1521055941462011905</t>
  </si>
  <si>
    <t>1521055938794373121</t>
  </si>
  <si>
    <t>shaun_smith99</t>
  </si>
  <si>
    <t>RT @SydesJokes: #Brexit https://t.co/klvMS4i6Lw</t>
  </si>
  <si>
    <t>703968880637714432</t>
  </si>
  <si>
    <t>http://pbs.twimg.com/profile_images/703969302597214208/b4Pkr5E-_normal.jpg</t>
  </si>
  <si>
    <t>http://twitter.com/shaun_smith99/statuses/1521055938794373121</t>
  </si>
  <si>
    <t>{"hashtags":[{"text":"Brexit","indices":[16,23]}],"symbols":[],"user_mentions":[{"screen_name":"SydesJokes","name":"Lord Sydes #FBPE #FBPPR 💙 🇬🇧🇩🇪🇸🇬🇫🇮🇪🇺","id":29459695,"id_str":"29459695","indices":[3,14]}],"urls":[],"media":[{"id":1520430102911328300,"id_str":"1520430102911328257","indices":[24,47],"media_url":"http://pbs.twimg.com/media/FRmnH33XIAELfYv.jpg","media_url_https":"https://pbs.twimg.com/media/FRmnH33XIAELfYv.jpg","url":"https://t.co/klvMS4i6Lw","display_url":"pic.twitter.com/klvMS4i6Lw","expanded_url":"https://twitter.com/SydesJokes/status/1520430105482481664/photo/1","type":"photo","sizes":{"large":{"w":1080,"h":1058,"resize":"fit"},"thumb":{"w":150,"h":150,"resize":"crop"},"small":{"w":680,"h":666,"resize":"fit"},"medium":{"w":1080,"h":1058,"resize":"fit"}},"source_status_id":1520430105482481700,"source_status_id_str":"1520430105482481664","source_user_id":29459695,"source_user_id_str":"29459695"}]}</t>
  </si>
  <si>
    <t>1521055898688528384</t>
  </si>
  <si>
    <t>RoderickOwenBa1</t>
  </si>
  <si>
    <t>Mon May 02 09:16:00 +0000 2022</t>
  </si>
  <si>
    <t>1437700407799779330</t>
  </si>
  <si>
    <t>http://pbs.twimg.com/profile_images/1437700546220208129/J-K3rDNT_normal.png</t>
  </si>
  <si>
    <t>http://twitter.com/RoderickOwenBa1/statuses/1521055898688528384</t>
  </si>
  <si>
    <t>1521055870909571073</t>
  </si>
  <si>
    <t>KenAnderson01</t>
  </si>
  <si>
    <t>Mon May 02 09:15:54 +0000 2022</t>
  </si>
  <si>
    <t>586895239</t>
  </si>
  <si>
    <t>http://pbs.twimg.com/profile_images/647210858720923648/K1mA5zSf_normal.jpg</t>
  </si>
  <si>
    <t>Originally from Edinburgh.  Now based London and Brittany.</t>
  </si>
  <si>
    <t>http://twitter.com/KenAnderson01/statuses/1521055870909571073</t>
  </si>
  <si>
    <t>1521055822540853248</t>
  </si>
  <si>
    <t>BluJay1066</t>
  </si>
  <si>
    <t>Mon May 02 09:15:42 +0000 2022</t>
  </si>
  <si>
    <t>1506235195053199360</t>
  </si>
  <si>
    <t>http://pbs.twimg.com/profile_images/1506239366125047815/qUV_vjnn_normal.jpg</t>
  </si>
  <si>
    <t>a burning planet</t>
  </si>
  <si>
    <t>http://twitter.com/BluJay1066/statuses/1521055822540853248</t>
  </si>
  <si>
    <t>1521055822238949376</t>
  </si>
  <si>
    <t>TheOlivr</t>
  </si>
  <si>
    <t>They want to establish a dictatorship. They don’t even hide it. 🇪🇺🇩🇪 #eu #brexit https://t.co/njj3Gc1NMG</t>
  </si>
  <si>
    <t>1421400469881114624</t>
  </si>
  <si>
    <t>http://pbs.twimg.com/profile_images/1489892907226124296/lQFADUox_normal.jpg</t>
  </si>
  <si>
    <t>Land of Woke and Glory</t>
  </si>
  <si>
    <t>http://twitter.com/TheOlivr/statuses/1521055822238949376</t>
  </si>
  <si>
    <t>{"hashtags":[{"text":"eu","indices":[69,72]},{"text":"brexit","indices":[73,80]}],"symbols":[],"user_mentions":[],"urls":[{"url":"https://t.co/njj3Gc1NMG","expanded_url":"https://twitter.com/guyverhofstadt/status/1520336571945426945","display_url":"twitter.com/guyverhofstadt…","indices":[81,104]}]}</t>
  </si>
  <si>
    <t>1521055814039048192</t>
  </si>
  <si>
    <t>BerylHylton</t>
  </si>
  <si>
    <t>Mon May 02 09:15:40 +0000 2022</t>
  </si>
  <si>
    <t>567327092</t>
  </si>
  <si>
    <t>http://twitter.com/BerylHylton/statuses/1521055814039048192</t>
  </si>
  <si>
    <t>1521055737878880259</t>
  </si>
  <si>
    <t>RogMull</t>
  </si>
  <si>
    <t>Much of inflation is a function of #Brexit , insufficient immigration and international conditions.  Creating a #recession will destroy jobs &amp;amp; harm the vulnerable more than control inflation. As ever, human conditions given too little weight in BoE (and UK Treasury) calculations https://t.co/FyNQ6kjWKn</t>
  </si>
  <si>
    <t>Mon May 02 09:15:22 +0000 2022</t>
  </si>
  <si>
    <t>275022080</t>
  </si>
  <si>
    <t>http://pbs.twimg.com/profile_images/948143177822851074/SxbLrpli_normal.jpg</t>
  </si>
  <si>
    <t>http://twitter.com/RogMull/statuses/1521055737878880259</t>
  </si>
  <si>
    <t>{"hashtags":[{"text":"Brexit","indices":[35,42]},{"text":"recession","indices":[112,122]}],"symbols":[],"user_mentions":[],"urls":[{"url":"https://t.co/FyNQ6kjWKn","expanded_url":"https://twitter.com/paullewismoney/status/1521046749296701440","display_url":"twitter.com/paullewismoney…","indices":[284,307]}]}</t>
  </si>
  <si>
    <t>1521055712289468418</t>
  </si>
  <si>
    <t>AlexStillMe</t>
  </si>
  <si>
    <t>RT @EastKent_EM: #Brexit causing chaos in the economy. Inflation at 7%, the highest in the G7, due to wage pressures from labour shortages. The LSE study finds 25% drop in UK trade, compared to post #Covid19 boost elsewhere. Recession inevitable?  #r4today #WorldBeating https://t.co/pJZ4lcnU0C</t>
  </si>
  <si>
    <t>Mon May 02 09:15:16 +0000 2022</t>
  </si>
  <si>
    <t>65338310</t>
  </si>
  <si>
    <t>http://pbs.twimg.com/profile_images/1176984900681043968/RbUZHMp9_normal.jpg</t>
  </si>
  <si>
    <t>Derbyshire, United Kingdom</t>
  </si>
  <si>
    <t>http://twitter.com/AlexStillMe/statuses/1521055712289468418</t>
  </si>
  <si>
    <t>{"hashtags":[{"text":"Brexit","indices":[17,24]}],"symbols":[],"user_mentions":[{"screen_name":"EastKent_EM","name":"EKEM Branch","id":2965188994,"id_str":"2965188994","indices":[3,15]}],"urls":[]}</t>
  </si>
  <si>
    <t>1521055704467050496</t>
  </si>
  <si>
    <t>BobbyGeorge19</t>
  </si>
  <si>
    <t>Mon May 02 09:15:14 +0000 2022</t>
  </si>
  <si>
    <t>1367409444</t>
  </si>
  <si>
    <t>http://pbs.twimg.com/profile_images/3580729394/9c33e9730e44951bf582b74ed1517405_normal.jpeg</t>
  </si>
  <si>
    <t>york</t>
  </si>
  <si>
    <t>http://twitter.com/BobbyGeorge19/statuses/1521055704467050496</t>
  </si>
  <si>
    <t>1521055682929307649</t>
  </si>
  <si>
    <t>HopeFbpe</t>
  </si>
  <si>
    <t>Mon May 02 09:15:09 +0000 2022</t>
  </si>
  <si>
    <t>755521152924151814</t>
  </si>
  <si>
    <t>http://pbs.twimg.com/profile_images/1483882762264268808/CDXPhxdJ_normal.jpg</t>
  </si>
  <si>
    <t>http://twitter.com/HopeFbpe/statuses/1521055682929307649</t>
  </si>
  <si>
    <t>1521055653653098496</t>
  </si>
  <si>
    <t>robert0461</t>
  </si>
  <si>
    <t>Mon May 02 09:15:02 +0000 2022</t>
  </si>
  <si>
    <t>1097460462260760576</t>
  </si>
  <si>
    <t>http://pbs.twimg.com/profile_images/1460576899651051522/ZUKNb-Ph_normal.jpg</t>
  </si>
  <si>
    <t>Peterborough, England</t>
  </si>
  <si>
    <t>http://twitter.com/robert0461/statuses/1521055653653098496</t>
  </si>
  <si>
    <t>1521055596757364737</t>
  </si>
  <si>
    <t>DavidDsmithson1</t>
  </si>
  <si>
    <t>Mon May 02 09:14:48 +0000 2022</t>
  </si>
  <si>
    <t>3090574873</t>
  </si>
  <si>
    <t>http://twitter.com/DavidDsmithson1/statuses/1521055596757364737</t>
  </si>
  <si>
    <t>1521055568466694145</t>
  </si>
  <si>
    <t>GillyCombe</t>
  </si>
  <si>
    <t>Mon May 02 09:14:42 +0000 2022</t>
  </si>
  <si>
    <t>562681589</t>
  </si>
  <si>
    <t>http://pbs.twimg.com/profile_images/1209807544610369537/_QjJgoZH_normal.jpg</t>
  </si>
  <si>
    <t>http://twitter.com/GillyCombe/statuses/1521055568466694145</t>
  </si>
  <si>
    <t>1521055567879491584</t>
  </si>
  <si>
    <t>LadyJules_Cath</t>
  </si>
  <si>
    <t>RT @McEwanMorton: Barrel-scraper Grant #Shapps is taking us for a ride | oh and #Brexit benefits for #ReesMogg https://t.co/j3cEGZRVIx</t>
  </si>
  <si>
    <t>Mon May 02 09:14:41 +0000 2022</t>
  </si>
  <si>
    <t>1081484761934319623</t>
  </si>
  <si>
    <t>http://pbs.twimg.com/profile_images/1294923882944757760/8gQOZeOk_normal.jpg</t>
  </si>
  <si>
    <t>Surrey, United Kingdom</t>
  </si>
  <si>
    <t>http://twitter.com/LadyJules_Cath/statuses/1521055567879491584</t>
  </si>
  <si>
    <t>{"hashtags":[{"text":"Shapps","indices":[39,46]},{"text":"Brexit","indices":[80,87]},{"text":"ReesMogg","indices":[101,110]}],"symbols":[],"user_mentions":[{"screen_name":"McEwanMorton","name":"McEwan 3.5% FBPE #BLM #GTTO #CitizenOfNoWhere","id":185789804,"id_str":"185789804","indices":[3,16]}],"urls":[{"url":"https://t.co/j3cEGZRVIx","expanded_url":"https://www.theguardian.com/commentisfree/2022/may/01/barrel-scraper-grant-shapps-is-taking-us-for-a-ride?CMP=Share_iOSApp_Other","display_url":"theguardian.com/commentisfree/…","indices":[111,134]}]}</t>
  </si>
  <si>
    <t>1521055562049507328</t>
  </si>
  <si>
    <t>bwrthesquirrel</t>
  </si>
  <si>
    <t>RT @CurlyChronic: @susannareid100 @GMB Ask him why he is denying they knew about asymptomatic transmission. Ask him to name a single #Brexit benefit. Ask him about the police raid on Michelle Mone for the resale of unusable PPE. Ask him why he’s still PM when his government have been found to have acted unlawfully.</t>
  </si>
  <si>
    <t>Mon May 02 09:14:40 +0000 2022</t>
  </si>
  <si>
    <t>1281269368626851849</t>
  </si>
  <si>
    <t>http://twitter.com/bwrthesquirrel/statuses/1521055562049507328</t>
  </si>
  <si>
    <t>{"hashtags":[],"symbols":[],"user_mentions":[{"screen_name":"CurlyChronic","name":"Jessica du-Cille","id":20819326,"id_str":"20819326","indices":[3,16]},{"screen_name":"susannareid100","name":"Susanna Reid","id":19477583,"id_str":"19477583","indices":[18,33]},{"screen_name":"GMB","name":"Good Morning Britain","id":19424427,"id_str":"19424427","indices":[34,38]}],"urls":[]}</t>
  </si>
  <si>
    <t>1521055510203617281</t>
  </si>
  <si>
    <t>Ride4Truth</t>
  </si>
  <si>
    <t>Mon May 02 09:14:28 +0000 2022</t>
  </si>
  <si>
    <t>1161606975945433088</t>
  </si>
  <si>
    <t>http://pbs.twimg.com/profile_images/1498092652453146627/Ya-KcsJJ_normal.jpg</t>
  </si>
  <si>
    <t>England, UK</t>
  </si>
  <si>
    <t>http://twitter.com/Ride4Truth/statuses/1521055510203617281</t>
  </si>
  <si>
    <t>1521055473629282305</t>
  </si>
  <si>
    <t>fatoldsun68</t>
  </si>
  <si>
    <t>Accurate and elegant summary of current state of uk govt.
Why Boris bashes the archbishop https://t.co/fk09cKiZh2 from @TheEconomist. #brexit #boris  https://t.co/fk09cKiZh2</t>
  </si>
  <si>
    <t>Mon May 02 09:14:19 +0000 2022</t>
  </si>
  <si>
    <t>2813340243</t>
  </si>
  <si>
    <t>http://twitter.com/fatoldsun68/statuses/1521055473629282305</t>
  </si>
  <si>
    <t>{"hashtags":[{"text":"brexit","indices":[134,141]},{"text":"boris","indices":[142,148]}],"symbols":[],"user_mentions":[{"screen_name":"TheEconomist","name":"The Economist","id":5988062,"id_str":"5988062","indices":[119,132]}],"urls":[{"url":"https://t.co/fk09cKiZh2","expanded_url":"https://www.economist.com/britain/2022/04/23/why-boris-bashes-the-archbishop","display_url":"economist.com/britain/2022/0…","indices":[90,113]},{"url":"https://t.co/fk09cKiZh2","expanded_url":"https://www.economist.com/britain/2022/04/23/why-boris-bashes-the-archbishop","display_url":"economist.com/britain/2022/0…","indices":[150,173]}]}</t>
  </si>
  <si>
    <t>1521055394474430464</t>
  </si>
  <si>
    <t>ClarkStefmog</t>
  </si>
  <si>
    <t>Mon May 02 09:14:00 +0000 2022</t>
  </si>
  <si>
    <t>1472948222</t>
  </si>
  <si>
    <t>http://pbs.twimg.com/profile_images/1388970816931565568/OoUdlkUy_normal.jpg</t>
  </si>
  <si>
    <t>Newcastle /Gateshead</t>
  </si>
  <si>
    <t>http://twitter.com/ClarkStefmog/statuses/1521055394474430464</t>
  </si>
  <si>
    <t>1521055368251592704</t>
  </si>
  <si>
    <t>LarryCuffe</t>
  </si>
  <si>
    <t>Mon May 02 09:13:54 +0000 2022</t>
  </si>
  <si>
    <t>2889239795</t>
  </si>
  <si>
    <t>http://pbs.twimg.com/profile_images/1485567861095555072/TrpHpK2F_normal.jpg</t>
  </si>
  <si>
    <t>http://twitter.com/LarryCuffe/statuses/1521055368251592704</t>
  </si>
  <si>
    <t>1521055357744918528</t>
  </si>
  <si>
    <t>Mon May 02 09:13:51 +0000 2022</t>
  </si>
  <si>
    <t>http://twitter.com/ClarkStefmog/statuses/1521055357744918528</t>
  </si>
  <si>
    <t>1521055357149265920</t>
  </si>
  <si>
    <t>Cat_Empurrer</t>
  </si>
  <si>
    <t>RT @old_musician: Social Media, #Facebook, #CambridgeAnalytica, #Brexit, #Trump, #FoxNews ... all helped #Putin. All responsible for what #Russia is doing to #Ukraine. 
Putin thinks the distracted West is not going to stop him. He thinks he is right. He bet everything on that.
Prove him wrong!</t>
  </si>
  <si>
    <t>1237971095006961664</t>
  </si>
  <si>
    <t>http://pbs.twimg.com/profile_images/1472233053787500555/1Ziaf_mj_normal.jpg</t>
  </si>
  <si>
    <t>http://twitter.com/Cat_Empurrer/statuses/1521055357149265920</t>
  </si>
  <si>
    <t>{"hashtags":[{"text":"Facebook","indices":[32,41]},{"text":"CambridgeAnalytica","indices":[43,62]},{"text":"Brexit","indices":[64,71]},{"text":"Trump","indices":[73,79]},{"text":"FoxNews","indices":[81,89]},{"text":"Putin","indices":[105,111]}],"symbols":[],"user_mentions":[{"screen_name":"old_musician","name":"Old Musician 🗣️","id":1497290067890606000,"id_str":"1497290067890606080","indices":[3,16]}],"urls":[]}</t>
  </si>
  <si>
    <t>1521055355442184192</t>
  </si>
  <si>
    <t>RT @BrexitPhobe: #Brexit going well, eh? https://t.co/J9bGcHL2t8</t>
  </si>
  <si>
    <t>http://twitter.com/BrexitPhobe/statuses/1521055355442184192</t>
  </si>
  <si>
    <t>{"hashtags":[{"text":"Brexit","indices":[17,24]}],"symbols":[],"user_mentions":[{"screen_name":"BrexitPhobe","name":"PoliticallyHomeless 😷🏴󠁧󠁢󠁷󠁬󠁳󠁿#PATH","id":1264202814236098600,"id_str":"1264202814236098562","indices":[3,15]}],"urls":[]}</t>
  </si>
  <si>
    <t>1521055335733243904</t>
  </si>
  <si>
    <t>Mon May 02 09:13:46 +0000 2022</t>
  </si>
  <si>
    <t>http://twitter.com/ClarkStefmog/statuses/1521055335733243904</t>
  </si>
  <si>
    <t>1521055329445982209</t>
  </si>
  <si>
    <t>FranannigansD</t>
  </si>
  <si>
    <t>Mon May 02 09:13:45 +0000 2022</t>
  </si>
  <si>
    <t>714490928367583232</t>
  </si>
  <si>
    <t>http://pbs.twimg.com/profile_images/1222937956870168578/I59A7veZ_normal.jpg</t>
  </si>
  <si>
    <t>Wales</t>
  </si>
  <si>
    <t>http://twitter.com/FranannigansD/statuses/1521055329445982209</t>
  </si>
  <si>
    <t>1521055322802208771</t>
  </si>
  <si>
    <t>Letnapark</t>
  </si>
  <si>
    <t>@andikynast @aljakuns Das alte Kalte Krieg-Getöse. Schrecklich, dass es wirklich wiederholt wird. Nicht mal neu, das alte toxische Drohen...
Und GB? sozusagen: #Brexit, letal!
Alles lächerlich, zum Lachen ist es nicht.</t>
  </si>
  <si>
    <t>Mon May 02 09:13:43 +0000 2022</t>
  </si>
  <si>
    <t>296714530</t>
  </si>
  <si>
    <t>andikynast</t>
  </si>
  <si>
    <t>1237328814</t>
  </si>
  <si>
    <t>1520845258250194944</t>
  </si>
  <si>
    <t>http://pbs.twimg.com/profile_images/3330893841/921c51b8f9ffd86db639c408ab383b8d_normal.jpeg</t>
  </si>
  <si>
    <t>Berlin &amp; Prag</t>
  </si>
  <si>
    <t>http://twitter.com/Letnapark/statuses/1521055322802208771</t>
  </si>
  <si>
    <t>{"hashtags":[{"text":"Brexit","indices":[161,168]}],"symbols":[],"user_mentions":[{"screen_name":"andikynast","name":"Andreas Kynast","id":296714530,"id_str":"296714530","indices":[0,11]},{"screen_name":"aljakuns","name":"aljakuns","id":3388411199,"id_str":"3388411199","indices":[12,21]}],"urls":[]}</t>
  </si>
  <si>
    <t>1521055315936088066</t>
  </si>
  <si>
    <t>EUROFRESHD</t>
  </si>
  <si>
    <t>The UK government has announced that it will be once again postponing phytosanitary controls on imports of fresh products from the EU, making this the fourth such delay. 
#Brexit #UK #EU #imports #controls 
https://t.co/oJ6TuQxgKn</t>
  </si>
  <si>
    <t>Mon May 02 09:13:41 +0000 2022</t>
  </si>
  <si>
    <t>2451669919</t>
  </si>
  <si>
    <t>&lt;a href="https://help.twitter.com/en/using-twitter/how-to-tweet#source-labels" rel="nofollow"&gt;Eurofresh.com autopublish&lt;/a&gt;</t>
  </si>
  <si>
    <t>http://pbs.twimg.com/profile_images/1126120928759435266/8o_TWAIp_normal.jpg</t>
  </si>
  <si>
    <t>http://twitter.com/EUROFRESHD/statuses/1521055315936088066</t>
  </si>
  <si>
    <t>{"hashtags":[{"text":"Brexit","indices":[171,178]},{"text":"UK","indices":[179,182]},{"text":"EU","indices":[183,186]},{"text":"imports","indices":[187,195]},{"text":"controls","indices":[196,205]}],"symbols":[],"user_mentions":[],"urls":[{"url":"https://t.co/oJ6TuQxgKn","expanded_url":"https://www.eurofresh-distribution.com/?p=32917","display_url":"eurofresh-distribution.com/?p=32917","indices":[207,230]}]}</t>
  </si>
  <si>
    <t>1521055274613854208</t>
  </si>
  <si>
    <t>JohnCam91405227</t>
  </si>
  <si>
    <t>Mon May 02 09:13:31 +0000 2022</t>
  </si>
  <si>
    <t>1425728954</t>
  </si>
  <si>
    <t>http://pbs.twimg.com/profile_images/1081122810557353984/mw5zGUll_normal.jpg</t>
  </si>
  <si>
    <t>Dunfermline</t>
  </si>
  <si>
    <t>http://twitter.com/JohnCam91405227/statuses/1521055274613854208</t>
  </si>
  <si>
    <t>1521055227524304898</t>
  </si>
  <si>
    <t>Mon May 02 09:13:20 +0000 2022</t>
  </si>
  <si>
    <t>http://twitter.com/FranannigansD/statuses/1521055227524304898</t>
  </si>
  <si>
    <t>1521055194087366656</t>
  </si>
  <si>
    <t>ConorMcNicholas</t>
  </si>
  <si>
    <t>Mon May 02 09:13:12 +0000 2022</t>
  </si>
  <si>
    <t>19528470</t>
  </si>
  <si>
    <t>http://pbs.twimg.com/profile_images/1466092521260519425/7JmoUQB-_normal.jpg</t>
  </si>
  <si>
    <t>Cryptozone</t>
  </si>
  <si>
    <t>http://twitter.com/ConorMcNicholas/statuses/1521055194087366656</t>
  </si>
  <si>
    <t>1521055143634087938</t>
  </si>
  <si>
    <t>Mon May 02 09:13:00 +0000 2022</t>
  </si>
  <si>
    <t>http://twitter.com/FranannigansD/statuses/1521055143634087938</t>
  </si>
  <si>
    <t>1521055102995419137</t>
  </si>
  <si>
    <t>CliveDaviesUK</t>
  </si>
  <si>
    <t>Mon May 02 09:12:51 +0000 2022</t>
  </si>
  <si>
    <t>91129528</t>
  </si>
  <si>
    <t>&lt;a href="http://www.echofon.com/" rel="nofollow"&gt;Echofon&lt;/a&gt;</t>
  </si>
  <si>
    <t>http://pbs.twimg.com/profile_images/822114456276758530/n2SJ5-bT_normal.jpg</t>
  </si>
  <si>
    <t>http://twitter.com/CliveDaviesUK/statuses/1521055102995419137</t>
  </si>
  <si>
    <t>1521055062361055232</t>
  </si>
  <si>
    <t>Tallestpurpl</t>
  </si>
  <si>
    <t>Mon May 02 09:12:41 +0000 2022</t>
  </si>
  <si>
    <t>349381846</t>
  </si>
  <si>
    <t>http://pbs.twimg.com/profile_images/378800000606722853/35a03247c47a8d9aef3fb70a2c9fd85e_normal.jpeg</t>
  </si>
  <si>
    <t>http://twitter.com/Tallestpurpl/statuses/1521055062361055232</t>
  </si>
  <si>
    <t>1521055050935803904</t>
  </si>
  <si>
    <t>FsmDog</t>
  </si>
  <si>
    <t>RT @MG_7_9: @NicholasTyrone They should focus on their positives; they “got #brexit done” and achieved sunny uplands for everyone..🤡 https://t.co/ms3lIVkhAv</t>
  </si>
  <si>
    <t>Mon May 02 09:12:38 +0000 2022</t>
  </si>
  <si>
    <t>1404353054879670272</t>
  </si>
  <si>
    <t>http://pbs.twimg.com/profile_images/1498320895386992641/mZq8YIZF_normal.jpg</t>
  </si>
  <si>
    <t>South Wales</t>
  </si>
  <si>
    <t>http://twitter.com/FsmDog/statuses/1521055050935803904</t>
  </si>
  <si>
    <t>{"hashtags":[{"text":"brexit","indices":[76,83]}],"symbols":[],"user_mentions":[{"screen_name":"MG_7_9","name":"Matt Guntrip","id":1568805924,"id_str":"1568805924","indices":[3,10]},{"screen_name":"NicholasTyrone","name":"Nick Tyrone","id":631865146,"id_str":"631865146","indices":[12,27]}],"urls":[]}</t>
  </si>
  <si>
    <t>1521055030463315974</t>
  </si>
  <si>
    <t>PatTheHatter</t>
  </si>
  <si>
    <t>Mon May 02 09:12:33 +0000 2022</t>
  </si>
  <si>
    <t>1470518279814930437</t>
  </si>
  <si>
    <t>http://pbs.twimg.com/profile_images/1488679290401079298/s5Tv6h8R_normal.jpg</t>
  </si>
  <si>
    <t>http://twitter.com/PatTheHatter/statuses/1521055030463315974</t>
  </si>
  <si>
    <t>1521054972221267970</t>
  </si>
  <si>
    <t>TheGilse</t>
  </si>
  <si>
    <t>Mon May 02 09:12:19 +0000 2022</t>
  </si>
  <si>
    <t>615096472</t>
  </si>
  <si>
    <t>http://pbs.twimg.com/profile_images/1403263642720735236/TC8ycMhi_normal.jpg</t>
  </si>
  <si>
    <t>http://twitter.com/TheGilse/statuses/1521054972221267970</t>
  </si>
  <si>
    <t>1521054924422922242</t>
  </si>
  <si>
    <t>BlueBockle</t>
  </si>
  <si>
    <t>Mon May 02 09:12:08 +0000 2022</t>
  </si>
  <si>
    <t>142431112</t>
  </si>
  <si>
    <t>http://pbs.twimg.com/profile_images/907997463302348803/G8MpPAjl_normal.jpg</t>
  </si>
  <si>
    <t>http://twitter.com/BlueBockle/statuses/1521054924422922242</t>
  </si>
  <si>
    <t>1521054894404292615</t>
  </si>
  <si>
    <t>MariaMo32975161</t>
  </si>
  <si>
    <t>Would imagine switch will the thrown before then. UK Brexit world Johnson hasn't bothered to comment on anything. What's food and energy supplies when you dine off the taxpayer  #CostOfLivingCrisis #JohnsonOut #LiarFromTheShire #Brexit
https://t.co/58g7Rq4KGm</t>
  </si>
  <si>
    <t>Mon May 02 09:12:01 +0000 2022</t>
  </si>
  <si>
    <t>3965004861</t>
  </si>
  <si>
    <t>http://pbs.twimg.com/profile_images/1475974066230153219/yp5OEzaD_normal.jpg</t>
  </si>
  <si>
    <t>http://twitter.com/MariaMo32975161/statuses/1521054894404292615</t>
  </si>
  <si>
    <t>{"hashtags":[{"text":"CostOfLivingCrisis","indices":[178,197]},{"text":"JohnsonOut","indices":[198,209]},{"text":"LiarFromTheShire","indices":[210,227]},{"text":"Brexit","indices":[228,235]}],"symbols":[],"user_mentions":[],"urls":[{"url":"https://t.co/58g7Rq4KGm","expanded_url":"https://flip.it/tdenPK","display_url":"flip.it/tdenPK","indices":[237,260]}]}</t>
  </si>
  <si>
    <t>1521054894047830017</t>
  </si>
  <si>
    <t>davie5456</t>
  </si>
  <si>
    <t>3111429321</t>
  </si>
  <si>
    <t>http://pbs.twimg.com/profile_images/1496828090475024385/dYqAyn4L_normal.jpg</t>
  </si>
  <si>
    <t>Hamburg, Deutschland</t>
  </si>
  <si>
    <t>http://twitter.com/davie5456/statuses/1521054894047830017</t>
  </si>
  <si>
    <t>1521054877773877248</t>
  </si>
  <si>
    <t>TheFlexibleChef</t>
  </si>
  <si>
    <t>Mon May 02 09:11:57 +0000 2022</t>
  </si>
  <si>
    <t>1618063621</t>
  </si>
  <si>
    <t>http://pbs.twimg.com/profile_images/553867898762956800/gQ3d4OTR_normal.jpeg</t>
  </si>
  <si>
    <t>🇪🇺🇪🇦 Jaén, Andalucía</t>
  </si>
  <si>
    <t>http://twitter.com/TheFlexibleChef/statuses/1521054877773877248</t>
  </si>
  <si>
    <t>1521054870840791040</t>
  </si>
  <si>
    <t>Mon May 02 09:11:55 +0000 2022</t>
  </si>
  <si>
    <t>http://twitter.com/davie5456/statuses/1521054870840791040</t>
  </si>
  <si>
    <t>1521054859478409217</t>
  </si>
  <si>
    <t>Mon May 02 09:11:52 +0000 2022</t>
  </si>
  <si>
    <t>http://twitter.com/davie5456/statuses/1521054859478409217</t>
  </si>
  <si>
    <t>1521054843288313856</t>
  </si>
  <si>
    <t>rosepoet</t>
  </si>
  <si>
    <t>Mon May 02 09:11:49 +0000 2022</t>
  </si>
  <si>
    <t>56147198</t>
  </si>
  <si>
    <t>http://pbs.twimg.com/profile_images/1259515999528923138/Ks0H70H2_normal.jpg</t>
  </si>
  <si>
    <t>Brighton</t>
  </si>
  <si>
    <t>http://twitter.com/rosepoet/statuses/1521054843288313856</t>
  </si>
  <si>
    <t>1521054836044746752</t>
  </si>
  <si>
    <t>Mon May 02 09:11:47 +0000 2022</t>
  </si>
  <si>
    <t>http://twitter.com/davie5456/statuses/1521054836044746752</t>
  </si>
  <si>
    <t>1521054785625112576</t>
  </si>
  <si>
    <t>Mon May 02 09:11:35 +0000 2022</t>
  </si>
  <si>
    <t>http://twitter.com/davie5456/statuses/1521054785625112576</t>
  </si>
  <si>
    <t>1521054741891063811</t>
  </si>
  <si>
    <t>MickGreenhough</t>
  </si>
  <si>
    <t>Mon May 02 09:11:24 +0000 2022</t>
  </si>
  <si>
    <t>761965519</t>
  </si>
  <si>
    <t>http://pbs.twimg.com/profile_images/2511703547/M1_9331_normal.jpg</t>
  </si>
  <si>
    <t>Orpington</t>
  </si>
  <si>
    <t>http://twitter.com/MickGreenhough/statuses/1521054741891063811</t>
  </si>
  <si>
    <t>1521054617454497792</t>
  </si>
  <si>
    <t>MWFertileMinds</t>
  </si>
  <si>
    <t>Mon May 02 09:10:55 +0000 2022</t>
  </si>
  <si>
    <t>799079227</t>
  </si>
  <si>
    <t>http://pbs.twimg.com/profile_images/1123584153570639873/wUIPbD2j_normal.png</t>
  </si>
  <si>
    <t>North London</t>
  </si>
  <si>
    <t>http://twitter.com/MWFertileMinds/statuses/1521054617454497792</t>
  </si>
  <si>
    <t>1521054527390105604</t>
  </si>
  <si>
    <t>tobyh45</t>
  </si>
  <si>
    <t>@markjenkinsonmp You seem to think that the Opposition shouldn’t oppose or have a strategy to remove the incumbent Gvt. Why should it be considered a ‘secret’?  Your Party lied through its teeth to convince the public #Brexit was a good idea, but every promise made has been broken. #JohnsonOut98</t>
  </si>
  <si>
    <t>Mon May 02 09:10:33 +0000 2022</t>
  </si>
  <si>
    <t>116228328</t>
  </si>
  <si>
    <t>markjenkinsonmp</t>
  </si>
  <si>
    <t>1932207270</t>
  </si>
  <si>
    <t>1520848669053968386</t>
  </si>
  <si>
    <t>http://pbs.twimg.com/profile_images/1517427902060666881/Vg4x7cNk_normal.jpg</t>
  </si>
  <si>
    <t xml:space="preserve">Peoples’ Republic of Bristol </t>
  </si>
  <si>
    <t>http://twitter.com/tobyh45/statuses/1521054527390105604</t>
  </si>
  <si>
    <t>{"hashtags":[{"text":"Brexit","indices":[218,225]},{"text":"JohnsonOut98","indices":[283,296]}],"symbols":[],"user_mentions":[{"screen_name":"markjenkinsonmp","name":"Mark Jenkinson MP","id":116228328,"id_str":"116228328","indices":[0,16]}],"urls":[]}</t>
  </si>
  <si>
    <t>1521054523653070849</t>
  </si>
  <si>
    <t>HargMac</t>
  </si>
  <si>
    <t>"@JohnHealey_MP says it was a mistake for the former PM, @Theresa_May, to have taken defence and security off the table in #Brexit negotiations and that a future Labour government could move to strengthen co-operation with the EU." Same old Labour. https://t.co/5Ss7sSGgcI</t>
  </si>
  <si>
    <t>Mon May 02 09:10:32 +0000 2022</t>
  </si>
  <si>
    <t>2673238363</t>
  </si>
  <si>
    <t>http://pbs.twimg.com/profile_images/492291823595835392/ybdLS24B_normal.png</t>
  </si>
  <si>
    <t>http://twitter.com/HargMac/statuses/1521054523653070849</t>
  </si>
  <si>
    <t>{"hashtags":[{"text":"Brexit","indices":[123,130]}],"symbols":[],"user_mentions":[{"screen_name":"JohnHealey_MP","name":"John Healey MP","id":376161322,"id_str":"376161322","indices":[1,15]},{"screen_name":"theresa_may","name":"Theresa May","id":747807250819981300,"id_str":"747807250819981312","indices":[57,69]}],"urls":[{"url":"https://t.co/5Ss7sSGgcI","expanded_url":"https://www.msn.com/en-gb/news/world/labour-testing-the-waters-in-private-talks-with-germany-on-security-pact-with-eu-says-john-healey/ar-AAWP1ai?ocid=msedgdhp&amp;pc=U531&amp;cvid=359e920905cb4bd98b65658600b4d098","display_url":"msn.com/en-gb/news/wor…","indices":[249,272]}]}</t>
  </si>
  <si>
    <t>1521054475611475968</t>
  </si>
  <si>
    <t>LondonEconomic</t>
  </si>
  <si>
    <t>Mon May 02 09:10:21 +0000 2022</t>
  </si>
  <si>
    <t>1593295976</t>
  </si>
  <si>
    <t>http://pbs.twimg.com/profile_images/1412068975517876225/6L995dKq_normal.jpg</t>
  </si>
  <si>
    <t>http://twitter.com/LondonEconomic/statuses/1521054475611475968</t>
  </si>
  <si>
    <t>1521054414005587969</t>
  </si>
  <si>
    <t>CareyDP1</t>
  </si>
  <si>
    <t>Mon May 02 09:10:06 +0000 2022</t>
  </si>
  <si>
    <t>587714412</t>
  </si>
  <si>
    <t>http://pbs.twimg.com/profile_images/1406502323682168832/ReviPEU__normal.jpg</t>
  </si>
  <si>
    <t>http://twitter.com/CareyDP1/statuses/1521054414005587969</t>
  </si>
  <si>
    <t>1521054409983246338</t>
  </si>
  <si>
    <t>Red_Quadrant</t>
  </si>
  <si>
    <t>Mon May 02 09:10:05 +0000 2022</t>
  </si>
  <si>
    <t>98831299</t>
  </si>
  <si>
    <t>http://pbs.twimg.com/profile_images/876853391422566401/XUVw3i99_normal.jpg</t>
  </si>
  <si>
    <t>http://twitter.com/Red_Quadrant/statuses/1521054409983246338</t>
  </si>
  <si>
    <t>1521054306862084096</t>
  </si>
  <si>
    <t>EnglishPablo</t>
  </si>
  <si>
    <t>Mon May 02 09:09:41 +0000 2022</t>
  </si>
  <si>
    <t>292171827</t>
  </si>
  <si>
    <t>http://pbs.twimg.com/profile_images/747812118267834368/1iUQI3Xv_normal.jpg</t>
  </si>
  <si>
    <t>Gibraltar</t>
  </si>
  <si>
    <t>http://twitter.com/EnglishPablo/statuses/1521054306862084096</t>
  </si>
  <si>
    <t>1521054280173735936</t>
  </si>
  <si>
    <t>alextonemusic</t>
  </si>
  <si>
    <t>RT @AlbaAyrshire: Alba Van in Prestwick...See Alex Salmond hold an audience of many political parties in thrall as he speaks about #Brexit, the EU, EFTA and #ScottishIndependence at https://t.co/PF9vIDE0kp. Downloads of the #WeeAlbaBook there too!
#AlbaStandsForScotland
#VoteAlbaNumber1 https://t.co/uB6n3L4q6h</t>
  </si>
  <si>
    <t>Mon May 02 09:09:34 +0000 2022</t>
  </si>
  <si>
    <t>3227012079</t>
  </si>
  <si>
    <t>http://pbs.twimg.com/profile_images/623129098659823617/e44DcDFw_normal.jpg</t>
  </si>
  <si>
    <t>http://twitter.com/alextonemusic/statuses/1521054280173735936</t>
  </si>
  <si>
    <t>{"hashtags":[{"text":"Brexit","indices":[131,138]}],"symbols":[],"user_mentions":[{"screen_name":"AlbaAyrshire","name":"AyrshireAlba","id":1489753909056913400,"id_str":"1489753909056913411","indices":[3,16]}],"urls":[]}</t>
  </si>
  <si>
    <t>1521054219620556800</t>
  </si>
  <si>
    <t>llamasteve</t>
  </si>
  <si>
    <t>Mon May 02 09:09:20 +0000 2022</t>
  </si>
  <si>
    <t>8155242</t>
  </si>
  <si>
    <t>http://pbs.twimg.com/profile_images/1497897812809367561/qXy_6l1s_normal.png</t>
  </si>
  <si>
    <t>Sheffield, UK</t>
  </si>
  <si>
    <t>http://twitter.com/llamasteve/statuses/1521054219620556800</t>
  </si>
  <si>
    <t>1521054219196850187</t>
  </si>
  <si>
    <t>ldrscke</t>
  </si>
  <si>
    <t>188668572</t>
  </si>
  <si>
    <t>http://pbs.twimg.com/profile_images/1117048718778339328/wFF8RVsu_normal.png</t>
  </si>
  <si>
    <t>Dublin, Ireland</t>
  </si>
  <si>
    <t>http://twitter.com/ldrscke/statuses/1521054219196850187</t>
  </si>
  <si>
    <t>1521054169133690881</t>
  </si>
  <si>
    <t>GlendaB46825298</t>
  </si>
  <si>
    <t>Mon May 02 09:09:08 +0000 2022</t>
  </si>
  <si>
    <t>1377634263328288771</t>
  </si>
  <si>
    <t>http://twitter.com/GlendaB46825298/statuses/1521054169133690881</t>
  </si>
  <si>
    <t>1521054152574619650</t>
  </si>
  <si>
    <t>TheFluffyViking</t>
  </si>
  <si>
    <t>Mon May 02 09:09:04 +0000 2022</t>
  </si>
  <si>
    <t>126034464</t>
  </si>
  <si>
    <t>http://pbs.twimg.com/profile_images/1185516960760631297/u_M8BVBm_normal.jpg</t>
  </si>
  <si>
    <t>Devon, UK</t>
  </si>
  <si>
    <t>http://twitter.com/TheFluffyViking/statuses/1521054152574619650</t>
  </si>
  <si>
    <t>1521054076326268928</t>
  </si>
  <si>
    <t>pimlicat</t>
  </si>
  <si>
    <t>Mon May 02 09:08:46 +0000 2022</t>
  </si>
  <si>
    <t>19491239</t>
  </si>
  <si>
    <t>http://pbs.twimg.com/profile_images/1154046873616801798/F3SoS4cx_normal.jpg</t>
  </si>
  <si>
    <t>Citizen of Everywhere</t>
  </si>
  <si>
    <t>http://twitter.com/pimlicat/statuses/1521054076326268928</t>
  </si>
  <si>
    <t>1521054065731452935</t>
  </si>
  <si>
    <t>ArtBear1000</t>
  </si>
  <si>
    <t>RT @JoRichardsKent: @ArtBear1000 @NileGardiner Yikes! 😳
#Brexit</t>
  </si>
  <si>
    <t>Mon May 02 09:08:43 +0000 2022</t>
  </si>
  <si>
    <t>1466732494036815874</t>
  </si>
  <si>
    <t>http://pbs.twimg.com/profile_images/1466733852769103879/3bZ-Q44M_normal.jpg</t>
  </si>
  <si>
    <t>http://twitter.com/ArtBear1000/statuses/1521054065731452935</t>
  </si>
  <si>
    <t>{"hashtags":[{"text":"Brexit","indices":[57,64]}],"symbols":[],"user_mentions":[{"screen_name":"JoRichardsKent","name":"It’s ok to admit the BrexiTories lied to you","id":419927046,"id_str":"419927046","indices":[3,18]},{"screen_name":"ArtBear1000","name":"Duke Art of Barnard Castle💙#StandWithUkraine #NHS","id":1466732494036816000,"id_str":"1466732494036815874","indices":[20,32]},{"screen_name":"NileGardiner","name":"Nile Gardiner","id":849880970,"id_str":"849880970","indices":[33,46]}],"urls":[]}</t>
  </si>
  <si>
    <t>1521053997074989057</t>
  </si>
  <si>
    <t>saveyokohama</t>
  </si>
  <si>
    <t>https://t.co/uSJurTblbC #dairy #saveyokohama #eu #EURO2020 #BREXIT #UK #PourquoiTuAbandonnesYokohama? #ReviensYokohama #KomTillbakaYokohama #comebackyokohama  #Yokohama #ヨコハマ #よこはま</t>
  </si>
  <si>
    <t>Mon May 02 09:08:27 +0000 2022</t>
  </si>
  <si>
    <t>1179229956431237120</t>
  </si>
  <si>
    <t>&lt;a href="https://botbird.net" rel="nofollow"&gt;Botbird tweets&lt;/a&gt;</t>
  </si>
  <si>
    <t>http://pbs.twimg.com/profile_images/1179262787299639296/x3kKPA6B_normal.jpg</t>
  </si>
  <si>
    <t>YOKOHAMA</t>
  </si>
  <si>
    <t>http://twitter.com/saveyokohama/statuses/1521053997074989057</t>
  </si>
  <si>
    <t>{"hashtags":[{"text":"dairy","indices":[24,30]},{"text":"saveyokohama","indices":[31,44]},{"text":"eu","indices":[45,48]},{"text":"EURO2020","indices":[49,58]},{"text":"BREXIT","indices":[59,66]},{"text":"UK","indices":[67,70]},{"text":"PourquoiTuAbandonnesYokohama","indices":[71,100]},{"text":"ReviensYokohama","indices":[102,118]},{"text":"KomTillbakaYokohama","indices":[119,139]},{"text":"comebackyokohama","indices":[140,157]},{"text":"Yokohama","indices":[159,168]},{"text":"ヨコハマ","indices":[169,174]},{"text":"よこはま","indices":[175,180]}],"symbols":[],"user_mentions":[],"urls":[],"media":[{"id":1280329287736803300,"id_str":"1280329287736803329","indices":[0,23],"media_url":"http://pbs.twimg.com/media/EcSktCcUwAEIvkD.jpg","media_url_https":"https://pbs.twimg.com/media/EcSktCcUwAEIvkD.jpg","url":"https://t.co/uSJurTblbC","display_url":"pic.twitter.com/uSJurTblbC","expanded_url":"https://twitter.com/saveyokohama/status/1280329304929263618/photo/1","type":"photo","sizes":{"thumb":{"w":150,"h":150,"resize":"crop"},"medium":{"w":1200,"h":900,"resize":"fit"},"large":{"w":2048,"h":1536,"resize":"fit"},"small":{"w":680,"h":510,"resize":"fit"}},"source_status_id":1280329304929263600,"source_status_id_str":"1280329304929263618","source_user_id":1179229956431237000,"source_user_id_str":"1179229956431237120"}]}</t>
  </si>
  <si>
    <t>1521053944839081985</t>
  </si>
  <si>
    <t>attractaub</t>
  </si>
  <si>
    <t>Mon May 02 09:08:14 +0000 2022</t>
  </si>
  <si>
    <t>1228563175</t>
  </si>
  <si>
    <t>http://pbs.twimg.com/profile_images/1055424123831238656/a5cfZDFE_normal.jpg</t>
  </si>
  <si>
    <t>The environment - #Comhshaol</t>
  </si>
  <si>
    <t>http://twitter.com/attractaub/statuses/1521053944839081985</t>
  </si>
  <si>
    <t>1521053880620138497</t>
  </si>
  <si>
    <t>@markjenkinsonmp Yes. To try &amp;amp; undo the Russian supported #Brexit that you got through lying, corruption &amp;amp; gaslighting. Look at the result. Chaos &amp;amp; economic decline. #JohnsonOut98 #ToryCorruption #JohnsonLiedPeopleDied https://t.co/kjmGFggS1z</t>
  </si>
  <si>
    <t>Mon May 02 09:07:59 +0000 2022</t>
  </si>
  <si>
    <t>1520848392368402433</t>
  </si>
  <si>
    <t>http://twitter.com/tobyh45/statuses/1521053880620138497</t>
  </si>
  <si>
    <t>{"hashtags":[{"text":"Brexit","indices":[62,69]},{"text":"JohnsonOut98","indices":[178,191]},{"text":"ToryCorruption","indices":[192,207]},{"text":"JohnsonLiedPeopleDied","indices":[208,230]}],"symbols":[],"user_mentions":[{"screen_name":"markjenkinsonmp","name":"Mark Jenkinson MP","id":116228328,"id_str":"116228328","indices":[0,16]}],"urls":[],"media":[{"id":1521053863201153000,"id_str":"1521053863201153025","indices":[231,254],"media_url":"http://pbs.twimg.com/ext_tw_video_thumb/1521053863201153025/pu/img/-dgnnP2Qo2tFWKPe.jpg","media_url_https":"https://pbs.twimg.com/ext_tw_video_thumb/1521053863201153025/pu/img/-dgnnP2Qo2tFWKPe.jpg","url":"https://t.co/kjmGFggS1z","display_url":"pic.twitter.com/kjmGFggS1z","expanded_url":"https://twitter.com/tobyh45/status/1521053880620138497/video/1","type":"photo","sizes":{"thumb":{"w":150,"h":150,"resize":"crop"},"small":{"w":383,"h":680,"resize":"fit"},"large":{"w":576,"h":1024,"resize":"fit"},"medium":{"w":576,"h":1024,"resize":"fit"}}}]}</t>
  </si>
  <si>
    <t>1521053783220011008</t>
  </si>
  <si>
    <t>ohdaisydog</t>
  </si>
  <si>
    <t>Mon May 02 09:07:36 +0000 2022</t>
  </si>
  <si>
    <t>264946909</t>
  </si>
  <si>
    <t>http://pbs.twimg.com/profile_images/1275569619/PICT0269_normal.JPG</t>
  </si>
  <si>
    <t>Here</t>
  </si>
  <si>
    <t>http://twitter.com/ohdaisydog/statuses/1521053783220011008</t>
  </si>
  <si>
    <t>1521053743457968128</t>
  </si>
  <si>
    <t>SusiNew1</t>
  </si>
  <si>
    <t>Does anyone still think Brexit was a good idea?
#Brexit</t>
  </si>
  <si>
    <t>Mon May 02 09:07:26 +0000 2022</t>
  </si>
  <si>
    <t>1246698143263137792</t>
  </si>
  <si>
    <t>http://pbs.twimg.com/profile_images/1246698575347822593/2UeDd3uE_normal.jpg</t>
  </si>
  <si>
    <t>http://twitter.com/SusiNew1/statuses/1521053743457968128</t>
  </si>
  <si>
    <t>{"hashtags":[{"text":"Brexit","indices":[48,55]}],"symbols":[],"user_mentions":[],"urls":[]}</t>
  </si>
  <si>
    <t>1521053684142161921</t>
  </si>
  <si>
    <t>RosieBeattie</t>
  </si>
  <si>
    <t>Mon May 02 09:07:12 +0000 2022</t>
  </si>
  <si>
    <t>2989834030</t>
  </si>
  <si>
    <t>http://pbs.twimg.com/profile_images/1271112541561896960/Mjh8V3lx_normal.jpg</t>
  </si>
  <si>
    <t>http://twitter.com/RosieBeattie/statuses/1521053684142161921</t>
  </si>
  <si>
    <t>1521053669663383552</t>
  </si>
  <si>
    <t>TeachganAinm</t>
  </si>
  <si>
    <t>RT @CliveGeorgeHil1: @PickardJE @IanDunt ..not a lot of hope for us there, six years after #Brexit they are still desperately searching for ‘benefits’! ‘Cost of living’ to wealthy Tory MPs is just another three-word mantra to be repeated but not understood by a Government ideologically opposed to most of the solutions! https://t.co/xUZVgwpwO7</t>
  </si>
  <si>
    <t>Mon May 02 09:07:09 +0000 2022</t>
  </si>
  <si>
    <t>754381152815837184</t>
  </si>
  <si>
    <t>http://pbs.twimg.com/profile_images/1245533070591168512/sP90O1T__normal.jpg</t>
  </si>
  <si>
    <t>EU</t>
  </si>
  <si>
    <t>http://twitter.com/TeachganAinm/statuses/1521053669663383552</t>
  </si>
  <si>
    <t>{"hashtags":[{"text":"Brexit","indices":[91,98]}],"symbols":[],"user_mentions":[{"screen_name":"CliveGeorgeHil1","name":"SIR RESISTANCE IS NOT FUTILE 🇺🇦🇪🇺","id":3386294224,"id_str":"3386294224","indices":[3,19]},{"screen_name":"PickardJE","name":"Jim Pickard","id":69080476,"id_str":"69080476","indices":[21,31]},{"screen_name":"IanDunt","name":"Ian Dunt","id":21202851,"id_str":"21202851","indices":[32,40]}],"urls":[]}</t>
  </si>
  <si>
    <t>1521053611094118400</t>
  </si>
  <si>
    <t>CouldBeKel</t>
  </si>
  <si>
    <t>I became politically conscious around the #Brexit referendum, I was 14 in June 2016. This wasn’t my first interaction with politics, though; I remember being angry and scared, as a 13-year-old in 2015, reading these sorts of stories around the election. 2/
https://t.co/vSE92duTip</t>
  </si>
  <si>
    <t>Mon May 02 09:06:55 +0000 2022</t>
  </si>
  <si>
    <t>4072120157</t>
  </si>
  <si>
    <t>1521053609416400896</t>
  </si>
  <si>
    <t>http://pbs.twimg.com/profile_images/1372293473550876677/JOvFSrtp_normal.jpg</t>
  </si>
  <si>
    <t>they/them</t>
  </si>
  <si>
    <t>http://twitter.com/CouldBeKel/statuses/1521053611094118400</t>
  </si>
  <si>
    <t>{"hashtags":[{"text":"Brexit","indices":[42,49]}],"symbols":[],"user_mentions":[],"urls":[{"url":"https://t.co/vSE92duTip","expanded_url":"https://www.disabilitynewsservice.com/election-2015-tories-dodge-questions-over-disability-benefit-cuts/","display_url":"disabilitynewsservice.com/election-2015-…","indices":[257,280]}]}</t>
  </si>
  <si>
    <t>1521053556471697410</t>
  </si>
  <si>
    <t>philipjdoyle</t>
  </si>
  <si>
    <t>Mon May 02 09:06:42 +0000 2022</t>
  </si>
  <si>
    <t>1069229659</t>
  </si>
  <si>
    <t>http://pbs.twimg.com/profile_images/902490117100724225/NLww_-xk_normal.jpg</t>
  </si>
  <si>
    <t>SE London, Europe</t>
  </si>
  <si>
    <t>http://twitter.com/philipjdoyle/statuses/1521053556471697410</t>
  </si>
  <si>
    <t>1521053507780026368</t>
  </si>
  <si>
    <t>DavidRickelton</t>
  </si>
  <si>
    <t>Mon May 02 09:06:30 +0000 2022</t>
  </si>
  <si>
    <t>2227137589</t>
  </si>
  <si>
    <t>http://pbs.twimg.com/profile_images/487295042403332096/crovrHKM_normal.jpeg</t>
  </si>
  <si>
    <t>http://twitter.com/DavidRickelton/statuses/1521053507780026368</t>
  </si>
  <si>
    <t>1521053498602926082</t>
  </si>
  <si>
    <t>BernardWalsh1</t>
  </si>
  <si>
    <t>Mon May 02 09:06:28 +0000 2022</t>
  </si>
  <si>
    <t>561897115</t>
  </si>
  <si>
    <t>http://pbs.twimg.com/profile_images/2162122381/Ferel_normal.jpg</t>
  </si>
  <si>
    <t>Farndon</t>
  </si>
  <si>
    <t>http://twitter.com/BernardWalsh1/statuses/1521053498602926082</t>
  </si>
  <si>
    <t>1521053465383952384</t>
  </si>
  <si>
    <t>Robby5211</t>
  </si>
  <si>
    <t>Mon May 02 09:06:20 +0000 2022</t>
  </si>
  <si>
    <t>4849198792</t>
  </si>
  <si>
    <t>http://pbs.twimg.com/profile_images/1419335078866571268/9uy4RhCk_normal.jpg</t>
  </si>
  <si>
    <t xml:space="preserve">West Wales </t>
  </si>
  <si>
    <t>http://twitter.com/Robby5211/statuses/1521053465383952384</t>
  </si>
  <si>
    <t>1521053450343268353</t>
  </si>
  <si>
    <t>RichardCMB</t>
  </si>
  <si>
    <t>RT @bmay: Increasingly the biggest fans of #Brexit are the continental European countries that have benefited from U.K. companies relocating there, from Britain’s self imposed competitive trade disadvantage, and the fact it’s like your opponent in a game of chess being totally shit faced.</t>
  </si>
  <si>
    <t>Mon May 02 09:06:17 +0000 2022</t>
  </si>
  <si>
    <t>175690444</t>
  </si>
  <si>
    <t>http://pbs.twimg.com/profile_images/1750219915/image_normal.jpg</t>
  </si>
  <si>
    <t>http://twitter.com/RichardCMB/statuses/1521053450343268353</t>
  </si>
  <si>
    <t>{"hashtags":[{"text":"Brexit","indices":[43,50]}],"symbols":[],"user_mentions":[{"screen_name":"bmay","name":"Brendan May","id":12321952,"id_str":"12321952","indices":[3,8]}],"urls":[]}</t>
  </si>
  <si>
    <t>1521053430948630528</t>
  </si>
  <si>
    <t>lovedayjenkin</t>
  </si>
  <si>
    <t>Mon May 02 09:06:12 +0000 2022</t>
  </si>
  <si>
    <t>2191929011</t>
  </si>
  <si>
    <t>http://pbs.twimg.com/profile_images/1082210354460090368/vf-Iy6Ec_normal.jpg</t>
  </si>
  <si>
    <t>http://twitter.com/lovedayjenkin/statuses/1521053430948630528</t>
  </si>
  <si>
    <t>1521053413349462017</t>
  </si>
  <si>
    <t>MarkHazard2020</t>
  </si>
  <si>
    <t>@jolindsay75 @grahambsi @johnharris1969 #LevellingUp 
If it's capital spend, the deprived proles may travel to admire it.
They need the benefits of targeted revenue spend to take advantage of it, assuming in an age of Hard #Brexit that capital spending may be enacted.
https://t.co/CCf185Reoi</t>
  </si>
  <si>
    <t>Mon May 02 09:06:08 +0000 2022</t>
  </si>
  <si>
    <t>4030607434</t>
  </si>
  <si>
    <t>jolindsay75</t>
  </si>
  <si>
    <t>1232606515179204608</t>
  </si>
  <si>
    <t>1521039413626740737</t>
  </si>
  <si>
    <t>http://pbs.twimg.com/profile_images/1232612324906881025/OOXMi6BH_normal.jpg</t>
  </si>
  <si>
    <t>Transworld Consortium.</t>
  </si>
  <si>
    <t>http://twitter.com/MarkHazard2020/statuses/1521053413349462017</t>
  </si>
  <si>
    <t>{"hashtags":[{"text":"LevellingUp","indices":[40,52]},{"text":"Brexit","indices":[225,232]}],"symbols":[],"user_mentions":[{"screen_name":"jolindsay75","name":"Jo Rothery","id":4030607434,"id_str":"4030607434","indices":[0,12]},{"screen_name":"grahambsi","name":"Graham Simpson","id":84391238,"id_str":"84391238","indices":[13,23]},{"screen_name":"johnharris1969","name":"John Harris","id":2831956616,"id_str":"2831956616","indices":[24,39]}],"urls":[{"url":"https://t.co/CCf185Reoi","expanded_url":"https://twitter.com/MarkHazard2020/status/1521046219291865090?s=20&amp;t=SXcYVwnYABcMqSHjq0-D0Q","display_url":"twitter.com/MarkHazard2020…","indices":[272,295]}]}</t>
  </si>
  <si>
    <t>1521053392449282048</t>
  </si>
  <si>
    <t>VogonScout</t>
  </si>
  <si>
    <t>I think i just found a #Brexit benefit ...... this Spanish guy is hilarious and so on the ball.😂🤣😂 https://t.co/DqHYehv4AZ</t>
  </si>
  <si>
    <t>Mon May 02 09:06:03 +0000 2022</t>
  </si>
  <si>
    <t>1517046875026870272</t>
  </si>
  <si>
    <t>http://pbs.twimg.com/profile_images/1517047698892992513/X1_98sqc_normal.jpg</t>
  </si>
  <si>
    <t>Outer Milky Way Spiral Arm</t>
  </si>
  <si>
    <t>http://twitter.com/VogonScout/statuses/1521053392449282048</t>
  </si>
  <si>
    <t>{"hashtags":[{"text":"Brexit","indices":[23,30]}],"symbols":[],"user_mentions":[],"urls":[{"url":"https://t.co/DqHYehv4AZ","expanded_url":"https://twitter.com/UKGovtGoogles/status/1521024680731152387","display_url":"twitter.com/UKGovtGoogles/…","indices":[99,122]}]}</t>
  </si>
  <si>
    <t>1521053376557027329</t>
  </si>
  <si>
    <t>barbaraburdon</t>
  </si>
  <si>
    <t>Mon May 02 09:05:59 +0000 2022</t>
  </si>
  <si>
    <t>295681487</t>
  </si>
  <si>
    <t>http://pbs.twimg.com/profile_images/1349781715816902657/C92Uijqd_normal.png</t>
  </si>
  <si>
    <t>Sheffield, England</t>
  </si>
  <si>
    <t>http://twitter.com/barbaraburdon/statuses/1521053376557027329</t>
  </si>
  <si>
    <t>1521053277244248066</t>
  </si>
  <si>
    <t>CliveGeorgeHil1</t>
  </si>
  <si>
    <t>Mon May 02 09:05:35 +0000 2022</t>
  </si>
  <si>
    <t>3386294224</t>
  </si>
  <si>
    <t>http://pbs.twimg.com/profile_images/1520369743756152832/cheMdT-P_normal.jpg</t>
  </si>
  <si>
    <t>Southampton</t>
  </si>
  <si>
    <t>http://twitter.com/CliveGeorgeHil1/statuses/1521053277244248066</t>
  </si>
  <si>
    <t>1521053199490236420</t>
  </si>
  <si>
    <t>alpamea79</t>
  </si>
  <si>
    <t>#Brexit the biggest shit show of a century!</t>
  </si>
  <si>
    <t>Mon May 02 09:05:17 +0000 2022</t>
  </si>
  <si>
    <t>892132295544639488</t>
  </si>
  <si>
    <t>http://pbs.twimg.com/profile_images/1498927782000308225/2zVMLPc__normal.jpg</t>
  </si>
  <si>
    <t>http://twitter.com/alpamea79/statuses/1521053199490236420</t>
  </si>
  <si>
    <t>{"hashtags":[{"text":"Brexit","indices":[0,7]}],"symbols":[],"user_mentions":[],"urls":[]}</t>
  </si>
  <si>
    <t>1521053168095969280</t>
  </si>
  <si>
    <t>VSnodin</t>
  </si>
  <si>
    <t>Mon May 02 09:05:09 +0000 2022</t>
  </si>
  <si>
    <t>2887093246</t>
  </si>
  <si>
    <t>http://pbs.twimg.com/profile_images/1186424628769689600/cOy1aaE2_normal.jpg</t>
  </si>
  <si>
    <t>http://twitter.com/VSnodin/statuses/1521053168095969280</t>
  </si>
  <si>
    <t>1521053157253652480</t>
  </si>
  <si>
    <t>bendevon2</t>
  </si>
  <si>
    <t>Mon May 02 09:05:07 +0000 2022</t>
  </si>
  <si>
    <t>963442716096032768</t>
  </si>
  <si>
    <t>http://pbs.twimg.com/profile_images/1230470215491817474/tTrondSS_normal.jpg</t>
  </si>
  <si>
    <t>http://twitter.com/bendevon2/statuses/1521053157253652480</t>
  </si>
  <si>
    <t>1521053109346316288</t>
  </si>
  <si>
    <t>Rampantredlion1</t>
  </si>
  <si>
    <t>Mon May 02 09:04:55 +0000 2022</t>
  </si>
  <si>
    <t>2768751556</t>
  </si>
  <si>
    <t>http://pbs.twimg.com/profile_images/1008288953215143936/97PyFlpm_normal.jpg</t>
  </si>
  <si>
    <t>http://twitter.com/Rampantredlion1/statuses/1521053109346316288</t>
  </si>
  <si>
    <t>1521053085778714625</t>
  </si>
  <si>
    <t>https://t.co/uuqP2GRp2C  #eu #EURO2020 #BREXIT #french #British #saveyokohama #PourquoiTuAbandonnesYokohama? #ReviensS'ilTePlaitYokohama #KomTillbakaYokohama #comebackyokohama</t>
  </si>
  <si>
    <t>Mon May 02 09:04:50 +0000 2022</t>
  </si>
  <si>
    <t>&lt;a href="http://twittbot.net/" rel="nofollow"&gt;twittbot.net&lt;/a&gt;</t>
  </si>
  <si>
    <t>http://twitter.com/saveyokohama/statuses/1521053085778714625</t>
  </si>
  <si>
    <t>{"hashtags":[{"text":"eu","indices":[25,28]},{"text":"EURO2020","indices":[29,38]},{"text":"BREXIT","indices":[39,46]},{"text":"french","indices":[47,54]},{"text":"British","indices":[55,63]},{"text":"saveyokohama","indices":[64,77]},{"text":"PourquoiTuAbandonnesYokohama","indices":[78,107]},{"text":"ReviensS","indices":[109,118]},{"text":"KomTillbakaYokohama","indices":[137,157]},{"text":"comebackyokohama","indices":[158,175]}],"symbols":[],"user_mentions":[],"urls":[],"media":[{"id":1191314982513733600,"id_str":"1191314982513733633","indices":[0,23],"media_url":"http://pbs.twimg.com/media/EIhmqixU8AEUFnm.jpg","media_url_https":"https://pbs.twimg.com/media/EIhmqixU8AEUFnm.jpg","url":"https://t.co/uuqP2GRp2C","display_url":"pic.twitter.com/uuqP2GRp2C","expanded_url":"https://twitter.com/saveyokohama/status/1191314999383228417/photo/1","type":"photo","sizes":{"thumb":{"w":150,"h":150,"resize":"crop"},"medium":{"w":1200,"h":675,"resize":"fit"},"large":{"w":2048,"h":1152,"resize":"fit"},"small":{"w":680,"h":383,"resize":"fit"}},"source_status_id":1191314999383228400,"source_status_id_str":"1191314999383228417","source_user_id":1179229956431237000,"source_user_id_str":"1179229956431237120"}]}</t>
  </si>
  <si>
    <t>1521053074479104000</t>
  </si>
  <si>
    <t>peterandann</t>
  </si>
  <si>
    <t>Mon May 02 09:04:47 +0000 2022</t>
  </si>
  <si>
    <t>84580374</t>
  </si>
  <si>
    <t>http://pbs.twimg.com/profile_images/1515368275307376650/grlA4-ju_normal.jpg</t>
  </si>
  <si>
    <t>A place in the rain. Europe</t>
  </si>
  <si>
    <t>http://twitter.com/peterandann/statuses/1521053074479104000</t>
  </si>
  <si>
    <t>1521053068200136705</t>
  </si>
  <si>
    <t>lheiden1610</t>
  </si>
  <si>
    <t>Mon May 02 09:04:45 +0000 2022</t>
  </si>
  <si>
    <t>147570764</t>
  </si>
  <si>
    <t>http://pbs.twimg.com/profile_images/1335949780896403456/__KGyIE3_normal.jpg</t>
  </si>
  <si>
    <t>http://twitter.com/lheiden1610/statuses/1521053068200136705</t>
  </si>
  <si>
    <t>1521053040433934338</t>
  </si>
  <si>
    <t>crozier_damian</t>
  </si>
  <si>
    <t>RT @S4RKY: Just a gentle reminder.
#Brexit #JohnsonOut95 #LocalElections2022 #ToriesUnfitToGovern #NHS #energyprices #channel4 #Partygate https://t.co/PbNlH3t4JL</t>
  </si>
  <si>
    <t>Mon May 02 09:04:39 +0000 2022</t>
  </si>
  <si>
    <t>1206200997409898501</t>
  </si>
  <si>
    <t>http://pbs.twimg.com/profile_images/1206201792163467266/AUde6d6M_normal.jpg</t>
  </si>
  <si>
    <t>http://twitter.com/crozier_damian/statuses/1521053040433934338</t>
  </si>
  <si>
    <t>{"hashtags":[{"text":"Brexit","indices":[35,42]},{"text":"JohnsonOut95","indices":[43,56]},{"text":"LocalElections2022","indices":[57,76]},{"text":"ToriesUnfitToGovern","indices":[77,97]},{"text":"NHS","indices":[98,102]},{"text":"energyprices","indices":[103,116]},{"text":"channel4","indices":[117,126]},{"text":"Partygate","indices":[127,137]}],"symbols":[],"user_mentions":[{"screen_name":"S4RKY","name":"S4RK","id":830447324753227800,"id_str":"830447324753227776","indices":[3,9]}],"urls":[]}</t>
  </si>
  <si>
    <t>1521053031936180224</t>
  </si>
  <si>
    <t>colinpennkenny</t>
  </si>
  <si>
    <t>Mon May 02 09:04:37 +0000 2022</t>
  </si>
  <si>
    <t>1126112054</t>
  </si>
  <si>
    <t>http://pbs.twimg.com/profile_images/1352292819814256640/upKJjTI7_normal.jpg</t>
  </si>
  <si>
    <t>Castillonnès, France</t>
  </si>
  <si>
    <t>http://twitter.com/colinpennkenny/statuses/1521053031936180224</t>
  </si>
  <si>
    <t>1521052963292258305</t>
  </si>
  <si>
    <t>@eleanor4epping Vote &amp;amp; remove this corrupt, lying Party of bullies, xenophobes &amp;amp; misogynists. 200,000+ dead, decimated Public Services. Unfit for purpose refugee system, cuts to UC rises in inflation, NI &amp;amp; the biggest drop in the economy in the G20. #Brexit #JohnsonOut98 https://t.co/Xv1nQR62Mp</t>
  </si>
  <si>
    <t>Mon May 02 09:04:20 +0000 2022</t>
  </si>
  <si>
    <t>3031080322</t>
  </si>
  <si>
    <t>eleanor4epping</t>
  </si>
  <si>
    <t>1520649393283772418</t>
  </si>
  <si>
    <t>http://twitter.com/tobyh45/statuses/1521052963292258305</t>
  </si>
  <si>
    <t>{"hashtags":[{"text":"Brexit","indices":[262,269]},{"text":"JohnsonOut98","indices":[270,283]}],"symbols":[],"user_mentions":[{"screen_name":"eleanor4epping","name":"Dame Eleanor Laing MP","id":3031080322,"id_str":"3031080322","indices":[0,15]}],"urls":[],"media":[{"id":1521052959467004000,"id_str":"1521052959467003905","indices":[284,307],"media_url":"http://pbs.twimg.com/media/FRvdm5WWYAEZPa4.jpg","media_url_https":"https://pbs.twimg.com/media/FRvdm5WWYAEZPa4.jpg","url":"https://t.co/Xv1nQR62Mp","display_url":"pic.twitter.com/Xv1nQR62Mp","expanded_url":"https://twitter.com/tobyh45/status/1521052963292258305/photo/1","type":"photo","sizes":{"thumb":{"w":150,"h":150,"resize":"crop"},"large":{"w":1125,"h":1317,"resize":"fit"},"medium":{"w":1025,"h":1200,"resize":"fit"},"small":{"w":581,"h":680,"resize":"fit"}}}]}</t>
  </si>
  <si>
    <t>1521052926076239878</t>
  </si>
  <si>
    <t>Edinburgh4EU</t>
  </si>
  <si>
    <t>Mon May 02 09:04:12 +0000 2022</t>
  </si>
  <si>
    <t>1212743222797074433</t>
  </si>
  <si>
    <t>http://pbs.twimg.com/profile_images/1212820694498729986/MOhFuQJn_normal.jpg</t>
  </si>
  <si>
    <t>http://twitter.com/Edinburgh4EU/statuses/1521052926076239878</t>
  </si>
  <si>
    <t>1521052917427490816</t>
  </si>
  <si>
    <t>AudreyParmtier</t>
  </si>
  <si>
    <t>Autre enjeu : une possible victoire du Sinn Fein remettrait sur la table la question de la #réunification des deux Irlande souhaitée par le parti républicain. 
A noter que le #Brexit a été l'occasion de replacer l'idée d'un référendum sur la question au coeur du débat médiatique.</t>
  </si>
  <si>
    <t>Mon May 02 09:04:09 +0000 2022</t>
  </si>
  <si>
    <t>749883670404730880</t>
  </si>
  <si>
    <t>1521052914541813761</t>
  </si>
  <si>
    <t>http://pbs.twimg.com/profile_images/1108675144766111746/isAFtLQp_normal.png</t>
  </si>
  <si>
    <t>Paris, France</t>
  </si>
  <si>
    <t>http://twitter.com/AudreyParmtier/statuses/1521052917427490816</t>
  </si>
  <si>
    <t>{"hashtags":[{"text":"réunification","indices":[91,105]},{"text":"Brexit","indices":[175,182]}],"symbols":[],"user_mentions":[],"urls":[]}</t>
  </si>
  <si>
    <t>1521052803686445056</t>
  </si>
  <si>
    <t>Gmcswineyyy</t>
  </si>
  <si>
    <t>@KEdge23 As #Boris Johnson and pals repeatedly claimed at the time that #brexit has been delivered, we got it, it's rubbish, let's go back.</t>
  </si>
  <si>
    <t>Mon May 02 09:03:42 +0000 2022</t>
  </si>
  <si>
    <t>62576309</t>
  </si>
  <si>
    <t>KEdge23</t>
  </si>
  <si>
    <t>3157833324</t>
  </si>
  <si>
    <t>1520814416303960065</t>
  </si>
  <si>
    <t>http://pbs.twimg.com/profile_images/1335932582391918599/VCGY7sp8_normal.jpg</t>
  </si>
  <si>
    <t>http://twitter.com/Gmcswineyyy/statuses/1521052803686445056</t>
  </si>
  <si>
    <t>{"hashtags":[{"text":"Boris","indices":[12,18]},{"text":"brexit","indices":[72,79]}],"symbols":[],"user_mentions":[{"screen_name":"KEdge23","name":"Kevin Edger","id":62576309,"id_str":"62576309","indices":[0,8]}],"urls":[]}</t>
  </si>
  <si>
    <t>1521052776708677633</t>
  </si>
  <si>
    <t>Izzy92651441</t>
  </si>
  <si>
    <t>Mon May 02 09:03:36 +0000 2022</t>
  </si>
  <si>
    <t>1109509013711081472</t>
  </si>
  <si>
    <t>http://twitter.com/Izzy92651441/statuses/1521052776708677633</t>
  </si>
  <si>
    <t>1521052776566034433</t>
  </si>
  <si>
    <t>JayneCallagha10</t>
  </si>
  <si>
    <t>1065538285597065217</t>
  </si>
  <si>
    <t>http://pbs.twimg.com/profile_images/1449627530194046978/INoLAgAe_normal.jpg</t>
  </si>
  <si>
    <t>Cornwall</t>
  </si>
  <si>
    <t>http://twitter.com/JayneCallagha10/statuses/1521052776566034433</t>
  </si>
  <si>
    <t>1521052772988243970</t>
  </si>
  <si>
    <t>Yet more outstanding work from @PeterStefanovi2, to expose #BorisJohnson’s outright lies in parliament.
Who’d have thought that a PM who lied about #Brexit to steal power, axe decent MPs and install a bunch of sycophants, would continue to lie, when in post? https://t.co/3o8rLvFJew</t>
  </si>
  <si>
    <t>Mon May 02 09:03:35 +0000 2022</t>
  </si>
  <si>
    <t>http://twitter.com/BrexitPhobe/statuses/1521052772988243970</t>
  </si>
  <si>
    <t>{"hashtags":[{"text":"BorisJohnson","indices":[59,72]},{"text":"Brexit","indices":[149,156]}],"symbols":[],"user_mentions":[{"screen_name":"PeterStefanovi2","name":"Peter Stefanovic","id":2441666255,"id_str":"2441666255","indices":[31,47]}],"urls":[{"url":"https://t.co/3o8rLvFJew","expanded_url":"https://twitter.com/peterstefanovi2/status/1521026983123165184","display_url":"twitter.com/peterstefanovi…","indices":[260,283]}]}</t>
  </si>
  <si>
    <t>1521052644348989442</t>
  </si>
  <si>
    <t>bobyoungs6</t>
  </si>
  <si>
    <t>@KEdge23 However given the disastrous tory #brexit sold as an oven ready deal that will be renegotiated for years to come a grown up fact lead policy to access the single market and customs union will guarantee peace in NI and save small uk businesses from disaster</t>
  </si>
  <si>
    <t>Mon May 02 09:03:04 +0000 2022</t>
  </si>
  <si>
    <t>1168578484177948672</t>
  </si>
  <si>
    <t>http://pbs.twimg.com/profile_images/1481755665077047301/9SM6l2tE_normal.jpg</t>
  </si>
  <si>
    <t>The once united kingdom</t>
  </si>
  <si>
    <t>http://twitter.com/bobyoungs6/statuses/1521052644348989442</t>
  </si>
  <si>
    <t>{"hashtags":[{"text":"brexit","indices":[43,50]}],"symbols":[],"user_mentions":[{"screen_name":"KEdge23","name":"Kevin Edger","id":62576309,"id_str":"62576309","indices":[0,8]}],"urls":[]}</t>
  </si>
  <si>
    <t>1521052605052596224</t>
  </si>
  <si>
    <t>BeesterGee</t>
  </si>
  <si>
    <t>Not much #MSM comment about #EU decision to go for...
EU army
Abolish veto
Abolish unanimous decision making
The defacto creation of a pan-European #Federalist state &amp;amp; the abolishing in all but name of the nation state.
Thank goodness for #Brexit
Others will now follow!</t>
  </si>
  <si>
    <t>Mon May 02 09:02:55 +0000 2022</t>
  </si>
  <si>
    <t>1063832940210241536</t>
  </si>
  <si>
    <t>http://pbs.twimg.com/profile_images/1064653076165009408/OpPT970Z_normal.jpg</t>
  </si>
  <si>
    <t>City of London, London</t>
  </si>
  <si>
    <t>http://twitter.com/BeesterGee/statuses/1521052605052596224</t>
  </si>
  <si>
    <t>{"hashtags":[{"text":"MSM","indices":[9,13]},{"text":"EU","indices":[28,31]},{"text":"Federalist","indices":[150,161]},{"text":"Brexit","indices":[246,253]}],"symbols":[],"user_mentions":[],"urls":[]}</t>
  </si>
  <si>
    <t>1521052597272125440</t>
  </si>
  <si>
    <t>sbh214</t>
  </si>
  <si>
    <t>Mon May 02 09:02:53 +0000 2022</t>
  </si>
  <si>
    <t>2593519705</t>
  </si>
  <si>
    <t>http://pbs.twimg.com/profile_images/488292522146267137/zUmOwiiC_normal.jpeg</t>
  </si>
  <si>
    <t>http://twitter.com/sbh214/statuses/1521052597272125440</t>
  </si>
  <si>
    <t>1521052574413119489</t>
  </si>
  <si>
    <t>Mon May 02 09:02:48 +0000 2022</t>
  </si>
  <si>
    <t>http://twitter.com/sbh214/statuses/1521052574413119489</t>
  </si>
  <si>
    <t>1521052554863550464</t>
  </si>
  <si>
    <t>michellemck0</t>
  </si>
  <si>
    <t>Mon May 02 09:02:43 +0000 2022</t>
  </si>
  <si>
    <t>40563715</t>
  </si>
  <si>
    <t>http://pbs.twimg.com/profile_images/1519045888538255372/6D3Kr6ir_normal.jpg</t>
  </si>
  <si>
    <t>http://twitter.com/michellemck0/statuses/1521052554863550464</t>
  </si>
  <si>
    <t>1521052514753384449</t>
  </si>
  <si>
    <t>RT @LaCheshireChat: #BrexitHasFailed #BrexitShambles #BrexitIsntWorking #VoteTheToryCriminalsOut #Brexit https://t.co/rjlFMxZKnb</t>
  </si>
  <si>
    <t>Mon May 02 09:02:33 +0000 2022</t>
  </si>
  <si>
    <t>http://twitter.com/valmapal1/statuses/1521052514753384449</t>
  </si>
  <si>
    <t>{"hashtags":[{"text":"BrexitHasFailed","indices":[20,36]},{"text":"BrexitShambles","indices":[37,52]},{"text":"BrexitIsntWorking","indices":[53,71]},{"text":"VoteTheToryCriminalsOut","indices":[72,96]},{"text":"Brexit","indices":[97,104]}],"symbols":[],"user_mentions":[{"screen_name":"LaCheshireChat","name":"Belinda🌹#FBPE 🇺🇦 Girly-swot","id":17106496,"id_str":"17106496","indices":[3,18]}],"urls":[]}</t>
  </si>
  <si>
    <t>1521052514019336195</t>
  </si>
  <si>
    <t>JaneTurner101</t>
  </si>
  <si>
    <t>Well done #Brexit voters #recession (been in the north for years, just not down south) #tories fucking up the #economy as they always do. History clearly shows https://t.co/lPPuxLv7pn</t>
  </si>
  <si>
    <t>386596188</t>
  </si>
  <si>
    <t>http://pbs.twimg.com/profile_images/1515032392800649226/uD_VDSOL_normal.jpg</t>
  </si>
  <si>
    <t>Northumberland</t>
  </si>
  <si>
    <t>http://twitter.com/JaneTurner101/statuses/1521052514019336195</t>
  </si>
  <si>
    <t>{"hashtags":[{"text":"Brexit","indices":[10,17]},{"text":"recession","indices":[25,35]},{"text":"tories","indices":[87,94]},{"text":"economy","indices":[110,118]}],"symbols":[],"user_mentions":[],"urls":[{"url":"https://t.co/lPPuxLv7pn","expanded_url":"https://www.theguardian.com/business/2022/may/01/bank-of-england-duty-bound-to-trigger-recession-to-curb-inflation?fbclid=IwAR2aXvaVm-inDsP8CBKZR661mhKZonNtSpKyjAGTi_wzJudloNJaDarwLKs","display_url":"theguardian.com/business/2022/…","indices":[160,183]}]}</t>
  </si>
  <si>
    <t>1521052496000692226</t>
  </si>
  <si>
    <t>Mon May 02 09:02:29 +0000 2022</t>
  </si>
  <si>
    <t>http://twitter.com/sbh214/statuses/1521052496000692226</t>
  </si>
  <si>
    <t>1521052481463197702</t>
  </si>
  <si>
    <t>TassGpops</t>
  </si>
  <si>
    <t>Mon May 02 09:02:26 +0000 2022</t>
  </si>
  <si>
    <t>2733758050</t>
  </si>
  <si>
    <t>http://pbs.twimg.com/profile_images/625244588282904576/ZXt-7W5u_normal.jpg</t>
  </si>
  <si>
    <t>http://twitter.com/TassGpops/statuses/1521052481463197702</t>
  </si>
  <si>
    <t>1521052472021770241</t>
  </si>
  <si>
    <t>Mikey_T78</t>
  </si>
  <si>
    <t>Mon May 02 09:02:23 +0000 2022</t>
  </si>
  <si>
    <t>373011170</t>
  </si>
  <si>
    <t>http://pbs.twimg.com/profile_images/902643956995035142/_g-b345k_normal.jpg</t>
  </si>
  <si>
    <t>Hertford</t>
  </si>
  <si>
    <t>http://twitter.com/Mikey_T78/statuses/1521052472021770241</t>
  </si>
  <si>
    <t>1521052466468605952</t>
  </si>
  <si>
    <t>Mon May 02 09:02:22 +0000 2022</t>
  </si>
  <si>
    <t>http://twitter.com/sbh214/statuses/1521052466468605952</t>
  </si>
  <si>
    <t>1521052399892369410</t>
  </si>
  <si>
    <t>blandine_renou</t>
  </si>
  <si>
    <t>Mon May 02 09:02:06 +0000 2022</t>
  </si>
  <si>
    <t>747519026759344134</t>
  </si>
  <si>
    <t>http://twitter.com/blandine_renou/statuses/1521052399892369410</t>
  </si>
  <si>
    <t>1521052389838667778</t>
  </si>
  <si>
    <t>dark_f00t</t>
  </si>
  <si>
    <t>Mon May 02 09:02:04 +0000 2022</t>
  </si>
  <si>
    <t>2751226509</t>
  </si>
  <si>
    <t>http://twitter.com/dark_f00t/statuses/1521052389838667778</t>
  </si>
  <si>
    <t>1521052388886462465</t>
  </si>
  <si>
    <t>Waringphilip</t>
  </si>
  <si>
    <t>Mon May 02 09:02:03 +0000 2022</t>
  </si>
  <si>
    <t>2199678761</t>
  </si>
  <si>
    <t>http://pbs.twimg.com/profile_images/1272175498001612803/zjmFu58P_normal.jpg</t>
  </si>
  <si>
    <t>Alicante, España, EU</t>
  </si>
  <si>
    <t>http://twitter.com/Waringphilip/statuses/1521052388886462465</t>
  </si>
  <si>
    <t>1521052376903393280</t>
  </si>
  <si>
    <t>nickposford</t>
  </si>
  <si>
    <t>Mon May 02 09:02:01 +0000 2022</t>
  </si>
  <si>
    <t>369500139</t>
  </si>
  <si>
    <t>http://pbs.twimg.com/profile_images/1477229059876827136/WvtvdKUO_normal.jpg</t>
  </si>
  <si>
    <t>Cardigan, Wales</t>
  </si>
  <si>
    <t>http://twitter.com/nickposford/statuses/1521052376903393280</t>
  </si>
  <si>
    <t>1521052319730876421</t>
  </si>
  <si>
    <t>nilocski</t>
  </si>
  <si>
    <t>RT @OneMoreGoodMan: It surely can't be long before Rees-Mogg claims this as a #Brexit opportunity for ex-pats to get fitter and help the environment by walking and cycling. https://t.co/AfAwMfXcKo</t>
  </si>
  <si>
    <t>Mon May 02 09:01:47 +0000 2022</t>
  </si>
  <si>
    <t>174765013</t>
  </si>
  <si>
    <t>http://pbs.twimg.com/profile_images/925668702951038976/iAnxjgtU_normal.jpg</t>
  </si>
  <si>
    <t>Berlin</t>
  </si>
  <si>
    <t>http://twitter.com/nilocski/statuses/1521052319730876421</t>
  </si>
  <si>
    <t>{"hashtags":[{"text":"Brexit","indices":[78,85]}],"symbols":[],"user_mentions":[{"screen_name":"OneMoreGoodMan","name":"One More Good Man #FBPE 🇪🇺 🇬🇧 🇺🇦 💙 🌟🌻","id":1696063290,"id_str":"1696063290","indices":[3,18]}],"urls":[]}</t>
  </si>
  <si>
    <t>1521052312755744769</t>
  </si>
  <si>
    <t>fergs01</t>
  </si>
  <si>
    <t>Mon May 02 09:01:45 +0000 2022</t>
  </si>
  <si>
    <t>42461854</t>
  </si>
  <si>
    <t>http://pbs.twimg.com/profile_images/1380807030642987014/HgX_OfgE_normal.jpg</t>
  </si>
  <si>
    <t>Hogwarts</t>
  </si>
  <si>
    <t>http://twitter.com/fergs01/statuses/1521052312755744769</t>
  </si>
  <si>
    <t>1521052243612553221</t>
  </si>
  <si>
    <t>MhlopheP</t>
  </si>
  <si>
    <t>Mon May 02 09:01:29 +0000 2022</t>
  </si>
  <si>
    <t>344542165</t>
  </si>
  <si>
    <t>http://pbs.twimg.com/profile_images/1378461309147217922/Xe1-Wa5J_normal.jpg</t>
  </si>
  <si>
    <t>http://twitter.com/MhlopheP/statuses/1521052243612553221</t>
  </si>
  <si>
    <t>1521052235194638337</t>
  </si>
  <si>
    <t>leftnonfascist</t>
  </si>
  <si>
    <t>Mon May 02 09:01:27 +0000 2022</t>
  </si>
  <si>
    <t>1508242098801324037</t>
  </si>
  <si>
    <t>http://pbs.twimg.com/profile_images/1508242375017218054/VRbmGkcD_normal.png</t>
  </si>
  <si>
    <t>http://twitter.com/leftnonfascist/statuses/1521052235194638337</t>
  </si>
  <si>
    <t>1521052234095763456</t>
  </si>
  <si>
    <t>kercle</t>
  </si>
  <si>
    <t>225338707</t>
  </si>
  <si>
    <t>http://pbs.twimg.com/profile_images/1520739006719401984/Orw_K5iv_normal.jpg</t>
  </si>
  <si>
    <t>http://twitter.com/kercle/statuses/1521052234095763456</t>
  </si>
  <si>
    <t>1521052230396387328</t>
  </si>
  <si>
    <t>David_T_Evans</t>
  </si>
  <si>
    <t>How did #BrexitFanatics get converted thus? It's like something extremists do; sort of thing we hear about in prisons, where there's a unit to de-radicalise!
So many of these rabid #Brexit supports claim they were pro-Eu to start with. Who or what changed them into imbeciles? https://t.co/th83Fthxqo https://t.co/dxebwVDWbp</t>
  </si>
  <si>
    <t>Mon May 02 09:01:26 +0000 2022</t>
  </si>
  <si>
    <t>299183606</t>
  </si>
  <si>
    <t>http://pbs.twimg.com/profile_images/1504034703699030018/WBBrjNFT_normal.jpg</t>
  </si>
  <si>
    <t>Royal Bor. of Greenwich, UK EU</t>
  </si>
  <si>
    <t>http://twitter.com/David_T_Evans/statuses/1521052230396387328</t>
  </si>
  <si>
    <t>{"hashtags":[{"text":"BrexitFanatics","indices":[8,23]},{"text":"Brexit","indices":[182,189]}],"symbols":[],"user_mentions":[],"urls":[{"url":"https://t.co/th83Fthxqo","expanded_url":"https://twitter.com/Lynbodegas/status/1521047858102874114","display_url":"twitter.com/Lynbodegas/sta…","indices":[278,301]}],"media":[{"id":1521052175597719600,"id_str":"1521052175597719552","indices":[302,325],"media_url":"http://pbs.twimg.com/media/FRvc5RNWUAAWaEC.jpg","media_url_https":"https://pbs.twimg.com/media/FRvc5RNWUAAWaEC.jpg","url":"https://t.co/dxebwVDWbp","display_url":"pic.twitter.com/dxebwVDWbp","expanded_url":"https://twitter.com/David_T_Evans/status/1521052230396387328/photo/1","type":"photo","sizes":{"thumb":{"w":150,"h":150,"resize":"crop"},"small":{"w":608,"h":500,"resize":"fit"},"large":{"w":608,"h":500,"resize":"fit"},"medium":{"w":608,"h":500,"resize":"fit"}}}]}</t>
  </si>
  <si>
    <t>1521052223706484736</t>
  </si>
  <si>
    <t>CharlieRamsay8</t>
  </si>
  <si>
    <t>Mon May 02 09:01:24 +0000 2022</t>
  </si>
  <si>
    <t>887033748495245312</t>
  </si>
  <si>
    <t>http://pbs.twimg.com/profile_images/1067141889688772609/J4r69o-p_normal.jpg</t>
  </si>
  <si>
    <t>West Midlands, England</t>
  </si>
  <si>
    <t>http://twitter.com/CharlieRamsay8/statuses/1521052223706484736</t>
  </si>
  <si>
    <t>1521052215120740352</t>
  </si>
  <si>
    <t>Unsilversurfer</t>
  </si>
  <si>
    <t>Let's not forget that this appalling #CostOfLivingCrisis the result of #Brexit 
The #Tories' #Brexit. The #Brexit that #LiarJohnson didn't initially want, then sold on a myriad of lies! 
Do not be fooled!
Open your eyes!
#EnoughIsEnough
#BrexitHasFailed
#ToriesOut5thMay</t>
  </si>
  <si>
    <t>Mon May 02 09:01:22 +0000 2022</t>
  </si>
  <si>
    <t>178730312</t>
  </si>
  <si>
    <t>http://pbs.twimg.com/profile_images/1519741953776173057/wfL6D6FY_normal.jpg</t>
  </si>
  <si>
    <t>Wherever I May Roam...</t>
  </si>
  <si>
    <t>http://twitter.com/Unsilversurfer/statuses/1521052215120740352</t>
  </si>
  <si>
    <t>{"hashtags":[{"text":"CostOfLivingCrisis","indices":[37,56]},{"text":"Brexit","indices":[71,78]},{"text":"Tories","indices":[84,91]},{"text":"Brexit","indices":[93,100]},{"text":"Brexit","indices":[106,113]},{"text":"LiarJohnson","indices":[119,131]},{"text":"EnoughIsEnough","indices":[221,236]},{"text":"BrexitHasFailed","indices":[237,253]},{"text":"ToriesOut5thMay","indices":[254,270]}],"symbols":[],"user_mentions":[],"urls":[]}</t>
  </si>
  <si>
    <t>1521052203221491712</t>
  </si>
  <si>
    <t>SometimesMagic_</t>
  </si>
  <si>
    <t>Mon May 02 09:01:19 +0000 2022</t>
  </si>
  <si>
    <t>352978507</t>
  </si>
  <si>
    <t>http://pbs.twimg.com/profile_images/932687630147387397/mvnczTLY_normal.jpg</t>
  </si>
  <si>
    <t>http://twitter.com/SometimesMagic_/statuses/1521052203221491712</t>
  </si>
  <si>
    <t>1521052128411848704</t>
  </si>
  <si>
    <t>Mon May 02 09:01:01 +0000 2022</t>
  </si>
  <si>
    <t>http://twitter.com/SometimesMagic_/statuses/1521052128411848704</t>
  </si>
  <si>
    <t>1521052047281463296</t>
  </si>
  <si>
    <t>bronwengwriter</t>
  </si>
  <si>
    <t>Mon May 02 09:00:42 +0000 2022</t>
  </si>
  <si>
    <t>924601215807344640</t>
  </si>
  <si>
    <t>http://pbs.twimg.com/profile_images/1496896832454205445/_rmoCRQV_normal.jpg</t>
  </si>
  <si>
    <t>http://twitter.com/bronwengwriter/statuses/1521052047281463296</t>
  </si>
  <si>
    <t>1521052031372480513</t>
  </si>
  <si>
    <t>Mon May 02 09:00:38 +0000 2022</t>
  </si>
  <si>
    <t>http://twitter.com/bronwengwriter/statuses/1521052031372480513</t>
  </si>
  <si>
    <t>1521052014419099648</t>
  </si>
  <si>
    <t>Mon May 02 09:00:34 +0000 2022</t>
  </si>
  <si>
    <t>http://twitter.com/bronwengwriter/statuses/1521052014419099648</t>
  </si>
  <si>
    <t>1521051993791504390</t>
  </si>
  <si>
    <t>#BrexitHasFailed #BrexitShambles #BrexitIsntWorking #VoteTheToryCriminalsOut #Brexit https://t.co/rjlFMxZKnb</t>
  </si>
  <si>
    <t>Mon May 02 09:00:29 +0000 2022</t>
  </si>
  <si>
    <t>http://twitter.com/LaCheshireChat/statuses/1521051993791504390</t>
  </si>
  <si>
    <t>{"hashtags":[{"text":"BrexitHasFailed","indices":[0,16]},{"text":"BrexitShambles","indices":[17,32]},{"text":"BrexitIsntWorking","indices":[33,51]},{"text":"VoteTheToryCriminalsOut","indices":[52,76]},{"text":"Brexit","indices":[77,84]}],"symbols":[],"user_mentions":[],"urls":[{"url":"https://t.co/rjlFMxZKnb","expanded_url":"https://twitter.com/Anna_Soubry/status/1520749250463866880","display_url":"twitter.com/Anna_Soubry/st…","indices":[85,108]}]}</t>
  </si>
  <si>
    <t>1521051993581752322</t>
  </si>
  <si>
    <t>http://twitter.com/Lifelandlady/statuses/1521051993581752322</t>
  </si>
  <si>
    <t>1521051958055952384</t>
  </si>
  <si>
    <t>JenFullick</t>
  </si>
  <si>
    <t>RT @rec777777: @cadsherpa @robittybobnob @lionandfox6773 @PetrasPics66 @Somersetboy3 @ramonagusta @SiobhanBenita I don't know anyone negatively impacted by #Brexit in the real world.
Only on here or in the MSM. On here, the vast majority are fake shill accounts.</t>
  </si>
  <si>
    <t>Mon May 02 09:00:21 +0000 2022</t>
  </si>
  <si>
    <t>227700025</t>
  </si>
  <si>
    <t>http://pbs.twimg.com/profile_images/1376632009351643140/pCNcdjHX_normal.jpg</t>
  </si>
  <si>
    <t>http://twitter.com/JenFullick/statuses/1521051958055952384</t>
  </si>
  <si>
    <t>{"hashtags":[],"symbols":[],"user_mentions":[{"screen_name":"rec777777","name":"REC","id":812295444604866600,"id_str":"812295444604866560","indices":[3,13]},{"screen_name":"cadsherpa","name":"Joris Steurs","id":145775728,"id_str":"145775728","indices":[15,25]},{"screen_name":"robittybobnob","name":"Rip van Normal","id":2301916261,"id_str":"2301916261","indices":[26,40]},{"screen_name":"lionandfox6773","name":"Lion and Fox 81","id":1213181372103135200,"id_str":"1213181372103135232","indices":[41,56]},{"screen_name":"PetrasPics66","name":"REC the RUSSIAN 🇷🇺","id":1223922800425144300,"id_str":"1223922800425144322","indices":[57,70]},{"screen_name":"Somersetboy3","name":"Somersetboy","id":1493852459671994400,"id_str":"1493852459671994371","indices":[71,84]},{"screen_name":"ramonagusta","name":"Ramon Agusta","id":106469050,"id_str":"106469050","indices":[85,97]},{"screen_name":"SiobhanBenita","name":"Siobhan Benita 🇺🇦🌻","id":21645209,"id_str":"21645209","indices":[98,112]}],"urls":[]}</t>
  </si>
  <si>
    <t>1521051921976643586</t>
  </si>
  <si>
    <t>Andy_g1979</t>
  </si>
  <si>
    <t>Mon May 02 09:00:12 +0000 2022</t>
  </si>
  <si>
    <t>823943550412931072</t>
  </si>
  <si>
    <t>http://pbs.twimg.com/profile_images/1479792120600932354/0s-4LIct_normal.jpg</t>
  </si>
  <si>
    <t>http://twitter.com/Andy_g1979/statuses/1521051921976643586</t>
  </si>
  <si>
    <t>1521051871061979136</t>
  </si>
  <si>
    <t>KeithJDenny1</t>
  </si>
  <si>
    <t>Mon May 02 09:00:00 +0000 2022</t>
  </si>
  <si>
    <t>1267063999516102657</t>
  </si>
  <si>
    <t>http://pbs.twimg.com/profile_images/1346223712891248646/F0k9GOFY_normal.jpg</t>
  </si>
  <si>
    <t>http://twitter.com/KeithJDenny1/statuses/1521051871061979136</t>
  </si>
  <si>
    <t>1521051783434575874</t>
  </si>
  <si>
    <t>bmetwit</t>
  </si>
  <si>
    <t>@danielmgmoylan @PickardJE That's actually totally missing the point. #Brexit deal with Farage stood down MPs to give Tories a run at the seat. Tories sell their souls to BREXIT and get all that lovely power and expense account business. Farage gets his goal and can move on to trash something else.</t>
  </si>
  <si>
    <t>Mon May 02 08:59:39 +0000 2022</t>
  </si>
  <si>
    <t>1160150106018070528</t>
  </si>
  <si>
    <t>danielmgmoylan</t>
  </si>
  <si>
    <t>22234771</t>
  </si>
  <si>
    <t>1521047479109791744</t>
  </si>
  <si>
    <t>http://pbs.twimg.com/profile_images/997389252441919488/jGv4oBgD_normal.jpg</t>
  </si>
  <si>
    <t>http://twitter.com/bmetwit/statuses/1521051783434575874</t>
  </si>
  <si>
    <t>{"hashtags":[{"text":"Brexit","indices":[70,77]}],"symbols":[],"user_mentions":[{"screen_name":"danielmgmoylan","name":"Lord Moylan","id":1160150106018070500,"id_str":"1160150106018070528","indices":[0,15]},{"screen_name":"PickardJE","name":"Jim Pickard","id":69080476,"id_str":"69080476","indices":[16,26]}],"urls":[]}</t>
  </si>
  <si>
    <t>1521051735543975939</t>
  </si>
  <si>
    <t>BhavnaSaint</t>
  </si>
  <si>
    <t>Mon May 02 08:59:28 +0000 2022</t>
  </si>
  <si>
    <t>1492492827397345285</t>
  </si>
  <si>
    <t>http://pbs.twimg.com/profile_images/1492493614613680131/WLxHfTsQ_normal.jpg</t>
  </si>
  <si>
    <t>http://twitter.com/BhavnaSaint/statuses/1521051735543975939</t>
  </si>
  <si>
    <t>1521051720914190336</t>
  </si>
  <si>
    <t>pwlordalba</t>
  </si>
  <si>
    <t>Mon May 02 08:59:24 +0000 2022</t>
  </si>
  <si>
    <t>993149509059465219</t>
  </si>
  <si>
    <t>http://twitter.com/pwlordalba/statuses/1521051720914190336</t>
  </si>
  <si>
    <t>1521051719056211968</t>
  </si>
  <si>
    <t>dubh_sgian</t>
  </si>
  <si>
    <t>This is a direct result of @Conservatives policies including the catastrophic #Brexit. The abysmal failure of this @GOVUK should not be forgotten when voters are asked to return and Tory Candidate. The @ScotTories are complicit in the endemic corruption in this Party. https://t.co/OoY5uIIOZn</t>
  </si>
  <si>
    <t>1232018341050699776</t>
  </si>
  <si>
    <t>http://pbs.twimg.com/profile_images/1371403600077975554/gyKs2pTE_normal.jpg</t>
  </si>
  <si>
    <t>http://twitter.com/dubh_sgian/statuses/1521051719056211968</t>
  </si>
  <si>
    <t>{"hashtags":[{"text":"Brexit","indices":[78,85]}],"symbols":[],"user_mentions":[{"screen_name":"Conservatives","name":"Conservatives","id":14281853,"id_str":"14281853","indices":[27,41]},{"screen_name":"GOVUK","name":"GOV.UK","id":17481977,"id_str":"17481977","indices":[115,121]},{"screen_name":"ScotTories","name":"Scottish Conservatives","id":171876607,"id_str":"171876607","indices":[202,213]}],"urls":[{"url":"https://t.co/OoY5uIIOZn","expanded_url":"https://twitter.com/TrussellTrust/status/1519246649813614592","display_url":"twitter.com/TrussellTrust/…","indices":[269,292]}]}</t>
  </si>
  <si>
    <t>1521051698491531264</t>
  </si>
  <si>
    <t>robittybobnob</t>
  </si>
  <si>
    <t>RT @rec777777: @robittybobnob @lionandfox6773 @PetrasPics66 @cadsherpa @Somersetboy3 @ramonagusta @SiobhanBenita Same here. Everyone I know in business is doing great.
Some on here, if real, seem to make #Brexit an excuse for having a badly run business, but when you engage with them, it becomes apparent, most are fake.</t>
  </si>
  <si>
    <t>Mon May 02 08:59:19 +0000 2022</t>
  </si>
  <si>
    <t>2301916261</t>
  </si>
  <si>
    <t>http://pbs.twimg.com/profile_images/1510031750738714632/PDd-O1jp_normal.jpg</t>
  </si>
  <si>
    <t>London &amp; Wessex</t>
  </si>
  <si>
    <t>http://twitter.com/robittybobnob/statuses/1521051698491531264</t>
  </si>
  <si>
    <t>{"hashtags":[],"symbols":[],"user_mentions":[{"screen_name":"rec777777","name":"REC","id":812295444604866600,"id_str":"812295444604866560","indices":[3,13]},{"screen_name":"robittybobnob","name":"Rip van Normal","id":2301916261,"id_str":"2301916261","indices":[15,29]},{"screen_name":"lionandfox6773","name":"Lion and Fox 81","id":1213181372103135200,"id_str":"1213181372103135232","indices":[30,45]},{"screen_name":"PetrasPics66","name":"REC the RUSSIAN 🇷🇺","id":1223922800425144300,"id_str":"1223922800425144322","indices":[46,59]},{"screen_name":"cadsherpa","name":"Joris Steurs","id":145775728,"id_str":"145775728","indices":[60,70]},{"screen_name":"Somersetboy3","name":"Somersetboy","id":1493852459671994400,"id_str":"1493852459671994371","indices":[71,84]},{"screen_name":"ramonagusta","name":"Ramon Agusta","id":106469050,"id_str":"106469050","indices":[85,97]},{"screen_name":"SiobhanBenita","name":"Siobhan Benita 🇺🇦🌻","id":21645209,"id_str":"21645209","indices":[98,112]}],"urls":[]}</t>
  </si>
  <si>
    <t>1521051663716560896</t>
  </si>
  <si>
    <t>MJBr00ks58</t>
  </si>
  <si>
    <t>Mon May 02 08:59:11 +0000 2022</t>
  </si>
  <si>
    <t>77135269</t>
  </si>
  <si>
    <t>http://pbs.twimg.com/profile_images/1346112154773151745/fF5iA4KL_normal.jpg</t>
  </si>
  <si>
    <t>http://twitter.com/MJBr00ks58/statuses/1521051663716560896</t>
  </si>
  <si>
    <t>1521051643881660416</t>
  </si>
  <si>
    <t>ReformUKScot</t>
  </si>
  <si>
    <t>Mon May 02 08:59:06 +0000 2022</t>
  </si>
  <si>
    <t>1347871906897260544</t>
  </si>
  <si>
    <t>http://pbs.twimg.com/profile_images/1375393782758322176/gTy9Qn0r_normal.jpg</t>
  </si>
  <si>
    <t>http://twitter.com/ReformUKScot/statuses/1521051643881660416</t>
  </si>
  <si>
    <t>1521051630241783808</t>
  </si>
  <si>
    <t>Mon May 02 08:59:03 +0000 2022</t>
  </si>
  <si>
    <t>http://twitter.com/isthisab0t/statuses/1521051630241783808</t>
  </si>
  <si>
    <t>1521051628228521984</t>
  </si>
  <si>
    <t>connolly_lg</t>
  </si>
  <si>
    <t>Mon May 02 08:59:02 +0000 2022</t>
  </si>
  <si>
    <t>835781853000925184</t>
  </si>
  <si>
    <t>http://pbs.twimg.com/profile_images/868951601146458116/z_dBb5vv_normal.jpg</t>
  </si>
  <si>
    <t>http://twitter.com/connolly_lg/statuses/1521051628228521984</t>
  </si>
  <si>
    <t>1521051618900328449</t>
  </si>
  <si>
    <t>AlbaAyrshire</t>
  </si>
  <si>
    <t>Alba Van in Prestwick...See Alex Salmond hold an audience of many political parties in thrall as he speaks about #Brexit, the EU, EFTA and #ScottishIndependence at https://t.co/PF9vIDE0kp. Downloads of the #WeeAlbaBook there too!
#AlbaStandsForScotland
#VoteAlbaNumber1 https://t.co/uB6n3L4q6h</t>
  </si>
  <si>
    <t>Mon May 02 08:59:00 +0000 2022</t>
  </si>
  <si>
    <t>1489753909056913411</t>
  </si>
  <si>
    <t>http://pbs.twimg.com/profile_images/1489970550801846283/O9Hf-tyw_normal.jpg</t>
  </si>
  <si>
    <t>http://twitter.com/AlbaAyrshire/statuses/1521051618900328449</t>
  </si>
  <si>
    <t>{"hashtags":[{"text":"Brexit","indices":[113,120]},{"text":"ScottishIndependence","indices":[139,160]},{"text":"WeeAlbaBook","indices":[206,218]},{"text":"AlbaStandsForScotland","indices":[230,252]},{"text":"VoteAlbaNumber1","indices":[253,269]}],"symbols":[],"user_mentions":[],"urls":[{"url":"https://t.co/PF9vIDE0kp","expanded_url":"https://ayrshirealba.org/alex-salmond","display_url":"ayrshirealba.org/alex-salmond","indices":[164,187]}],"media":[{"id":1521051613917495300,"id_str":"1521051613917495296","indices":[270,293],"media_url":"http://pbs.twimg.com/media/FRvcYkyWQAAAdpq.jpg","media_url_https":"https://pbs.twimg.com/media/FRvcYkyWQAAAdpq.jpg","url":"https://t.co/uB6n3L4q6h","display_url":"pic.twitter.com/uB6n3L4q6h","expanded_url":"https://twitter.com/AlbaAyrshire/status/1521051618900328449/photo/1","type":"photo","sizes":{"thumb":{"w":150,"h":150,"resize":"crop"},"large":{"w":1024,"h":563,"resize":"fit"},"small":{"w":680,"h":374,"resize":"fit"},"medium":{"w":1024,"h":563,"resize":"fit"}}}]}</t>
  </si>
  <si>
    <t>1521051548758990848</t>
  </si>
  <si>
    <t>Mon May 02 08:58:43 +0000 2022</t>
  </si>
  <si>
    <t>http://twitter.com/connolly_lg/statuses/1521051548758990848</t>
  </si>
  <si>
    <t>1521051503158607872</t>
  </si>
  <si>
    <t>Mon May 02 08:58:32 +0000 2022</t>
  </si>
  <si>
    <t>http://twitter.com/connolly_lg/statuses/1521051503158607872</t>
  </si>
  <si>
    <t>1521051481457270784</t>
  </si>
  <si>
    <t>BarbarasShears</t>
  </si>
  <si>
    <t>Mon May 02 08:58:27 +0000 2022</t>
  </si>
  <si>
    <t>717009362678595584</t>
  </si>
  <si>
    <t>http://pbs.twimg.com/profile_images/717407273816047616/6lwXohYA_normal.jpg</t>
  </si>
  <si>
    <t>http://twitter.com/BarbarasShears/statuses/1521051481457270784</t>
  </si>
  <si>
    <t>1521051476117839872</t>
  </si>
  <si>
    <t>localnotail</t>
  </si>
  <si>
    <t>Mon May 02 08:58:26 +0000 2022</t>
  </si>
  <si>
    <t>45970216</t>
  </si>
  <si>
    <t>http://pbs.twimg.com/profile_images/1484516190768844801/OJWFL-Ou_normal.jpg</t>
  </si>
  <si>
    <t>Birmingham, Europe, Earth</t>
  </si>
  <si>
    <t>http://twitter.com/localnotail/statuses/1521051476117839872</t>
  </si>
  <si>
    <t>1521051449773498373</t>
  </si>
  <si>
    <t>BobbyRhosneigr</t>
  </si>
  <si>
    <t>Mon May 02 08:58:20 +0000 2022</t>
  </si>
  <si>
    <t>1242259196</t>
  </si>
  <si>
    <t>http://pbs.twimg.com/profile_images/3441903960/876be75a4c778a555ddca9b252ca40f7_normal.jpeg</t>
  </si>
  <si>
    <t>http://twitter.com/BobbyRhosneigr/statuses/1521051449773498373</t>
  </si>
  <si>
    <t>1521051420274876416</t>
  </si>
  <si>
    <t>BirdBlondebird</t>
  </si>
  <si>
    <t>RT @BrexitPirates: @markjenkinsonmp #Brexit was borne of @Conservatives internecine war and ended with the party having to choose between ripping apart itself or the UK.
It chose the UK.
The sooner we've got #JohnsonOut, the sooner we can get the #ToriesOut and start fixing it.
https://t.co/ZX7O7DoPyk
#RejoinEU. https://t.co/fQle4MG1Ca</t>
  </si>
  <si>
    <t>Mon May 02 08:58:13 +0000 2022</t>
  </si>
  <si>
    <t>4808305359</t>
  </si>
  <si>
    <t>http://pbs.twimg.com/profile_images/689885650926067712/x3lQF2q5_normal.jpg</t>
  </si>
  <si>
    <t>Scottish Borders</t>
  </si>
  <si>
    <t>http://twitter.com/BirdBlondebird/statuses/1521051420274876416</t>
  </si>
  <si>
    <t>{"hashtags":[{"text":"Brexit","indices":[36,43]}],"symbols":[],"user_mentions":[{"screen_name":"BrexitPirates","name":"Brexit Pirates","id":1466829518274969600,"id_str":"1466829518274969609","indices":[3,17]},{"screen_name":"markjenkinsonmp","name":"Mark Jenkinson MP","id":116228328,"id_str":"116228328","indices":[19,35]},{"screen_name":"Conservatives","name":"Conservatives","id":14281853,"id_str":"14281853","indices":[57,71]}],"urls":[]}</t>
  </si>
  <si>
    <t>1521051332701995009</t>
  </si>
  <si>
    <t>Monkiflops</t>
  </si>
  <si>
    <t>The arrogance of the Brits expecting equal treatment after we voted to leave the EU 🤦🏼 #brexit
"Spain airport sees Irish tourists given 'preferential treatment' as angry Brits watch on - World News - Mirror Online" https://t.co/h0xH71LPbg</t>
  </si>
  <si>
    <t>Mon May 02 08:57:52 +0000 2022</t>
  </si>
  <si>
    <t>31099241</t>
  </si>
  <si>
    <t>http://pbs.twimg.com/profile_images/637220665792270336/YqrdypTt_normal.jpg</t>
  </si>
  <si>
    <t>bournemouth</t>
  </si>
  <si>
    <t>http://twitter.com/Monkiflops/statuses/1521051332701995009</t>
  </si>
  <si>
    <t>{"hashtags":[{"text":"brexit","indices":[87,94]}],"symbols":[],"user_mentions":[],"urls":[{"url":"https://t.co/h0xH71LPbg","expanded_url":"https://www.mirror.co.uk/news/world-news/spain-airport-sees-irish-tourists-26823933","display_url":"mirror.co.uk/news/world-new…","indices":[216,239]}]}</t>
  </si>
  <si>
    <t>1521051309675368448</t>
  </si>
  <si>
    <t>heather63262308</t>
  </si>
  <si>
    <t>RT @BrexitPhobe: @NewSiddy @pappawesty @glenspringhall @JujuliaGrace @AlisdairLiddle @EveryDoctorUK Remainiac? One can’t remain in something, in which, they are no longer a member of. You might be on to something though. Those who thought #Brexit was an epic idiocy &amp;amp; act of self-harm, by and large were critical thinkers. #Brexiteers on the other hand, shouted “Project Fear”</t>
  </si>
  <si>
    <t>Mon May 02 08:57:46 +0000 2022</t>
  </si>
  <si>
    <t>1047154542947786752</t>
  </si>
  <si>
    <t>http://pbs.twimg.com/profile_images/1047199981650829312/cWYK7Lq__normal.jpg</t>
  </si>
  <si>
    <t>http://twitter.com/heather63262308/statuses/1521051309675368448</t>
  </si>
  <si>
    <t>{"hashtags":[],"symbols":[],"user_mentions":[{"screen_name":"BrexitPhobe","name":"PoliticallyHomeless 😷🏴󠁧󠁢󠁷󠁬󠁳󠁿#PATH","id":1264202814236098600,"id_str":"1264202814236098562","indices":[3,15]},{"screen_name":"NewSiddy","name":"New York Siddy","id":1197337890663125000,"id_str":"1197337890663124993","indices":[17,26]},{"screen_name":"pappawesty","name":"Pappa Westy","id":432727790,"id_str":"432727790","indices":[27,38]},{"screen_name":"glenspringhall","name":"glen springhall🏴󠁧󠁢󠁥󠁮󠁧󠁿","id":296090899,"id_str":"296090899","indices":[39,54]},{"screen_name":"JujuliaGrace","name":"Dr Julia Grace Patterson💙","id":1315053256343720000,"id_str":"1315053256343719936","indices":[55,68]},{"screen_name":"AlisdairLiddle","name":"alisdair liddle","id":1138881855355314200,"id_str":"1138881855355314176","indices":[69,84]},{"screen_name":"EveryDoctorUK","name":"EveryDoctor","id":1075356324072972300,"id_str":"1075356324072972288","indices":[85,99]}],"urls":[]}</t>
  </si>
  <si>
    <t>1521051185981108224</t>
  </si>
  <si>
    <t>GIMAV_Italia</t>
  </si>
  <si>
    <t>❗#BREXIT: slittamenti dei #ControlliDoganali.
Il governo🇬🇧 ha annunciato che i controlli sulle importazioni di beni dall'UE, previsti per il 1 luglio, NON saranno introdotti quest'anno.
In autunno si attende il nuovo Target Operating Model.
ℹ️Per info: https://t.co/VAKXam0U8K https://t.co/hpAdFgVqU8</t>
  </si>
  <si>
    <t>Mon May 02 08:57:17 +0000 2022</t>
  </si>
  <si>
    <t>2535150996</t>
  </si>
  <si>
    <t>http://pbs.twimg.com/profile_images/1282976464225349632/m3VKqD6Z_normal.jpg</t>
  </si>
  <si>
    <t>Milano</t>
  </si>
  <si>
    <t>http://twitter.com/GIMAV_Italia/statuses/1521051185981108224</t>
  </si>
  <si>
    <t>{"hashtags":[{"text":"BREXIT","indices":[1,8]},{"text":"ControlliDoganali","indices":[26,44]}],"symbols":[],"user_mentions":[],"urls":[{"url":"https://t.co/VAKXam0U8K","expanded_url":"http://images.ita.ice.it/Web/AgenziaICE/%7B76973f72-3056-4b7d-b1b8-fdfde3856f61%7D_Flash_news_N._38.pdf","display_url":"images.ita.ice.it/Web/AgenziaICE…","indices":[254,277]}],"media":[{"id":1521051136224112600,"id_str":"1521051136224112640","indices":[278,301],"media_url":"http://pbs.twimg.com/media/FRvb8xPXsAA-DuG.jpg","media_url_https":"https://pbs.twimg.com/media/FRvb8xPXsAA-DuG.jpg","url":"https://t.co/hpAdFgVqU8","display_url":"pic.twitter.com/hpAdFgVqU8","expanded_url":"https://twitter.com/GIMAV_Italia/status/1521051185981108224/photo/1","type":"photo","sizes":{"large":{"w":2048,"h":1366,"resize":"fit"},"thumb":{"w":150,"h":150,"resize":"crop"},"small":{"w":680,"h":453,"resize":"fit"},"medium":{"w":1200,"h":800,"resize":"fit"}}}]}</t>
  </si>
  <si>
    <t>1521051137499176960</t>
  </si>
  <si>
    <t>AbordAlessandro</t>
  </si>
  <si>
    <t>Mon May 02 08:57:05 +0000 2022</t>
  </si>
  <si>
    <t>1978966777</t>
  </si>
  <si>
    <t>http://pbs.twimg.com/profile_images/526489583538937856/WYjc6ewB_normal.jpeg</t>
  </si>
  <si>
    <t>http://twitter.com/AbordAlessandro/statuses/1521051137499176960</t>
  </si>
  <si>
    <t>1521051081035456514</t>
  </si>
  <si>
    <t>tonyforde007</t>
  </si>
  <si>
    <t>Mon May 02 08:56:52 +0000 2022</t>
  </si>
  <si>
    <t>598646226</t>
  </si>
  <si>
    <t>http://pbs.twimg.com/profile_images/1483462660909842434/rbkZGqn5_normal.jpg</t>
  </si>
  <si>
    <t>http://twitter.com/tonyforde007/statuses/1521051081035456514</t>
  </si>
  <si>
    <t>1521051052124291072</t>
  </si>
  <si>
    <t>philkop</t>
  </si>
  <si>
    <t>Mon May 02 08:56:45 +0000 2022</t>
  </si>
  <si>
    <t>296211259</t>
  </si>
  <si>
    <t>http://pbs.twimg.com/profile_images/1362082963/Tin_Tin_Windows_copy_1d_normal.jpg</t>
  </si>
  <si>
    <t>Stockport, UK</t>
  </si>
  <si>
    <t>http://twitter.com/philkop/statuses/1521051052124291072</t>
  </si>
  <si>
    <t>1521051015897915393</t>
  </si>
  <si>
    <t>manicvic</t>
  </si>
  <si>
    <t>Mon May 02 08:56:36 +0000 2022</t>
  </si>
  <si>
    <t>19583844</t>
  </si>
  <si>
    <t>http://pbs.twimg.com/profile_images/997900046921330688/FnUTdGSd_normal.jpg</t>
  </si>
  <si>
    <t>http://twitter.com/manicvic/statuses/1521051015897915393</t>
  </si>
  <si>
    <t>1521050857571241984</t>
  </si>
  <si>
    <t>WeRThe48Percent</t>
  </si>
  <si>
    <t>Another #Brexit benefit as people from the UK who move to Spain face having to re-take their driving test 6 months after arrival #RejoinEU https://t.co/bdXsglyIoA</t>
  </si>
  <si>
    <t>Mon May 02 08:55:58 +0000 2022</t>
  </si>
  <si>
    <t>753256486613217280</t>
  </si>
  <si>
    <t>http://pbs.twimg.com/profile_images/1497608564344561672/Bnlm0Vye_normal.jpg</t>
  </si>
  <si>
    <t>http://twitter.com/WeRThe48Percent/statuses/1521050857571241984</t>
  </si>
  <si>
    <t>{"hashtags":[{"text":"Brexit","indices":[8,15]},{"text":"RejoinEU","indices":[129,138]}],"symbols":[],"user_mentions":[],"urls":[],"media":[{"id":1521050855654535200,"id_str":"1521050855654535169","indices":[139,162],"media_url":"http://pbs.twimg.com/media/FRvbscCXsAExQHV.jpg","media_url_https":"https://pbs.twimg.com/media/FRvbscCXsAExQHV.jpg","url":"https://t.co/bdXsglyIoA","display_url":"pic.twitter.com/bdXsglyIoA","expanded_url":"https://twitter.com/WeRThe48Percent/status/1521050857571241984/photo/1","type":"photo","sizes":{"thumb":{"w":150,"h":150,"resize":"crop"},"large":{"w":1396,"h":1027,"resize":"fit"},"small":{"w":680,"h":500,"resize":"fit"},"medium":{"w":1200,"h":883,"resize":"fit"}}}]}</t>
  </si>
  <si>
    <t>1521050852374552576</t>
  </si>
  <si>
    <t>BarnAnt14</t>
  </si>
  <si>
    <t>Mon May 02 08:55:57 +0000 2022</t>
  </si>
  <si>
    <t>742017038470815744</t>
  </si>
  <si>
    <t>http://pbs.twimg.com/profile_images/748901601570586624/aRJD6Rjj_normal.jpg</t>
  </si>
  <si>
    <t>http://twitter.com/BarnAnt14/statuses/1521050852374552576</t>
  </si>
  <si>
    <t>1521050819214422016</t>
  </si>
  <si>
    <t>samuelbhfaure</t>
  </si>
  <si>
    <t>2/ Non, il n'y a pas eu davantage de réalisations européennes en 2 ans - ds le contexte du #Brexit - ou en 2 semaines - à la suite de l'attaque de l'🇺🇦 par la 🇷🇺 - qu'en 2 décennies</t>
  </si>
  <si>
    <t>Mon May 02 08:55:49 +0000 2022</t>
  </si>
  <si>
    <t>26503113</t>
  </si>
  <si>
    <t>1521050816848740352</t>
  </si>
  <si>
    <t>http://pbs.twimg.com/profile_images/1035568097191702529/9JWQUYZ__normal.jpg</t>
  </si>
  <si>
    <t>Saint-Germain-en-Laye</t>
  </si>
  <si>
    <t>http://twitter.com/samuelbhfaure/statuses/1521050819214422016</t>
  </si>
  <si>
    <t>{"hashtags":[{"text":"Brexit","indices":[91,98]}],"symbols":[],"user_mentions":[],"urls":[]}</t>
  </si>
  <si>
    <t>1521050747521179648</t>
  </si>
  <si>
    <t>SirCCodpiece</t>
  </si>
  <si>
    <t>Mon May 02 08:55:32 +0000 2022</t>
  </si>
  <si>
    <t>1520368599025786881</t>
  </si>
  <si>
    <t>http://pbs.twimg.com/profile_images/1520369159892344833/Y9e_R8td_normal.jpg</t>
  </si>
  <si>
    <t>Nob End</t>
  </si>
  <si>
    <t>http://twitter.com/SirCCodpiece/statuses/1521050747521179648</t>
  </si>
  <si>
    <t>1521050736955691014</t>
  </si>
  <si>
    <t>KerryThomas20</t>
  </si>
  <si>
    <t>Mon May 02 08:55:30 +0000 2022</t>
  </si>
  <si>
    <t>497873554</t>
  </si>
  <si>
    <t>http://pbs.twimg.com/profile_images/1468169434984501249/WIBZPG-b_normal.jpg</t>
  </si>
  <si>
    <t>West Berkshire</t>
  </si>
  <si>
    <t>http://twitter.com/KerryThomas20/statuses/1521050736955691014</t>
  </si>
  <si>
    <t>1521050649647058945</t>
  </si>
  <si>
    <t>bneintellinews</t>
  </si>
  <si>
    <t>BOOK REVIEW: Yva Alexandrova's Here to Stay: Eastern Europeans in Britain #migration #CentralEurope #SoutheastEurope #Brexit https://t.co/NnpgmdG2BI https://t.co/E5guBlMkUO</t>
  </si>
  <si>
    <t>Mon May 02 08:55:09 +0000 2022</t>
  </si>
  <si>
    <t>248505587</t>
  </si>
  <si>
    <t>&lt;a href="http://www.intellinews.com" rel="nofollow"&gt;intellinews site integration&lt;/a&gt;</t>
  </si>
  <si>
    <t>http://pbs.twimg.com/profile_images/843588435520700416/vjPy2oz9_normal.jpg</t>
  </si>
  <si>
    <t>http://twitter.com/bneintellinews/statuses/1521050649647058945</t>
  </si>
  <si>
    <t>{"hashtags":[{"text":"migration","indices":[74,84]},{"text":"CentralEurope","indices":[85,99]},{"text":"SoutheastEurope","indices":[100,116]},{"text":"Brexit","indices":[117,124]}],"symbols":[],"user_mentions":[],"urls":[{"url":"https://t.co/NnpgmdG2BI","expanded_url":"https://bit.ly/3vXM3HR","display_url":"bit.ly/3vXM3HR","indices":[125,148]}],"media":[{"id":1521050646451044400,"id_str":"1521050646451044355","indices":[149,172],"media_url":"http://pbs.twimg.com/media/FRvbgQsXwAMLmxm.png","media_url_https":"https://pbs.twimg.com/media/FRvbgQsXwAMLmxm.png","url":"https://t.co/E5guBlMkUO","display_url":"pic.twitter.com/E5guBlMkUO","expanded_url":"https://twitter.com/bneintellinews/status/1521050649647058945/photo/1","type":"photo","sizes":{"medium":{"w":900,"h":510,"resize":"fit"},"large":{"w":900,"h":510,"resize":"fit"},"thumb":{"w":150,"h":150,"resize":"crop"},"small":{"w":680,"h":385,"resize":"fit"}}}]}</t>
  </si>
  <si>
    <t>1521050637672321024</t>
  </si>
  <si>
    <t>BizGrowthGB</t>
  </si>
  <si>
    <t>Mon May 02 08:55:06 +0000 2022</t>
  </si>
  <si>
    <t>20231111</t>
  </si>
  <si>
    <t>http://pbs.twimg.com/profile_images/75970943/GB_presenting_normal.JPG</t>
  </si>
  <si>
    <t>http://twitter.com/BizGrowthGB/statuses/1521050637672321024</t>
  </si>
  <si>
    <t>1521050608513466368</t>
  </si>
  <si>
    <t>ZebraQueen1969</t>
  </si>
  <si>
    <t>Mon May 02 08:54:59 +0000 2022</t>
  </si>
  <si>
    <t>925832068340338688</t>
  </si>
  <si>
    <t>http://pbs.twimg.com/profile_images/1281627143961751552/22JXdJBS_normal.jpg</t>
  </si>
  <si>
    <t>http://twitter.com/ZebraQueen1969/statuses/1521050608513466368</t>
  </si>
  <si>
    <t>1521050604235333632</t>
  </si>
  <si>
    <t>KKilcoyne</t>
  </si>
  <si>
    <t>Mon May 02 08:54:58 +0000 2022</t>
  </si>
  <si>
    <t>1289795336</t>
  </si>
  <si>
    <t>http://pbs.twimg.com/profile_images/1278205910087852033/xPGZv6hA_normal.jpg</t>
  </si>
  <si>
    <t>The UNTIED Kingdom</t>
  </si>
  <si>
    <t>http://twitter.com/KKilcoyne/statuses/1521050604235333632</t>
  </si>
  <si>
    <t>1521050583792332801</t>
  </si>
  <si>
    <t>AndyGerard100</t>
  </si>
  <si>
    <t>@BrandonLewis Is #Brexit still as popular as you believe Brandon?</t>
  </si>
  <si>
    <t>Mon May 02 08:54:53 +0000 2022</t>
  </si>
  <si>
    <t>16884084</t>
  </si>
  <si>
    <t>BrandonLewis</t>
  </si>
  <si>
    <t>1456736887109005329</t>
  </si>
  <si>
    <t>1520783926066823169</t>
  </si>
  <si>
    <t>http://pbs.twimg.com/profile_images/1491458841338388481/qNO8oRMX_normal.jpg</t>
  </si>
  <si>
    <t>http://twitter.com/AndyGerard100/statuses/1521050583792332801</t>
  </si>
  <si>
    <t>{"hashtags":[{"text":"Brexit","indices":[17,24]}],"symbols":[],"user_mentions":[{"screen_name":"BrandonLewis","name":"Brandon Lewis","id":16884084,"id_str":"16884084","indices":[0,13]}],"urls":[]}</t>
  </si>
  <si>
    <t>1521050581896474624</t>
  </si>
  <si>
    <t>Dringcarol</t>
  </si>
  <si>
    <t>875430831334064128</t>
  </si>
  <si>
    <t>http://pbs.twimg.com/profile_images/1349090927655202816/5sUPTRUS_normal.jpg</t>
  </si>
  <si>
    <t>http://twitter.com/Dringcarol/statuses/1521050581896474624</t>
  </si>
  <si>
    <t>1521050573834969089</t>
  </si>
  <si>
    <t>Mon May 02 08:54:51 +0000 2022</t>
  </si>
  <si>
    <t>http://twitter.com/BizGrowthGB/statuses/1521050573834969089</t>
  </si>
  <si>
    <t>1521050513659281408</t>
  </si>
  <si>
    <t>Mon May 02 08:54:36 +0000 2022</t>
  </si>
  <si>
    <t>http://twitter.com/ZebraQueen1969/statuses/1521050513659281408</t>
  </si>
  <si>
    <t>1521050479945560065</t>
  </si>
  <si>
    <t>js_editor</t>
  </si>
  <si>
    <t>Mon May 02 08:54:28 +0000 2022</t>
  </si>
  <si>
    <t>305804939</t>
  </si>
  <si>
    <t>http://pbs.twimg.com/profile_images/1219605907933421570/F5QNjKwo_normal.jpg</t>
  </si>
  <si>
    <t>http://twitter.com/js_editor/statuses/1521050479945560065</t>
  </si>
  <si>
    <t>1521050473104617474</t>
  </si>
  <si>
    <t>Mon May 02 08:54:27 +0000 2022</t>
  </si>
  <si>
    <t>http://twitter.com/BizGrowthGB/statuses/1521050473104617474</t>
  </si>
  <si>
    <t>1521050436794556422</t>
  </si>
  <si>
    <t>t_pressland</t>
  </si>
  <si>
    <t>Mon May 02 08:54:18 +0000 2022</t>
  </si>
  <si>
    <t>3246945988</t>
  </si>
  <si>
    <t>http://pbs.twimg.com/profile_images/1024945105713680385/SYSzqn-f_normal.jpg</t>
  </si>
  <si>
    <t>http://twitter.com/t_pressland/statuses/1521050436794556422</t>
  </si>
  <si>
    <t>1521050391328305152</t>
  </si>
  <si>
    <t>Mon May 02 08:54:07 +0000 2022</t>
  </si>
  <si>
    <t>http://twitter.com/BizGrowthGB/statuses/1521050391328305152</t>
  </si>
  <si>
    <t>1521050362240811009</t>
  </si>
  <si>
    <t>kemp_dk</t>
  </si>
  <si>
    <t>Mon May 02 08:54:00 +0000 2022</t>
  </si>
  <si>
    <t>946396118</t>
  </si>
  <si>
    <t>http://pbs.twimg.com/profile_images/656046996030115840/UpSW3jZl_normal.jpg</t>
  </si>
  <si>
    <t>Leeds, England</t>
  </si>
  <si>
    <t>http://twitter.com/kemp_dk/statuses/1521050362240811009</t>
  </si>
  <si>
    <t>1521050311175122945</t>
  </si>
  <si>
    <t>shabrockman</t>
  </si>
  <si>
    <t>Mon May 02 08:53:48 +0000 2022</t>
  </si>
  <si>
    <t>2524652076</t>
  </si>
  <si>
    <t>http://pbs.twimg.com/profile_images/1295487434021580800/jQw6Ka2Y_normal.jpg</t>
  </si>
  <si>
    <t>http://twitter.com/shabrockman/statuses/1521050311175122945</t>
  </si>
  <si>
    <t>1521050259450994689</t>
  </si>
  <si>
    <t>cork_kb</t>
  </si>
  <si>
    <t>Mon May 02 08:53:36 +0000 2022</t>
  </si>
  <si>
    <t>1031483428473106434</t>
  </si>
  <si>
    <t>http://pbs.twimg.com/profile_images/1092827211638493187/dWq5WxPN_normal.jpg</t>
  </si>
  <si>
    <t>Cork City</t>
  </si>
  <si>
    <t>http://twitter.com/cork_kb/statuses/1521050259450994689</t>
  </si>
  <si>
    <t>1521050254401052672</t>
  </si>
  <si>
    <t>hartsfleurs</t>
  </si>
  <si>
    <t>Mon May 02 08:53:35 +0000 2022</t>
  </si>
  <si>
    <t>1293942926</t>
  </si>
  <si>
    <t>http://pbs.twimg.com/profile_images/1497848248941297665/uhYreNvH_normal.jpg</t>
  </si>
  <si>
    <t>http://twitter.com/hartsfleurs/statuses/1521050254401052672</t>
  </si>
  <si>
    <t>1521050240383696896</t>
  </si>
  <si>
    <t>@Anna_Soubry I'm not sure it's so much of a conspiracy. They know, you know it's not spoken about. They're brushing it under the carpet like it doesn't exist. If it doesn't exist, we don't have to talk about it, but we do... #Brexit</t>
  </si>
  <si>
    <t>Mon May 02 08:53:31 +0000 2022</t>
  </si>
  <si>
    <t>326184301</t>
  </si>
  <si>
    <t>Anna_Soubry</t>
  </si>
  <si>
    <t>1520749250463866880</t>
  </si>
  <si>
    <t>http://twitter.com/TheCPDiary/statuses/1521050240383696896</t>
  </si>
  <si>
    <t>{"hashtags":[{"text":"Brexit","indices":[225,232]}],"symbols":[],"user_mentions":[{"screen_name":"Anna_Soubry","name":"Anna Soubry","id":326184301,"id_str":"326184301","indices":[0,12]}],"urls":[]}</t>
  </si>
  <si>
    <t>1521050172180074498</t>
  </si>
  <si>
    <t>SunandMoon15</t>
  </si>
  <si>
    <t>Mon May 02 08:53:15 +0000 2022</t>
  </si>
  <si>
    <t>181333137</t>
  </si>
  <si>
    <t>http://pbs.twimg.com/profile_images/983838576155742208/eZdhbWfp_normal.jpg</t>
  </si>
  <si>
    <t>http://twitter.com/SunandMoon15/statuses/1521050172180074498</t>
  </si>
  <si>
    <t>1521050113438801920</t>
  </si>
  <si>
    <t>GemmaBee9</t>
  </si>
  <si>
    <t>Mon May 02 08:53:01 +0000 2022</t>
  </si>
  <si>
    <t>1409064684389552131</t>
  </si>
  <si>
    <t>http://twitter.com/GemmaBee9/statuses/1521050113438801920</t>
  </si>
  <si>
    <t>1521050103057899520</t>
  </si>
  <si>
    <t>Mon May 02 08:52:58 +0000 2022</t>
  </si>
  <si>
    <t>http://twitter.com/alextonemusic/statuses/1521050103057899520</t>
  </si>
  <si>
    <t>1521050080463183872</t>
  </si>
  <si>
    <t>simunch1</t>
  </si>
  <si>
    <t>Mon May 02 08:52:53 +0000 2022</t>
  </si>
  <si>
    <t>1212371718213267456</t>
  </si>
  <si>
    <t>http://pbs.twimg.com/profile_images/1486402364345044993/UTmcGH-S_normal.jpg</t>
  </si>
  <si>
    <t>Darkest Surrey, Plague Island.</t>
  </si>
  <si>
    <t>http://twitter.com/simunch1/statuses/1521050080463183872</t>
  </si>
  <si>
    <t>1521050042081099776</t>
  </si>
  <si>
    <t>RT @S4RKY: Burden.
#Brexit #JohnsonOut93 #LocalElections2022 #ToriesUnfitToGovern https://t.co/OJkTanCSeh</t>
  </si>
  <si>
    <t>Mon May 02 08:52:44 +0000 2022</t>
  </si>
  <si>
    <t>http://twitter.com/simunch1/statuses/1521050042081099776</t>
  </si>
  <si>
    <t>{"hashtags":[{"text":"Brexit","indices":[19,26]},{"text":"JohnsonOut93","indices":[27,40]},{"text":"LocalElections2022","indices":[41,60]},{"text":"ToriesUnfitToGovern","indices":[61,81]}],"symbols":[],"user_mentions":[{"screen_name":"S4RKY","name":"S4RK","id":830447324753227800,"id_str":"830447324753227776","indices":[3,9]}],"urls":[],"media":[{"id":1519237761085190100,"id_str":"1519237761085190144","indices":[82,105],"media_url":"http://pbs.twimg.com/media/FRVqscbXsAACFpE.jpg","media_url_https":"https://pbs.twimg.com/media/FRVqscbXsAACFpE.jpg","url":"https://t.co/OJkTanCSeh","display_url":"pic.twitter.com/OJkTanCSeh","expanded_url":"https://twitter.com/S4RKY/status/1519238243199471616/photo/1","type":"photo","sizes":{"thumb":{"w":150,"h":150,"resize":"crop"},"small":{"w":680,"h":460,"resize":"fit"},"medium":{"w":900,"h":609,"resize":"fit"},"large":{"w":900,"h":609,"resize":"fit"}},"source_status_id":1519238243199471600,"source_status_id_str":"1519238243199471616","source_user_id":830447324753227800,"source_user_id_str":"830447324753227776"}]}</t>
  </si>
  <si>
    <t>1521050006379192321</t>
  </si>
  <si>
    <t>slasherphobe</t>
  </si>
  <si>
    <t>Mon May 02 08:52:35 +0000 2022</t>
  </si>
  <si>
    <t>2766267419</t>
  </si>
  <si>
    <t>http://pbs.twimg.com/profile_images/751442339256754176/3-vkpNZv_normal.jpg</t>
  </si>
  <si>
    <t>http://twitter.com/slasherphobe/statuses/1521050006379192321</t>
  </si>
  <si>
    <t>1521049962263592960</t>
  </si>
  <si>
    <t>brightonianmiss</t>
  </si>
  <si>
    <t>Mon May 02 08:52:25 +0000 2022</t>
  </si>
  <si>
    <t>164372967</t>
  </si>
  <si>
    <t>http://pbs.twimg.com/profile_images/1725753694/image_normal.jpg</t>
  </si>
  <si>
    <t>http://twitter.com/brightonianmiss/statuses/1521049962263592960</t>
  </si>
  <si>
    <t>1521049923927564289</t>
  </si>
  <si>
    <t>AilsaLaing</t>
  </si>
  <si>
    <t>Mon May 02 08:52:16 +0000 2022</t>
  </si>
  <si>
    <t>20238770</t>
  </si>
  <si>
    <t>http://pbs.twimg.com/profile_images/1423594592658731008/MUhkJ_C4_normal.jpg</t>
  </si>
  <si>
    <t>http://twitter.com/AilsaLaing/statuses/1521049923927564289</t>
  </si>
  <si>
    <t>1521049915308322818</t>
  </si>
  <si>
    <t>Mon May 02 08:52:14 +0000 2022</t>
  </si>
  <si>
    <t>http://twitter.com/TheCPDiary/statuses/1521049915308322818</t>
  </si>
  <si>
    <t>1521049831371911169</t>
  </si>
  <si>
    <t>ClucasGlynis</t>
  </si>
  <si>
    <t>Mon May 02 08:51:54 +0000 2022</t>
  </si>
  <si>
    <t>1246391510184198144</t>
  </si>
  <si>
    <t>http://twitter.com/ClucasGlynis/statuses/1521049831371911169</t>
  </si>
  <si>
    <t>1521049715248443395</t>
  </si>
  <si>
    <t>So why does @Keir_Starmer @UKLabour hold on, so doggedly, to "make #Brexit work" - when it is a house built on #ToryLies, #ToryCoruption, #ConKipDUP collusion, #PutinsToryMoney, #ToryCriminals, #TorySleaze, #ToryTaxAvoidance, #ToryLiesToTheQueen, #ToryThreats, #ToryProjectFear https://t.co/kPif3Virkz https://t.co/GjVjl5Lzg8</t>
  </si>
  <si>
    <t>Mon May 02 08:51:26 +0000 2022</t>
  </si>
  <si>
    <t>http://twitter.com/David_T_Evans/statuses/1521049715248443395</t>
  </si>
  <si>
    <t>{"hashtags":[{"text":"Brexit","indices":[67,74]},{"text":"ToryLies","indices":[111,120]},{"text":"ToryCoruption","indices":[122,136]},{"text":"ConKipDUP","indices":[138,148]},{"text":"PutinsToryMoney","indices":[160,176]},{"text":"ToryCriminals","indices":[178,192]},{"text":"TorySleaze","indices":[194,205]},{"text":"ToryTaxAvoidance","indices":[207,224]},{"text":"ToryLiesToTheQueen","indices":[226,245]},{"text":"ToryThreats","indices":[247,259]},{"text":"ToryProjectFear","indices":[261,277]}],"symbols":[],"user_mentions":[{"screen_name":"Keir_Starmer","name":"Keir Starmer","id":2425571623,"id_str":"2425571623","indices":[12,25]},{"screen_name":"UKLabour","name":"The Labour Party","id":14291684,"id_str":"14291684","indices":[26,35]}],"urls":[{"url":"https://t.co/kPif3Virkz","expanded_url":"https://twitter.com/PhilDun16442388/status/1520759765042880512","display_url":"twitter.com/PhilDun1644238…","indices":[278,301]}],"media":[{"id":1521049687326920700,"id_str":"1521049687326920707","indices":[302,325],"media_url":"http://pbs.twimg.com/media/FRvaobrXEAMEETD.jpg","media_url_https":"https://pbs.twimg.com/media/FRvaobrXEAMEETD.jpg","url":"https://t.co/GjVjl5Lzg8","display_url":"pic.twitter.com/GjVjl5Lzg8","expanded_url":"https://twitter.com/David_T_Evans/status/1521049715248443395/photo/1","type":"photo","sizes":{"large":{"w":1000,"h":680,"resize":"fit"},"thumb":{"w":150,"h":150,"resize":"crop"},"medium":{"w":1000,"h":680,"resize":"fit"},"small":{"w":680,"h":462,"resize":"fit"}}}]}</t>
  </si>
  <si>
    <t>1521049700459323393</t>
  </si>
  <si>
    <t>Global_Policy</t>
  </si>
  <si>
    <t>RT @Durham_SGIA: New special issue published by SGIA's @Global_Policy - #Brexit – Past, Present and Future, eds. Robert Schuetze @DurhamLawSchool and Uta Staiger @ucl 
https://t.co/MP6x7PNjHN</t>
  </si>
  <si>
    <t>Mon May 02 08:51:22 +0000 2022</t>
  </si>
  <si>
    <t>126681958</t>
  </si>
  <si>
    <t>http://pbs.twimg.com/profile_images/462162490864828417/_a_hhRgn_normal.png</t>
  </si>
  <si>
    <t>Durham University, School of Government and International Affairs</t>
  </si>
  <si>
    <t>http://twitter.com/Global_Policy/statuses/1521049700459323393</t>
  </si>
  <si>
    <t>{"hashtags":[{"text":"Brexit","indices":[72,79]}],"symbols":[],"user_mentions":[{"screen_name":"Durham_SGIA","name":"SGIA Durham","id":1968537740,"id_str":"1968537740","indices":[3,15]},{"screen_name":"Global_Policy","name":"Global Policy","id":126681958,"id_str":"126681958","indices":[55,69]}],"urls":[]}</t>
  </si>
  <si>
    <t>1521049684122476546</t>
  </si>
  <si>
    <t>Patinahat2</t>
  </si>
  <si>
    <t>Mon May 02 08:51:19 +0000 2022</t>
  </si>
  <si>
    <t>133025954</t>
  </si>
  <si>
    <t>http://pbs.twimg.com/profile_images/1368650254489444359/7Xowq82b_normal.jpg</t>
  </si>
  <si>
    <t>Remania</t>
  </si>
  <si>
    <t>http://twitter.com/Patinahat2/statuses/1521049684122476546</t>
  </si>
  <si>
    <t>1521049602094518273</t>
  </si>
  <si>
    <t>Durham_SGIA</t>
  </si>
  <si>
    <t>New special issue published by SGIA's @Global_Policy - #Brexit – Past, Present and Future, eds. Robert Schuetze @DurhamLawSchool and Uta Staiger @ucl 
https://t.co/MP6x7PNjHN</t>
  </si>
  <si>
    <t>Mon May 02 08:50:59 +0000 2022</t>
  </si>
  <si>
    <t>1968537740</t>
  </si>
  <si>
    <t>http://pbs.twimg.com/profile_images/928261424916332544/hiYCZRMD_normal.jpg</t>
  </si>
  <si>
    <t>Durham</t>
  </si>
  <si>
    <t>http://twitter.com/Durham_SGIA/statuses/1521049602094518273</t>
  </si>
  <si>
    <t>{"hashtags":[{"text":"Brexit","indices":[55,62]}],"symbols":[],"user_mentions":[{"screen_name":"Global_Policy","name":"Global Policy","id":126681958,"id_str":"126681958","indices":[38,52]},{"screen_name":"DurhamLawSchool","name":"Durham Law School","id":603126135,"id_str":"603126135","indices":[112,128]},{"screen_name":"ucl","name":"UCL","id":322601789,"id_str":"322601789","indices":[145,149]}],"urls":[{"url":"https://t.co/MP6x7PNjHN","expanded_url":"https://onlinelibrary.wiley.com/toc/17585899/2022/13/S2","display_url":"onlinelibrary.wiley.com/toc/17585899/2…","indices":[152,175]}]}</t>
  </si>
  <si>
    <t>1521049539951702018</t>
  </si>
  <si>
    <t>Mon May 02 08:50:44 +0000 2022</t>
  </si>
  <si>
    <t>http://twitter.com/robittybobnob/statuses/1521049539951702018</t>
  </si>
  <si>
    <t>1521049401950674944</t>
  </si>
  <si>
    <t>Mon May 02 08:50:11 +0000 2022</t>
  </si>
  <si>
    <t>http://twitter.com/graham669/statuses/1521049401950674944</t>
  </si>
  <si>
    <t>1521049287093899265</t>
  </si>
  <si>
    <t>huxleyisland</t>
  </si>
  <si>
    <t>RT @ChesterfieldEU: @BrandonLewis I hope we do manage to #RejoinEU, or at least rejoin the Single Market.  Your #ToryBrexit is doing untold damage to our nation 🇬🇧.
If you hadn't done a deal with the #Brexit Party we may not be in the mess we are today.
#ToryCorruption #ToryShambles 
#BrexitDisaster #JohnsonOut</t>
  </si>
  <si>
    <t>Mon May 02 08:49:44 +0000 2022</t>
  </si>
  <si>
    <t>493034743</t>
  </si>
  <si>
    <t>http://twitter.com/huxleyisland/statuses/1521049287093899265</t>
  </si>
  <si>
    <t>{"hashtags":[{"text":"RejoinEU","indices":[57,66]},{"text":"ToryBrexit","indices":[112,123]}],"symbols":[],"user_mentions":[{"screen_name":"ChesterfieldEU","name":"Chesterfield EU","id":838879567670612000,"id_str":"838879567670611968","indices":[3,18]},{"screen_name":"BrandonLewis","name":"Brandon Lewis","id":16884084,"id_str":"16884084","indices":[20,33]}],"urls":[]}</t>
  </si>
  <si>
    <t>1521049254646751232</t>
  </si>
  <si>
    <t>Robert291213511</t>
  </si>
  <si>
    <t>@grahambsi @steve_hawkes And that’s why majority will never vote for those parties knowing how they betrayed the country during #brexit! 
Conservatives will be in power for a long time yet because no matter how bad they are, they are still better than the alternative!</t>
  </si>
  <si>
    <t>Mon May 02 08:49:36 +0000 2022</t>
  </si>
  <si>
    <t>84391238</t>
  </si>
  <si>
    <t>grahambsi</t>
  </si>
  <si>
    <t>1519316217974202368</t>
  </si>
  <si>
    <t>1520743191770714112</t>
  </si>
  <si>
    <t>http://pbs.twimg.com/profile_images/1519317158710452225/h9hvcddV_normal.jpg</t>
  </si>
  <si>
    <t>Worthing, England</t>
  </si>
  <si>
    <t>http://twitter.com/Robert291213511/statuses/1521049254646751232</t>
  </si>
  <si>
    <t>{"hashtags":[{"text":"brexit","indices":[128,135]}],"symbols":[],"user_mentions":[{"screen_name":"grahambsi","name":"Graham Simpson","id":84391238,"id_str":"84391238","indices":[0,10]},{"screen_name":"steve_hawkes","name":"Steve Hawkes","id":41394240,"id_str":"41394240","indices":[11,24]}],"urls":[]}</t>
  </si>
  <si>
    <t>1521049228969189376</t>
  </si>
  <si>
    <t>Alexblx</t>
  </si>
  <si>
    <t>Mon May 02 08:49:30 +0000 2022</t>
  </si>
  <si>
    <t>246993396</t>
  </si>
  <si>
    <t>http://pbs.twimg.com/profile_images/1259552734212169728/4lp-hoNa_normal.jpg</t>
  </si>
  <si>
    <t>http://twitter.com/Alexblx/statuses/1521049228969189376</t>
  </si>
  <si>
    <t>1521049118377971713</t>
  </si>
  <si>
    <t>51TJK</t>
  </si>
  <si>
    <t>There’s always been a degree of sleaze in Politics - human nature being what it is, that’s inevitable
But @Anna_Soubry is right, under #LiarJohnson, #TorySleaze has blossomed in an unprecedented way
All on the back of #Brexit, his path to power
#GTTO https://t.co/uOmxNuHhTb</t>
  </si>
  <si>
    <t>Mon May 02 08:49:04 +0000 2022</t>
  </si>
  <si>
    <t>747901327536173057</t>
  </si>
  <si>
    <t>http://pbs.twimg.com/profile_images/845583063077793792/iYYdfBuK_normal.jpg</t>
  </si>
  <si>
    <t>Manchester, EU again soon🇪🇺</t>
  </si>
  <si>
    <t>http://twitter.com/51TJK/statuses/1521049118377971713</t>
  </si>
  <si>
    <t>{"hashtags":[{"text":"LiarJohnson","indices":[136,148]},{"text":"TorySleaze","indices":[150,161]},{"text":"Brexit","indices":[220,227]},{"text":"GTTO","indices":[248,253]}],"symbols":[],"user_mentions":[{"screen_name":"Anna_Soubry","name":"Anna Soubry","id":326184301,"id_str":"326184301","indices":[107,119]}],"urls":[{"url":"https://t.co/uOmxNuHhTb","expanded_url":"https://twitter.com/anna_soubry/status/1520749256197513222","display_url":"twitter.com/anna_soubry/st…","indices":[254,277]}]}</t>
  </si>
  <si>
    <t>1521049064980332546</t>
  </si>
  <si>
    <t>antisyzygy</t>
  </si>
  <si>
    <t>Mon May 02 08:48:51 +0000 2022</t>
  </si>
  <si>
    <t>44609336</t>
  </si>
  <si>
    <t>http://pbs.twimg.com/profile_images/1491448305922068486/yEnI9_dq_normal.jpg</t>
  </si>
  <si>
    <t xml:space="preserve">Belfast </t>
  </si>
  <si>
    <t>http://twitter.com/antisyzygy/statuses/1521049064980332546</t>
  </si>
  <si>
    <t>1521049019048509440</t>
  </si>
  <si>
    <t>ElliH53</t>
  </si>
  <si>
    <t>Mon May 02 08:48:40 +0000 2022</t>
  </si>
  <si>
    <t>2549178149</t>
  </si>
  <si>
    <t>http://pbs.twimg.com/profile_images/1155831695834341376/ICbu_ERK_normal.jpg</t>
  </si>
  <si>
    <t>http://twitter.com/ElliH53/statuses/1521049019048509440</t>
  </si>
  <si>
    <t>1521049006587142145</t>
  </si>
  <si>
    <t>telmckeown</t>
  </si>
  <si>
    <t>Mon May 02 08:48:37 +0000 2022</t>
  </si>
  <si>
    <t>1852267303</t>
  </si>
  <si>
    <t>Leedsish</t>
  </si>
  <si>
    <t>http://twitter.com/telmckeown/statuses/1521049006587142145</t>
  </si>
  <si>
    <t>1521048933983821824</t>
  </si>
  <si>
    <t>@johnharris1969 "The negative consequences of a Hard #Brexit and, specifically, the end of Freedom of Movement on business formation and ownership in the UK have yet to really surface in the debate."
https://t.co/kY4pntKCyA</t>
  </si>
  <si>
    <t>Mon May 02 08:48:20 +0000 2022</t>
  </si>
  <si>
    <t>2831956616</t>
  </si>
  <si>
    <t>johnharris1969</t>
  </si>
  <si>
    <t>1520753513038557184</t>
  </si>
  <si>
    <t>http://twitter.com/MarkHazard2020/statuses/1521048933983821824</t>
  </si>
  <si>
    <t>{"hashtags":[{"text":"Brexit","indices":[53,60]}],"symbols":[],"user_mentions":[{"screen_name":"johnharris1969","name":"John Harris","id":2831956616,"id_str":"2831956616","indices":[0,15]}],"urls":[{"url":"https://t.co/kY4pntKCyA","expanded_url":"https://jodatu.wordpress.com/2021/09/28/growing-our-own-domestic-work-force-or-how-freedom-of-movement-defused-the-uks-demographic-time-bomb-but-johnsons-hard-brexit-has-armed-and-exploded-it/","display_url":"jodatu.wordpress.com/2021/09/28/gro…","indices":[201,224]}]}</t>
  </si>
  <si>
    <t>1521048933870542850</t>
  </si>
  <si>
    <t>@pappawesty @NewSiddy @glenspringhall @JujuliaGrace @AlisdairLiddle @EveryDoctorUK Meanwhile, back in reality, #Brexit benefits minister, #JacobReesMogg: https://t.co/44xGGoRXzv</t>
  </si>
  <si>
    <t>http://twitter.com/BrexitPhobe/statuses/1521048933870542850</t>
  </si>
  <si>
    <t>{"hashtags":[{"text":"Brexit","indices":[111,118]},{"text":"JacobReesMogg","indices":[138,152]}],"symbols":[],"user_mentions":[{"screen_name":"pappawesty","name":"Pappa Westy","id":432727790,"id_str":"432727790","indices":[0,11]},{"screen_name":"NewSiddy","name":"New York Siddy","id":1197337890663125000,"id_str":"1197337890663124993","indices":[12,21]},{"screen_name":"glenspringhall","name":"glen springhall🏴󠁧󠁢󠁥󠁮󠁧󠁿","id":296090899,"id_str":"296090899","indices":[22,37]},{"screen_name":"JujuliaGrace","name":"Dr Julia Grace Patterson💙","id":1315053256343720000,"id_str":"1315053256343719936","indices":[38,51]},{"screen_name":"AlisdairLiddle","name":"alisdair liddle","id":1138881855355314200,"id_str":"1138881855355314176","indices":[52,67]},{"screen_name":"EveryDoctorUK","name":"EveryDoctor","id":1075356324072972300,"id_str":"1075356324072972288","indices":[68,82]}],"urls":[{"url":"https://t.co/44xGGoRXzv","expanded_url":"https://twitter.com/tynewrc/status/1521048142006960130","display_url":"twitter.com/tynewrc/status…","indices":[154,177]}]}</t>
  </si>
  <si>
    <t>1521048910109757440</t>
  </si>
  <si>
    <t>neilatembark</t>
  </si>
  <si>
    <t>Mon May 02 08:48:14 +0000 2022</t>
  </si>
  <si>
    <t>1423883251</t>
  </si>
  <si>
    <t>http://pbs.twimg.com/profile_images/729990774012583937/qc5VCeOA_normal.jpg</t>
  </si>
  <si>
    <t>http://twitter.com/neilatembark/statuses/1521048910109757440</t>
  </si>
  <si>
    <t>1521048815700226049</t>
  </si>
  <si>
    <t>phopfensperger</t>
  </si>
  <si>
    <t>RT @BodyMindStudio: 4 years ago today we were visited by @BBCLookEast 2 discuss the changing use of high street banks in business. It would be great if they visited again 2 discuss the increased bureaucracy, paperwork, costs &amp;amp; trade limitations caused by #Brexit since full implementation on 01/07/21 https://t.co/9pheaqWgUX</t>
  </si>
  <si>
    <t>Mon May 02 08:47:52 +0000 2022</t>
  </si>
  <si>
    <t>752055483322789888</t>
  </si>
  <si>
    <t>http://pbs.twimg.com/profile_images/1303023332766494720/yRpaeaQb_normal.jpg</t>
  </si>
  <si>
    <t>UK 🇬🇧 | EU 🇪🇺 | IE 🇮🇪 |</t>
  </si>
  <si>
    <t>http://twitter.com/phopfensperger/statuses/1521048815700226049</t>
  </si>
  <si>
    <t>{"hashtags":[],"symbols":[],"user_mentions":[{"screen_name":"BodyMindStudio","name":"☯️ Body and Mind Studio®","id":157933177,"id_str":"157933177","indices":[3,18]},{"screen_name":"BBCLookEast","name":"BBC Look East","id":263608353,"id_str":"263608353","indices":[57,69]}],"urls":[]}</t>
  </si>
  <si>
    <t>1521048801955434497</t>
  </si>
  <si>
    <t>CookiboyCook</t>
  </si>
  <si>
    <t>Mon May 02 08:47:48 +0000 2022</t>
  </si>
  <si>
    <t>745639969</t>
  </si>
  <si>
    <t>http://pbs.twimg.com/profile_images/438040772034961409/R_Hok_DS_normal.jpeg</t>
  </si>
  <si>
    <t>Norwich</t>
  </si>
  <si>
    <t>http://twitter.com/CookiboyCook/statuses/1521048801955434497</t>
  </si>
  <si>
    <t>1521048777964064768</t>
  </si>
  <si>
    <t>Bekinddietrying</t>
  </si>
  <si>
    <t>Mon May 02 08:47:43 +0000 2022</t>
  </si>
  <si>
    <t>1470336287131545600</t>
  </si>
  <si>
    <t>http://pbs.twimg.com/profile_images/1470336420829093896/c0-D76Hd_normal.png</t>
  </si>
  <si>
    <t>http://twitter.com/Bekinddietrying/statuses/1521048777964064768</t>
  </si>
  <si>
    <t>1521048713610903552</t>
  </si>
  <si>
    <t>@mafevema @johnharris1969 ... but about what must now be done to level up, in their opinion.
And, speaking of (Hard) #Brexit, the growing labour and skill shortages courtesy of it stymie any efforts at socio-economic regeneration, what the grown ups call #LevellingUp, whatever the type of spending.
End.</t>
  </si>
  <si>
    <t>Mon May 02 08:47:27 +0000 2022</t>
  </si>
  <si>
    <t>1521048183257841664</t>
  </si>
  <si>
    <t>http://twitter.com/MarkHazard2020/statuses/1521048713610903552</t>
  </si>
  <si>
    <t>{"hashtags":[{"text":"Brexit","indices":[118,125]},{"text":"LevellingUp","indices":[256,268]}],"symbols":[],"user_mentions":[{"screen_name":"mafevema","name":"Mafevema #CommonGround","id":744593854419046400,"id_str":"744593854419046400","indices":[0,9]},{"screen_name":"johnharris1969","name":"John Harris","id":2831956616,"id_str":"2831956616","indices":[10,25]}],"urls":[]}</t>
  </si>
  <si>
    <t>1521048699652169728</t>
  </si>
  <si>
    <t>ChrisRamsden4</t>
  </si>
  <si>
    <t>Mon May 02 08:47:24 +0000 2022</t>
  </si>
  <si>
    <t>615670110</t>
  </si>
  <si>
    <t>http://pbs.twimg.com/profile_images/2334140319/zxtc0djak4w41aya0166_normal.jpeg</t>
  </si>
  <si>
    <t>Kent</t>
  </si>
  <si>
    <t>http://twitter.com/ChrisRamsden4/statuses/1521048699652169728</t>
  </si>
  <si>
    <t>1521048677535600642</t>
  </si>
  <si>
    <t>stroppypanda</t>
  </si>
  <si>
    <t>Mon May 02 08:47:19 +0000 2022</t>
  </si>
  <si>
    <t>245790402</t>
  </si>
  <si>
    <t>http://pbs.twimg.com/profile_images/1319762699115528195/9oFL8yo0_normal.jpg</t>
  </si>
  <si>
    <t>http://twitter.com/stroppypanda/statuses/1521048677535600642</t>
  </si>
  <si>
    <t>1521048663283445761</t>
  </si>
  <si>
    <t>traceymhodgson</t>
  </si>
  <si>
    <t>RT @JPLT59: “The government has no solutions [to the problems of #Brexit] because it has never been a government in any real sense of the term, just a vehicle for precisely the fantasies and denials of [the Leave] campaign.”
Excellent as ever, ⁦@chrisgreybrexit⁩ https://t.co/Ba3Z2P38gT</t>
  </si>
  <si>
    <t>Mon May 02 08:47:15 +0000 2022</t>
  </si>
  <si>
    <t>708033605990223872</t>
  </si>
  <si>
    <t>http://pbs.twimg.com/profile_images/1346989378770497537/E6HhnsQn_normal.jpg</t>
  </si>
  <si>
    <t>European Union</t>
  </si>
  <si>
    <t>http://twitter.com/traceymhodgson/statuses/1521048663283445761</t>
  </si>
  <si>
    <t>{"hashtags":[{"text":"Brexit","indices":[65,72]}],"symbols":[],"user_mentions":[{"screen_name":"JPLT59","name":"Jean-Pierre 🇪🇺 #FBPA #FBPE #BrexitIsntWorking","id":369573499,"id_str":"369573499","indices":[3,10]}],"urls":[]}</t>
  </si>
  <si>
    <t>1521048609717948417</t>
  </si>
  <si>
    <t>Kindle_User</t>
  </si>
  <si>
    <t>#Brexit you need a new budget? Use https://t.co/agz4fC4myB to help</t>
  </si>
  <si>
    <t>Mon May 02 08:47:02 +0000 2022</t>
  </si>
  <si>
    <t>748443946032857089</t>
  </si>
  <si>
    <t>&lt;a href="https://www.botlibre.com" rel="nofollow"&gt;Bot Libre!&lt;/a&gt;</t>
  </si>
  <si>
    <t>http://pbs.twimg.com/profile_images/748449290637348864/Ro0XBGb8_normal.jpg</t>
  </si>
  <si>
    <t>United States</t>
  </si>
  <si>
    <t>http://twitter.com/Kindle_User/statuses/1521048609717948417</t>
  </si>
  <si>
    <t>{"hashtags":[{"text":"Brexit","indices":[0,7]}],"symbols":[],"user_mentions":[],"urls":[{"url":"https://t.co/agz4fC4myB","expanded_url":"http://amazon.com/dp/B01HRMX9RE","display_url":"amazon.com/dp/B01HRMX9RE","indices":[35,58]}]}</t>
  </si>
  <si>
    <t>1521048569112936449</t>
  </si>
  <si>
    <t>nusha_u</t>
  </si>
  <si>
    <t>Can I just say it again: #Brexit was such an act of self-harm https://t.co/5FkCkeBB4x</t>
  </si>
  <si>
    <t>Mon May 02 08:46:53 +0000 2022</t>
  </si>
  <si>
    <t>247365538</t>
  </si>
  <si>
    <t>http://pbs.twimg.com/profile_images/552138169479487488/-Z_OkfBj_normal.jpeg</t>
  </si>
  <si>
    <t>http://twitter.com/nusha_u/statuses/1521048569112936449</t>
  </si>
  <si>
    <t>{"hashtags":[{"text":"Brexit","indices":[25,32]}],"symbols":[],"user_mentions":[],"urls":[{"url":"https://t.co/5FkCkeBB4x","expanded_url":"https://www.theguardian.com/business/2022/may/01/bank-of-england-duty-bound-to-trigger-recession-to-curb-inflation?CMP=Share_iOSApp_Other","display_url":"theguardian.com/business/2022/…","indices":[62,85]}]}</t>
  </si>
  <si>
    <t>1521048506345181184</t>
  </si>
  <si>
    <t>MagicSybille</t>
  </si>
  <si>
    <t>RT @MarkHazard2020: @mafevema @SimonUbsdell @chrisgreybrexit "The negative consequences of a Hard #Brexit and, specifically, the end of Freedom of Movement on business formation and ownership in the UK have yet to really surface in the debate."
https://t.co/kY4pntKCyA</t>
  </si>
  <si>
    <t>Mon May 02 08:46:38 +0000 2022</t>
  </si>
  <si>
    <t>468179845</t>
  </si>
  <si>
    <t>http://pbs.twimg.com/profile_images/1323180885303316480/hcuVN5IH_normal.jpg</t>
  </si>
  <si>
    <t>Cambridge, UK</t>
  </si>
  <si>
    <t>http://twitter.com/MagicSybille/statuses/1521048506345181184</t>
  </si>
  <si>
    <t>{"hashtags":[{"text":"Brexit","indices":[98,105]}],"symbols":[],"user_mentions":[{"screen_name":"MarkHazard2020","name":"Mark Hazard 🏴󠁧󠁢󠁷󠁬󠁳󠁿 🇬🇧 🇪🇺 🇺🇳","id":1232606515179204600,"id_str":"1232606515179204608","indices":[3,18]},{"screen_name":"mafevema","name":"Mafevema #CommonGround","id":744593854419046400,"id_str":"744593854419046400","indices":[20,29]},{"screen_name":"SimonUbsdell","name":"Dr Simon Ubsdell","id":1015196564690743300,"id_str":"1015196564690743296","indices":[30,43]},{"screen_name":"chrisgreybrexit","name":"Chris Grey 🇺🇦","id":830808076756328400,"id_str":"830808076756328448","indices":[44,60]}],"urls":[]}</t>
  </si>
  <si>
    <t>1521048495221878787</t>
  </si>
  <si>
    <t>BodyMindStudio</t>
  </si>
  <si>
    <t>4 years ago today we were visited by @BBCLookEast 2 discuss the changing use of high street banks in business. It would be great if they visited again 2 discuss the increased bureaucracy, paperwork, costs &amp;amp; trade limitations caused by #Brexit since full implementation on 01/07/21 https://t.co/9pheaqWgUX</t>
  </si>
  <si>
    <t>Mon May 02 08:46:35 +0000 2022</t>
  </si>
  <si>
    <t>157933177</t>
  </si>
  <si>
    <t>http://pbs.twimg.com/profile_images/1361953843261673472/WMCXI6dj_normal.jpg</t>
  </si>
  <si>
    <t>Bury St Edmunds 🇬🇧🇪🇺🇮🇪🌎</t>
  </si>
  <si>
    <t>http://twitter.com/BodyMindStudio/statuses/1521048495221878787</t>
  </si>
  <si>
    <t>{"hashtags":[{"text":"Brexit","indices":[239,246]}],"symbols":[],"user_mentions":[{"screen_name":"BBCLookEast","name":"BBC Look East","id":263608353,"id_str":"263608353","indices":[37,49]}],"urls":[],"media":[{"id":1521048491144929300,"id_str":"1521048491144929280","indices":[285,308],"media_url":"http://pbs.twimg.com/media/FRvZizjWYAA0CZ_.jpg","media_url_https":"https://pbs.twimg.com/media/FRvZizjWYAA0CZ_.jpg","url":"https://t.co/9pheaqWgUX","display_url":"pic.twitter.com/9pheaqWgUX","expanded_url":"https://twitter.com/BodyMindStudio/status/1521048495221878787/photo/1","type":"photo","sizes":{"small":{"w":680,"h":510,"resize":"fit"},"thumb":{"w":150,"h":150,"resize":"crop"},"large":{"w":960,"h":720,"resize":"fit"},"medium":{"w":960,"h":720,"resize":"fit"}}}]}</t>
  </si>
  <si>
    <t>1521048468516741120</t>
  </si>
  <si>
    <t>rec777777</t>
  </si>
  <si>
    <t>Mon May 02 08:46:29 +0000 2022</t>
  </si>
  <si>
    <t>812295444604866560</t>
  </si>
  <si>
    <t>http://pbs.twimg.com/profile_images/1505190376335974400/EuUA2O_1_normal.jpg</t>
  </si>
  <si>
    <t>http://twitter.com/rec777777/statuses/1521048468516741120</t>
  </si>
  <si>
    <t>1521048446119124992</t>
  </si>
  <si>
    <t>ArsilvanaLis</t>
  </si>
  <si>
    <t>Mon May 02 08:46:23 +0000 2022</t>
  </si>
  <si>
    <t>746457073383317504</t>
  </si>
  <si>
    <t>http://twitter.com/ArsilvanaLis/statuses/1521048446119124992</t>
  </si>
  <si>
    <t>1521048437998985217</t>
  </si>
  <si>
    <t>suecresswell01</t>
  </si>
  <si>
    <t>Mon May 02 08:46:21 +0000 2022</t>
  </si>
  <si>
    <t>103337452</t>
  </si>
  <si>
    <t>http://pbs.twimg.com/profile_images/1503208184974290944/NXKUg3EN_normal.jpg</t>
  </si>
  <si>
    <t>Wales, England</t>
  </si>
  <si>
    <t>http://twitter.com/suecresswell01/statuses/1521048437998985217</t>
  </si>
  <si>
    <t>1521048369287901184</t>
  </si>
  <si>
    <t>LansleyA</t>
  </si>
  <si>
    <t>Mon May 02 08:46:05 +0000 2022</t>
  </si>
  <si>
    <t>3061923514</t>
  </si>
  <si>
    <t>http://pbs.twimg.com/profile_images/1517539068363644931/jcnV1Gwf_normal.jpg</t>
  </si>
  <si>
    <t>http://twitter.com/LansleyA/statuses/1521048369287901184</t>
  </si>
  <si>
    <t>1521048361415098369</t>
  </si>
  <si>
    <t>RT @Glaikitgit: @davesumnersmith Yes!
Unification of Ireland due to #Brexit 
#ScottishIndependence and #IndyRef2 gathers more pace year after year 
Wales starting down that path showing growing dissatisfaction with #Westminster 
Great Britain to little britain filled with little englanders!</t>
  </si>
  <si>
    <t>Mon May 02 08:46:03 +0000 2022</t>
  </si>
  <si>
    <t>http://twitter.com/isthisab0t/statuses/1521048361415098369</t>
  </si>
  <si>
    <t>{"hashtags":[{"text":"Brexit","indices":[68,75]},{"text":"ScottishIndependence","indices":[77,98]},{"text":"IndyRef2","indices":[103,112]}],"symbols":[],"user_mentions":[{"screen_name":"Glaikitgit","name":"Sandy 🏴󠁧󠁢󠁳󠁣󠁴󠁿🏴󠁧󠁢󠁷󠁬󠁳󠁿","id":2504946271,"id_str":"2504946271","indices":[3,14]},{"screen_name":"davesumnersmith","name":"Dave Sumner Smith","id":13340732,"id_str":"13340732","indices":[16,32]}],"urls":[]}</t>
  </si>
  <si>
    <t>1521048299968552961</t>
  </si>
  <si>
    <t>Mon May 02 08:45:49 +0000 2022</t>
  </si>
  <si>
    <t>http://twitter.com/dubh_sgian/statuses/1521048299968552961</t>
  </si>
  <si>
    <t>1521048272890212352</t>
  </si>
  <si>
    <t>DouweKorff</t>
  </si>
  <si>
    <t>Another “ Benefit of #Brexit”: “For anyone travelling widely in Europe and beyond, the real problem will be that the entry and exit stamps for the EU will rapidly fill up the passport – leaving insufficient space to satisfy officials in other countries.” https://t.co/hyPiulD4t6</t>
  </si>
  <si>
    <t>Mon May 02 08:45:42 +0000 2022</t>
  </si>
  <si>
    <t>1272061405</t>
  </si>
  <si>
    <t>http://pbs.twimg.com/profile_images/3388751120/057800734086fe7d97bd194953f4e0c6_normal.jpeg</t>
  </si>
  <si>
    <t>Cambridge &amp; London, UK</t>
  </si>
  <si>
    <t>http://twitter.com/DouweKorff/statuses/1521048272890212352</t>
  </si>
  <si>
    <t>{"hashtags":[{"text":"Brexit","indices":[21,28]}],"symbols":[],"user_mentions":[],"urls":[{"url":"https://t.co/hyPiulD4t6","expanded_url":"https://edition.independent.co.uk/edition/uk.co.independent.issue.020522/155372/index.html","display_url":"edition.independent.co.uk/edition/uk.co.…","indices":[255,278]}]}</t>
  </si>
  <si>
    <t>1521048232079642627</t>
  </si>
  <si>
    <t>Mon May 02 08:45:32 +0000 2022</t>
  </si>
  <si>
    <t>http://twitter.com/BrexitPhobe/statuses/1521048232079642627</t>
  </si>
  <si>
    <t>1521048178761601025</t>
  </si>
  <si>
    <t>Glaikitgit</t>
  </si>
  <si>
    <t>@davesumnersmith Yes!
Unification of Ireland due to #Brexit 
#ScottishIndependence and #IndyRef2 gathers more pace year after year 
Wales starting down that path showing growing dissatisfaction with #Westminster 
Great Britain to little britain filled with little englanders!</t>
  </si>
  <si>
    <t>Mon May 02 08:45:20 +0000 2022</t>
  </si>
  <si>
    <t>13340732</t>
  </si>
  <si>
    <t>davesumnersmith</t>
  </si>
  <si>
    <t>2504946271</t>
  </si>
  <si>
    <t>1521013724261273600</t>
  </si>
  <si>
    <t>http://pbs.twimg.com/profile_images/1437050499229003778/0rLUh1xF_normal.jpg</t>
  </si>
  <si>
    <t>Ayrshire</t>
  </si>
  <si>
    <t>http://twitter.com/Glaikitgit/statuses/1521048178761601025</t>
  </si>
  <si>
    <t>{"hashtags":[{"text":"Brexit","indices":[52,59]},{"text":"ScottishIndependence","indices":[61,82]},{"text":"IndyRef2","indices":[87,96]},{"text":"Westminster","indices":[199,211]}],"symbols":[],"user_mentions":[{"screen_name":"davesumnersmith","name":"Dave Sumner Smith","id":13340732,"id_str":"13340732","indices":[0,16]}],"urls":[]}</t>
  </si>
  <si>
    <t>1521048175527837697</t>
  </si>
  <si>
    <t>Hellena93821300</t>
  </si>
  <si>
    <t>Mon May 02 08:45:19 +0000 2022</t>
  </si>
  <si>
    <t>1086982462851502081</t>
  </si>
  <si>
    <t>http://pbs.twimg.com/profile_images/1480542133882871810/lGoqgDz2_normal.jpg</t>
  </si>
  <si>
    <t>http://twitter.com/Hellena93821300/statuses/1521048175527837697</t>
  </si>
  <si>
    <t>1521048163439857664</t>
  </si>
  <si>
    <t>MiuWasHere</t>
  </si>
  <si>
    <t>RT @MIN1ON: #Brexit - the gift that keeps on giving. #BrexitHasFailed #driving #Spain #UK https://t.co/m7wVGjQubu</t>
  </si>
  <si>
    <t>Mon May 02 08:45:16 +0000 2022</t>
  </si>
  <si>
    <t>34681795</t>
  </si>
  <si>
    <t>http://pbs.twimg.com/profile_images/1344804875985690625/uX0US63m_normal.jpg</t>
  </si>
  <si>
    <t>Cambridge</t>
  </si>
  <si>
    <t>http://twitter.com/MiuWasHere/statuses/1521048163439857664</t>
  </si>
  <si>
    <t>{"hashtags":[{"text":"Brexit","indices":[12,19]},{"text":"BrexitHasFailed","indices":[53,69]},{"text":"driving","indices":[70,78]},{"text":"Spain","indices":[79,85]},{"text":"UK","indices":[86,89]}],"symbols":[],"user_mentions":[{"screen_name":"MIN1ON","name":"Angel","id":37571096,"id_str":"37571096","indices":[3,10]}],"urls":[],"media":[{"id":1520828205833375700,"id_str":"1520828205833375745","indices":[90,113],"media_url":"http://pbs.twimg.com/media/FRsRMg0X0AEnDN8.jpg","media_url_https":"https://pbs.twimg.com/media/FRsRMg0X0AEnDN8.jpg","url":"https://t.co/m7wVGjQubu","display_url":"pic.twitter.com/m7wVGjQubu","expanded_url":"https://twitter.com/MIN1ON/status/1520828209553723397/photo/1","type":"photo","sizes":{"medium":{"w":778,"h":1200,"resize":"fit"},"thumb":{"w":150,"h":150,"resize":"crop"},"large":{"w":1170,"h":1805,"resize":"fit"},"small":{"w":441,"h":680,"resize":"fit"}},"source_status_id":1520828209553723400,"source_status_id_str":"1520828209553723397","source_user_id":37571096,"source_user_id_str":"37571096"}]}</t>
  </si>
  <si>
    <t>1521048157915947008</t>
  </si>
  <si>
    <t>TimInSuffolk</t>
  </si>
  <si>
    <t>Mon May 02 08:45:15 +0000 2022</t>
  </si>
  <si>
    <t>721350687926448130</t>
  </si>
  <si>
    <t>http://pbs.twimg.com/profile_images/1045962231966568449/QSdpx4UA_normal.jpg</t>
  </si>
  <si>
    <t>http://twitter.com/TimInSuffolk/statuses/1521048157915947008</t>
  </si>
  <si>
    <t>1521048138580123648</t>
  </si>
  <si>
    <t>FXspacetrader</t>
  </si>
  <si>
    <t>#Elections Vote out complacent greed. Tax avoiding  #Tories #Brexit red-tape-insolvencies. Cost of living. Poverty. Non- Dom Ministers should not be running our real economy. 37 Billion our foolish chancellor handed to furlough fraudsters unrecoverable. https://t.co/UH6QwavJLv</t>
  </si>
  <si>
    <t>Mon May 02 08:45:10 +0000 2022</t>
  </si>
  <si>
    <t>383188100</t>
  </si>
  <si>
    <t>http://pbs.twimg.com/profile_images/1567878397/numan_6_normal.jpg</t>
  </si>
  <si>
    <t>LONDON</t>
  </si>
  <si>
    <t>http://twitter.com/FXspacetrader/statuses/1521048138580123648</t>
  </si>
  <si>
    <t>{"hashtags":[{"text":"Elections","indices":[0,10]},{"text":"Tories","indices":[52,59]},{"text":"Brexit","indices":[60,67]}],"symbols":[],"user_mentions":[],"urls":[{"url":"https://t.co/UH6QwavJLv","expanded_url":"https://twitter.com/skynews/status/1519625134662995968","display_url":"twitter.com/skynews/status…","indices":[254,277]}]}</t>
  </si>
  <si>
    <t>1521048111128498178</t>
  </si>
  <si>
    <t>@Masios3 @capitanotonz @NickWebb73 @GyllKing Why have they taken so long? I think it’s up to 🇪🇸 whether or not WA still applies. I know ppl who relocated to Spain before 31Dec20 simply to get residency before #Brexit rules kicked in. Are these ppl trying to apply under WA now a bit dim?</t>
  </si>
  <si>
    <t>Mon May 02 08:45:04 +0000 2022</t>
  </si>
  <si>
    <t>1521046771551592448</t>
  </si>
  <si>
    <t>http://twitter.com/jezobrien/statuses/1521048111128498178</t>
  </si>
  <si>
    <t>{"hashtags":[{"text":"Brexit","indices":[209,216]}],"symbols":[],"user_mentions":[{"screen_name":"Masios3","name":"Masios","id":1076153101973971000,"id_str":"1076153101973970944","indices":[0,8]},{"screen_name":"capitanotonz","name":"anthony cummins","id":61614170,"id_str":"61614170","indices":[9,22]},{"screen_name":"NickWebb73","name":"Nick Webb","id":1568866248,"id_str":"1568866248","indices":[23,34]},{"screen_name":"GyllKing","name":"Lady Sir Gyll King","id":1292863282165026800,"id_str":"1292863282165026817","indices":[35,44]}],"urls":[]}</t>
  </si>
  <si>
    <t>1521048075179020289</t>
  </si>
  <si>
    <t>dirtybone</t>
  </si>
  <si>
    <t>Mon May 02 08:44:55 +0000 2022</t>
  </si>
  <si>
    <t>59844452</t>
  </si>
  <si>
    <t>http://pbs.twimg.com/profile_images/330222968/Photo_14_normal.jpg</t>
  </si>
  <si>
    <t>http://twitter.com/dirtybone/statuses/1521048075179020289</t>
  </si>
  <si>
    <t>1521047939648565249</t>
  </si>
  <si>
    <t>@cadsherpa @robittybobnob @lionandfox6773 @PetrasPics66 @Somersetboy3 @ramonagusta @SiobhanBenita I don't know anyone negatively impacted by #Brexit in the real world.
Only on here or in the MSM. On here, the vast majority are fake shill accounts.</t>
  </si>
  <si>
    <t>Mon May 02 08:44:23 +0000 2022</t>
  </si>
  <si>
    <t>145775728</t>
  </si>
  <si>
    <t>cadsherpa</t>
  </si>
  <si>
    <t>1521047547510407168</t>
  </si>
  <si>
    <t>http://twitter.com/rec777777/statuses/1521047939648565249</t>
  </si>
  <si>
    <t>{"hashtags":[{"text":"Brexit","indices":[141,148]}],"symbols":[],"user_mentions":[{"screen_name":"cadsherpa","name":"Joris Steurs","id":145775728,"id_str":"145775728","indices":[0,10]},{"screen_name":"robittybobnob","name":"Rip van Normal","id":2301916261,"id_str":"2301916261","indices":[11,25]},{"screen_name":"lionandfox6773","name":"Lion and Fox 81","id":1213181372103135200,"id_str":"1213181372103135232","indices":[26,41]},{"screen_name":"PetrasPics66","name":"REC the RUSSIAN 🇷🇺","id":1223922800425144300,"id_str":"1223922800425144322","indices":[42,55]},{"screen_name":"Somersetboy3","name":"Somersetboy","id":1493852459671994400,"id_str":"1493852459671994371","indices":[56,69]},{"screen_name":"ramonagusta","name":"Ramon Agusta","id":106469050,"id_str":"106469050","indices":[70,82]},{"screen_name":"SiobhanBenita","name":"Siobhan Benita 🇺🇦🌻","id":21645209,"id_str":"21645209","indices":[83,97]}],"urls":[]}</t>
  </si>
  <si>
    <t>1521047932992204804</t>
  </si>
  <si>
    <t>Lizziea73815526</t>
  </si>
  <si>
    <t>Mon May 02 08:44:21 +0000 2022</t>
  </si>
  <si>
    <t>1031833894029586432</t>
  </si>
  <si>
    <t>http://twitter.com/Lizziea73815526/statuses/1521047932992204804</t>
  </si>
  <si>
    <t>1521047866759954432</t>
  </si>
  <si>
    <t>Quemerford</t>
  </si>
  <si>
    <t>@Anna_Soubry You should join @UKLabour and shout about #Brexit for the ideological right-wing @Conservatives fraud that it is as @Keir_Starmer seems to be doing all he can NOT to mention it!
#BrexitShambles #BrexitCon</t>
  </si>
  <si>
    <t>Mon May 02 08:44:05 +0000 2022</t>
  </si>
  <si>
    <t>56641350</t>
  </si>
  <si>
    <t>http://pbs.twimg.com/profile_images/1135075290/003_normal.jpg</t>
  </si>
  <si>
    <t>Paddock Club</t>
  </si>
  <si>
    <t>http://twitter.com/Quemerford/statuses/1521047866759954432</t>
  </si>
  <si>
    <t>{"hashtags":[{"text":"Brexit","indices":[55,62]},{"text":"BrexitShambles","indices":[191,206]},{"text":"BrexitCon","indices":[207,217]}],"symbols":[],"user_mentions":[{"screen_name":"Anna_Soubry","name":"Anna Soubry","id":326184301,"id_str":"326184301","indices":[0,12]},{"screen_name":"UKLabour","name":"The Labour Party","id":14291684,"id_str":"14291684","indices":[29,38]},{"screen_name":"Conservatives","name":"Conservatives","id":14281853,"id_str":"14281853","indices":[94,108]},{"screen_name":"Keir_Starmer","name":"Keir Starmer","id":2425571623,"id_str":"2425571623","indices":[129,142]}],"urls":[]}</t>
  </si>
  <si>
    <t>1521047855435329542</t>
  </si>
  <si>
    <t>CeeMacBee</t>
  </si>
  <si>
    <t>Mon May 02 08:44:03 +0000 2022</t>
  </si>
  <si>
    <t>2584523887</t>
  </si>
  <si>
    <t>http://pbs.twimg.com/profile_images/1161339968905719808/tSw7PgYv_normal.jpg</t>
  </si>
  <si>
    <t>http://twitter.com/CeeMacBee/statuses/1521047855435329542</t>
  </si>
  <si>
    <t>1521047805435027457</t>
  </si>
  <si>
    <t>judecambridge</t>
  </si>
  <si>
    <t>Mon May 02 08:43:51 +0000 2022</t>
  </si>
  <si>
    <t>256730979</t>
  </si>
  <si>
    <t>http://pbs.twimg.com/profile_images/1169635826780782595/jwtqXxPy_normal.jpg</t>
  </si>
  <si>
    <t>http://twitter.com/judecambridge/statuses/1521047805435027457</t>
  </si>
  <si>
    <t>1521047799873347585</t>
  </si>
  <si>
    <t>Mon May 02 08:43:49 +0000 2022</t>
  </si>
  <si>
    <t>http://twitter.com/its4me23/statuses/1521047799873347585</t>
  </si>
  <si>
    <t>1521047680109223939</t>
  </si>
  <si>
    <t>valuestoimpact</t>
  </si>
  <si>
    <t>Mon May 02 08:43:21 +0000 2022</t>
  </si>
  <si>
    <t>1223263208</t>
  </si>
  <si>
    <t>http://pbs.twimg.com/profile_images/1497585812506034180/09kWNLA-_normal.jpg</t>
  </si>
  <si>
    <t>http://twitter.com/valuestoimpact/statuses/1521047680109223939</t>
  </si>
  <si>
    <t>1521047669044613121</t>
  </si>
  <si>
    <t>GreatBearJumps</t>
  </si>
  <si>
    <t>Mon May 02 08:43:18 +0000 2022</t>
  </si>
  <si>
    <t>125274695</t>
  </si>
  <si>
    <t>http://pbs.twimg.com/profile_images/736499979662032896/zh9Xc2gN_normal.jpg</t>
  </si>
  <si>
    <t>http://twitter.com/GreatBearJumps/statuses/1521047669044613121</t>
  </si>
  <si>
    <t>1521047613327523840</t>
  </si>
  <si>
    <t>#Brexit going well, eh? https://t.co/J9bGcHL2t8</t>
  </si>
  <si>
    <t>Mon May 02 08:43:05 +0000 2022</t>
  </si>
  <si>
    <t>1521044496338796544</t>
  </si>
  <si>
    <t>http://twitter.com/BrexitPhobe/statuses/1521047613327523840</t>
  </si>
  <si>
    <t>{"hashtags":[{"text":"Brexit","indices":[0,7]}],"symbols":[],"user_mentions":[],"urls":[{"url":"https://t.co/J9bGcHL2t8","expanded_url":"https://twitter.com/marinapurkiss/status/1521038565035102208","display_url":"twitter.com/marinapurkiss/…","indices":[24,47]}]}</t>
  </si>
  <si>
    <t>1521047577717837824</t>
  </si>
  <si>
    <t>suthers</t>
  </si>
  <si>
    <t>Mon May 02 08:42:56 +0000 2022</t>
  </si>
  <si>
    <t>8362812</t>
  </si>
  <si>
    <t>http://pbs.twimg.com/profile_images/1438053003324493826/sUwtdxDn_normal.jpg</t>
  </si>
  <si>
    <t>Walmer, Kent</t>
  </si>
  <si>
    <t>http://twitter.com/suthers/statuses/1521047577717837824</t>
  </si>
  <si>
    <t>1521047576992231424</t>
  </si>
  <si>
    <t>Hubertelski</t>
  </si>
  <si>
    <t>203081565</t>
  </si>
  <si>
    <t>http://pbs.twimg.com/profile_images/1145332215/Image002_normal.jpg</t>
  </si>
  <si>
    <t>http://twitter.com/Hubertelski/statuses/1521047576992231424</t>
  </si>
  <si>
    <t>1521047575524261889</t>
  </si>
  <si>
    <t>Lukecm68</t>
  </si>
  <si>
    <t>2496861265</t>
  </si>
  <si>
    <t>http://pbs.twimg.com/profile_images/1517213148784340995/ZDpGvWRK_normal.jpg</t>
  </si>
  <si>
    <t>Norfolk uk</t>
  </si>
  <si>
    <t>http://twitter.com/Lukecm68/statuses/1521047575524261889</t>
  </si>
  <si>
    <t>1521047570533003266</t>
  </si>
  <si>
    <t>HalseyJane</t>
  </si>
  <si>
    <t>Mon May 02 08:42:55 +0000 2022</t>
  </si>
  <si>
    <t>2262575765</t>
  </si>
  <si>
    <t>http://pbs.twimg.com/profile_images/1497948647115403265/IHcKF996_normal.jpg</t>
  </si>
  <si>
    <t xml:space="preserve">leatherhead surrey England </t>
  </si>
  <si>
    <t>http://twitter.com/HalseyJane/statuses/1521047570533003266</t>
  </si>
  <si>
    <t>1521047557056647173</t>
  </si>
  <si>
    <t>shotwithspirit</t>
  </si>
  <si>
    <t>Serendipity is a wonderful thing..suddenly #RabbieBurns &amp;amp; #Spain #Espana 2022 line up: “O wad some Pow'r the giftie gie us; To see oursels as ithers see us!” Oh, wld some Power give us the gift; 2 see ourselves as others see us!) From #Burns poems [checks ref] To A Louse #Brexit https://t.co/bq6xugZ6r4</t>
  </si>
  <si>
    <t>Mon May 02 08:42:51 +0000 2022</t>
  </si>
  <si>
    <t>288694594</t>
  </si>
  <si>
    <t>http://pbs.twimg.com/profile_images/1330962155/DOVEblue_normal.jpg</t>
  </si>
  <si>
    <t>Abergavenny, South Wales</t>
  </si>
  <si>
    <t>http://twitter.com/shotwithspirit/statuses/1521047557056647173</t>
  </si>
  <si>
    <t>{"hashtags":[{"text":"RabbieBurns","indices":[43,55]},{"text":"Spain","indices":[62,68]},{"text":"Espana","indices":[69,76]},{"text":"Burns","indices":[239,245]},{"text":"Brexit","indices":[276,283]}],"symbols":[],"user_mentions":[],"urls":[{"url":"https://t.co/bq6xugZ6r4","expanded_url":"https://twitter.com/ukgovtgoogles/status/1521024680731152387","display_url":"twitter.com/ukgovtgoogles/…","indices":[284,307]}]}</t>
  </si>
  <si>
    <t>1521047503969427456</t>
  </si>
  <si>
    <t>JPLT59</t>
  </si>
  <si>
    <t>“The government has no solutions [to the problems of #Brexit] because it has never been a government in any real sense of the term, just a vehicle for precisely the fantasies and denials of [the Leave] campaign.”
Excellent as ever, ⁦@chrisgreybrexit⁩ https://t.co/Ba3Z2P38gT</t>
  </si>
  <si>
    <t>Mon May 02 08:42:39 +0000 2022</t>
  </si>
  <si>
    <t>369573499</t>
  </si>
  <si>
    <t>http://pbs.twimg.com/profile_images/1143918675554123777/exvliiB6_normal.jpg</t>
  </si>
  <si>
    <t>http://twitter.com/JPLT59/statuses/1521047503969427456</t>
  </si>
  <si>
    <t>{"hashtags":[{"text":"Brexit","indices":[53,60]}],"symbols":[],"user_mentions":[{"screen_name":"chrisgreybrexit","name":"Chris Grey 🇺🇦","id":830808076756328400,"id_str":"830808076756328448","indices":[233,249]}],"urls":[{"url":"https://t.co/Ba3Z2P38gT","expanded_url":"https://chrisgreybrexitblog.blogspot.com/","display_url":"chrisgreybrexitblog.blogspot.com","indices":[251,274]}]}</t>
  </si>
  <si>
    <t>1521047460654764033</t>
  </si>
  <si>
    <t>JulieLesniarek</t>
  </si>
  <si>
    <t>Mon May 02 08:42:28 +0000 2022</t>
  </si>
  <si>
    <t>1356968048817823746</t>
  </si>
  <si>
    <t>http://twitter.com/JulieLesniarek/statuses/1521047460654764033</t>
  </si>
  <si>
    <t>1521047451427299329</t>
  </si>
  <si>
    <t>OnTheSofaUK</t>
  </si>
  <si>
    <t>Do you agree with this statement: "If #Boris goes, #Brexit goes" ? #RT #poll #MayDay</t>
  </si>
  <si>
    <t>Mon May 02 08:42:26 +0000 2022</t>
  </si>
  <si>
    <t>749628175517384705</t>
  </si>
  <si>
    <t>http://pbs.twimg.com/profile_images/1487927616271228932/pwjJv-cS_normal.jpg</t>
  </si>
  <si>
    <t>An invisible dot</t>
  </si>
  <si>
    <t>http://twitter.com/OnTheSofaUK/statuses/1521047451427299329</t>
  </si>
  <si>
    <t>{"hashtags":[{"text":"Boris","indices":[38,44]},{"text":"Brexit","indices":[51,58]},{"text":"RT","indices":[67,70]},{"text":"poll","indices":[71,76]},{"text":"MayDay","indices":[77,84]}],"symbols":[],"user_mentions":[],"urls":[]}</t>
  </si>
  <si>
    <t>1521047451322535938</t>
  </si>
  <si>
    <t>SnookMalcolm</t>
  </si>
  <si>
    <t>@NadineDorries We're also expected to believe there's a triple lock on pensions, that #Conservatives are party of low taxation, that #BorisJohnson didn't lie to #parliament, #Brexit has benefits, police &amp;amp; crime bill is good for democracy, government control of electoral commission is fair!</t>
  </si>
  <si>
    <t>457060718</t>
  </si>
  <si>
    <t>NadineDorries</t>
  </si>
  <si>
    <t>1444133821750857734</t>
  </si>
  <si>
    <t>1520886236797444097</t>
  </si>
  <si>
    <t>http://pbs.twimg.com/profile_images/1444134081005035522/uBl5OrlO_normal.jpg</t>
  </si>
  <si>
    <t>http://twitter.com/SnookMalcolm/statuses/1521047451322535938</t>
  </si>
  <si>
    <t>{"hashtags":[{"text":"Conservatives","indices":[86,100]},{"text":"BorisJohnson","indices":[133,146]},{"text":"parliament","indices":[161,172]},{"text":"Brexit","indices":[174,181]}],"symbols":[],"user_mentions":[{"screen_name":"NadineDorries","name":"Nadine Dorries","id":457060718,"id_str":"457060718","indices":[0,14]}],"urls":[]}</t>
  </si>
  <si>
    <t>1521047418585894916</t>
  </si>
  <si>
    <t>jenkinskeith9</t>
  </si>
  <si>
    <t>Mon May 02 08:42:18 +0000 2022</t>
  </si>
  <si>
    <t>972422622</t>
  </si>
  <si>
    <t>http://twitter.com/jenkinskeith9/statuses/1521047418585894916</t>
  </si>
  <si>
    <t>1521047409052336129</t>
  </si>
  <si>
    <t>hexham4pa</t>
  </si>
  <si>
    <t>RT @MarkHazard2020: @MarinaPurkiss Will Tories now cynically say Sir Keir Starmer QC's Make (Hard) #Brexit Work plan would be an act of economic self harm?
Labour's spent last two years under Starmer trying not to criticise Brexit and now they've been outmanoeuvred by the Tories.
Time for Starmer to get a grip.</t>
  </si>
  <si>
    <t>Mon May 02 08:42:16 +0000 2022</t>
  </si>
  <si>
    <t>858310695389200384</t>
  </si>
  <si>
    <t>http://pbs.twimg.com/profile_images/858314041416142849/YPE9efKa_normal.jpg</t>
  </si>
  <si>
    <t>North East, England</t>
  </si>
  <si>
    <t>http://twitter.com/hexham4pa/statuses/1521047409052336129</t>
  </si>
  <si>
    <t>{"hashtags":[{"text":"Brexit","indices":[99,106]}],"symbols":[],"user_mentions":[{"screen_name":"MarkHazard2020","name":"Mark Hazard 🏴󠁧󠁢󠁷󠁬󠁳󠁿 🇬🇧 🇪🇺 🇺🇳","id":1232606515179204600,"id_str":"1232606515179204608","indices":[3,18]},{"screen_name":"MarinaPurkiss","name":"Marina Purkiss","id":58436094,"id_str":"58436094","indices":[20,34]}],"urls":[]}</t>
  </si>
  <si>
    <t>1521047405361348608</t>
  </si>
  <si>
    <t>allanukscotland</t>
  </si>
  <si>
    <t>Mon May 02 08:42:15 +0000 2022</t>
  </si>
  <si>
    <t>20729460</t>
  </si>
  <si>
    <t>http://pbs.twimg.com/profile_images/1777648477/allan_2_normal.jpg</t>
  </si>
  <si>
    <t>glasgow</t>
  </si>
  <si>
    <t>http://twitter.com/allanukscotland/statuses/1521047405361348608</t>
  </si>
  <si>
    <t>1521047400986591233</t>
  </si>
  <si>
    <t>SusanBayliss6</t>
  </si>
  <si>
    <t>Mon May 02 08:42:14 +0000 2022</t>
  </si>
  <si>
    <t>898981464137715714</t>
  </si>
  <si>
    <t>Midlands</t>
  </si>
  <si>
    <t>http://twitter.com/SusanBayliss6/statuses/1521047400986591233</t>
  </si>
  <si>
    <t>1521047296359780352</t>
  </si>
  <si>
    <t>leceleven</t>
  </si>
  <si>
    <t>Mon May 02 08:41:49 +0000 2022</t>
  </si>
  <si>
    <t>227452520</t>
  </si>
  <si>
    <t>http://pbs.twimg.com/profile_images/1337480100972027905/xVAmDzcP_normal.jpg</t>
  </si>
  <si>
    <t>http://twitter.com/leceleven/statuses/1521047296359780352</t>
  </si>
  <si>
    <t>1521047265678397440</t>
  </si>
  <si>
    <t>Margare55035539</t>
  </si>
  <si>
    <t>Mon May 02 08:41:42 +0000 2022</t>
  </si>
  <si>
    <t>1373732532609560577</t>
  </si>
  <si>
    <t>http://pbs.twimg.com/profile_images/1373747190913511436/4Icru8LT_normal.jpg</t>
  </si>
  <si>
    <t>http://twitter.com/Margare55035539/statuses/1521047265678397440</t>
  </si>
  <si>
    <t>1521047249102544896</t>
  </si>
  <si>
    <t>JohnClarke1960</t>
  </si>
  <si>
    <t>BofE actually said: “wages were increasing due to shortages of workers…”🤷‍♂️Labour shortages are entirely due to #Brexit &amp;amp; a “recession to curb inflation” is the last thing any Economy recovering from Tory mismanagement of #Covid needs!
https://t.co/yhMfNe0LcE</t>
  </si>
  <si>
    <t>Mon May 02 08:41:38 +0000 2022</t>
  </si>
  <si>
    <t>957412446</t>
  </si>
  <si>
    <t>http://pbs.twimg.com/profile_images/846011967525543938/uNFhYD5c_normal.jpg</t>
  </si>
  <si>
    <t>Black Notley, Braintree, Essex</t>
  </si>
  <si>
    <t>http://twitter.com/JohnClarke1960/statuses/1521047249102544896</t>
  </si>
  <si>
    <t>{"hashtags":[{"text":"Brexit","indices":[113,120]},{"text":"Covid","indices":[227,233]}],"symbols":[],"user_mentions":[],"urls":[{"url":"https://t.co/yhMfNe0LcE","expanded_url":"https://www.theguardian.com/business/2022/may/01/bank-of-england-duty-bound-to-trigger-recession-to-curb-inflation","display_url":"theguardian.com/business/2022/…","indices":[241,264]}]}</t>
  </si>
  <si>
    <t>1521047232522424320</t>
  </si>
  <si>
    <t>tintin9990</t>
  </si>
  <si>
    <t>RT @MimiJ9: This is how it will happen. Trust Starmer, trust his front bench. #Brexit  https://t.co/IOlQgGYqzv</t>
  </si>
  <si>
    <t>Mon May 02 08:41:34 +0000 2022</t>
  </si>
  <si>
    <t>53830549</t>
  </si>
  <si>
    <t>http://pbs.twimg.com/profile_images/1271793753104228354/y84L7u0Q_normal.jpg</t>
  </si>
  <si>
    <t>Portsmouth, England</t>
  </si>
  <si>
    <t>http://twitter.com/tintin9990/statuses/1521047232522424320</t>
  </si>
  <si>
    <t>{"hashtags":[{"text":"Brexit","indices":[78,85]}],"symbols":[],"user_mentions":[{"screen_name":"MimiJ9","name":"MimiJ","id":571141141,"id_str":"571141141","indices":[3,10]}],"urls":[{"url":"https://t.co/IOlQgGYqzv","expanded_url":"https://apple.news/A-MtYYX8SQ7ei3yDmBqmaow","display_url":"apple.news/A-MtYYX8SQ7ei3…","indices":[87,110]}]}</t>
  </si>
  <si>
    <t>1521047226478469120</t>
  </si>
  <si>
    <t>ianwshaw</t>
  </si>
  <si>
    <t>I am not an economist but it seems pretty clear to me that the traditional method of controlling inflation by increasing interest rates is no longer viable. Our economy is way more complicated since #Brexit, the pandemic and now a war in Ukraine. https://t.co/0yTHNYQQlL</t>
  </si>
  <si>
    <t>Mon May 02 08:41:33 +0000 2022</t>
  </si>
  <si>
    <t>79159915</t>
  </si>
  <si>
    <t>http://pbs.twimg.com/profile_images/1510195551152873472/kylAcyPK_normal.jpg</t>
  </si>
  <si>
    <t>Rawdon, Leeds UK</t>
  </si>
  <si>
    <t>http://twitter.com/ianwshaw/statuses/1521047226478469120</t>
  </si>
  <si>
    <t>{"hashtags":[{"text":"Brexit","indices":[199,206]}],"symbols":[],"user_mentions":[],"urls":[{"url":"https://t.co/0yTHNYQQlL","expanded_url":"https://www.theguardian.com/business/2022/may/01/bank-of-england-duty-bound-to-trigger-recession-to-curb-inflation","display_url":"theguardian.com/business/2022/…","indices":[247,270]}]}</t>
  </si>
  <si>
    <t>1521047181771386880</t>
  </si>
  <si>
    <t>thinkingiamwait</t>
  </si>
  <si>
    <t>@susannareid100 @GMB Please be gentle with @10DowningStreet. We sincerely, want the world to see, how nice of a bloke he is. Just tells a little white lie, like any of us have. Certainly not a hypocrit nor a #Putin loving @Conservatives but a law abiding, @NHS and #Brexit supporting, decent chap.👀🇬🇧 https://t.co/81ELjd4y9Q</t>
  </si>
  <si>
    <t>Mon May 02 08:41:22 +0000 2022</t>
  </si>
  <si>
    <t>1476352743593988102</t>
  </si>
  <si>
    <t>http://pbs.twimg.com/profile_images/1491907582298148867/Owy0CO-p_normal.jpg</t>
  </si>
  <si>
    <t>some where on earth °</t>
  </si>
  <si>
    <t>http://twitter.com/thinkingiamwait/statuses/1521047181771386880</t>
  </si>
  <si>
    <t>{"hashtags":[{"text":"Putin","indices":[208,214]},{"text":"Brexit","indices":[265,272]}],"symbols":[],"user_mentions":[{"screen_name":"susannareid100","name":"Susanna Reid","id":19477583,"id_str":"19477583","indices":[0,15]},{"screen_name":"GMB","name":"Good Morning Britain","id":19424427,"id_str":"19424427","indices":[16,20]},{"screen_name":"10DowningStreet","name":"UK Prime Minister","id":14224719,"id_str":"14224719","indices":[43,59]},{"screen_name":"Conservatives","name":"Conservatives","id":14281853,"id_str":"14281853","indices":[222,236]},{"screen_name":"NHS","name":"@NHS","id":753261781137719300,"id_str":"753261781137719300","indices":[256,260]}],"urls":[],"media":[{"id":1521047174657757200,"id_str":"1521047174657757185","indices":[301,324],"media_url":"http://pbs.twimg.com/tweet_video_thumb/FRvYWLQWUAEyg03.jpg","media_url_https":"https://pbs.twimg.com/tweet_video_thumb/FRvYWLQWUAEyg03.jpg","url":"https://t.co/81ELjd4y9Q","display_url":"pic.twitter.com/81ELjd4y9Q","expanded_url":"https://twitter.com/thinkingiamwait/status/1521047181771386880/photo/1","type":"photo","sizes":{"thumb":{"w":150,"h":150,"resize":"crop"},"small":{"w":382,"h":480,"resize":"fit"},"large":{"w":382,"h":480,"resize":"fit"},"medium":{"w":382,"h":480,"resize":"fit"}}}]}</t>
  </si>
  <si>
    <t>1521047154105716737</t>
  </si>
  <si>
    <t>ShortbreadFairy</t>
  </si>
  <si>
    <t>@pickpear @Wulf_Helm #Brexit https://t.co/yctvBy9qy7</t>
  </si>
  <si>
    <t>Mon May 02 08:41:15 +0000 2022</t>
  </si>
  <si>
    <t>54636563</t>
  </si>
  <si>
    <t>pickpear</t>
  </si>
  <si>
    <t>1168476117159829505</t>
  </si>
  <si>
    <t>1521046510191919106</t>
  </si>
  <si>
    <t>http://pbs.twimg.com/profile_images/1504155819398639625/4hSM3p91_normal.jpg</t>
  </si>
  <si>
    <t>http://twitter.com/ShortbreadFairy/statuses/1521047154105716737</t>
  </si>
  <si>
    <t>{"hashtags":[{"text":"Brexit","indices":[21,28]}],"symbols":[],"user_mentions":[{"screen_name":"pickpear","name":"𝔇𝔢𝔫𝔫𝔦𝔰 𝔅𝔞𝔯𝔯𝔢𝔱𝔱 - #FBPE 🇺🇦 🇱🇹","id":54636563,"id_str":"54636563","indices":[0,9]},{"screen_name":"Wulf_Helm","name":"WulfHelm 💙🖤","id":1385500920570683400,"id_str":"1385500920570683394","indices":[10,20]}],"urls":[],"media":[{"id":1521047151576588300,"id_str":"1521047151576588292","indices":[29,52],"media_url":"http://pbs.twimg.com/media/FRvYU1RXoAQchU4.jpg","media_url_https":"https://pbs.twimg.com/media/FRvYU1RXoAQchU4.jpg","url":"https://t.co/yctvBy9qy7","display_url":"pic.twitter.com/yctvBy9qy7","expanded_url":"https://twitter.com/ShortbreadFairy/status/1521047154105716737/photo/1","type":"photo","sizes":{"thumb":{"w":150,"h":150,"resize":"crop"},"small":{"w":319,"h":425,"resize":"fit"},"medium":{"w":319,"h":425,"resize":"fit"},"large":{"w":319,"h":425,"resize":"fit"}}}]}</t>
  </si>
  <si>
    <t>1521047112846393345</t>
  </si>
  <si>
    <t>JulesHobbs3</t>
  </si>
  <si>
    <t>Mon May 02 08:41:06 +0000 2022</t>
  </si>
  <si>
    <t>1325792336111149057</t>
  </si>
  <si>
    <t>http://pbs.twimg.com/profile_images/1328361009887711234/pd7_-M0V_normal.jpg</t>
  </si>
  <si>
    <t>Wiltshire</t>
  </si>
  <si>
    <t>http://twitter.com/JulesHobbs3/statuses/1521047112846393345</t>
  </si>
  <si>
    <t>1521047110279434241</t>
  </si>
  <si>
    <t>Chazz0505</t>
  </si>
  <si>
    <t>Mon May 02 08:41:05 +0000 2022</t>
  </si>
  <si>
    <t>702825655843614720</t>
  </si>
  <si>
    <t>http://pbs.twimg.com/profile_images/1497705270847418375/YZFOZ2KE_normal.jpg</t>
  </si>
  <si>
    <t>Kilwinning, Scotland</t>
  </si>
  <si>
    <t>http://twitter.com/Chazz0505/statuses/1521047110279434241</t>
  </si>
  <si>
    <t>1521047083351949314</t>
  </si>
  <si>
    <t>@robittybobnob @lionandfox6773 @PetrasPics66 @cadsherpa @Somersetboy3 @ramonagusta @SiobhanBenita Same here. Everyone I know in business is doing great.
Some on here, if real, seem to make #Brexit an excuse for having a badly run business, but when you engage with them, it becomes apparent, most are fake.</t>
  </si>
  <si>
    <t>Mon May 02 08:40:59 +0000 2022</t>
  </si>
  <si>
    <t>1521046043483332611</t>
  </si>
  <si>
    <t>http://twitter.com/rec777777/statuses/1521047083351949314</t>
  </si>
  <si>
    <t>{"hashtags":[{"text":"Brexit","indices":[190,197]}],"symbols":[],"user_mentions":[{"screen_name":"robittybobnob","name":"Rip van Normal","id":2301916261,"id_str":"2301916261","indices":[0,14]},{"screen_name":"lionandfox6773","name":"Lion and Fox 81","id":1213181372103135200,"id_str":"1213181372103135232","indices":[15,30]},{"screen_name":"PetrasPics66","name":"REC the RUSSIAN 🇷🇺","id":1223922800425144300,"id_str":"1223922800425144322","indices":[31,44]},{"screen_name":"cadsherpa","name":"Joris Steurs","id":145775728,"id_str":"145775728","indices":[45,55]},{"screen_name":"Somersetboy3","name":"Somersetboy","id":1493852459671994400,"id_str":"1493852459671994371","indices":[56,69]},{"screen_name":"ramonagusta","name":"Ramon Agusta","id":106469050,"id_str":"106469050","indices":[70,82]},{"screen_name":"SiobhanBenita","name":"Siobhan Benita 🇺🇦🌻","id":21645209,"id_str":"21645209","indices":[83,97]}],"urls":[]}</t>
  </si>
  <si>
    <t>1521047067837276161</t>
  </si>
  <si>
    <t>franjangle</t>
  </si>
  <si>
    <t>Mon May 02 08:40:55 +0000 2022</t>
  </si>
  <si>
    <t>63703257</t>
  </si>
  <si>
    <t>http://pbs.twimg.com/profile_images/1131856110766448640/a4e6i01k_normal.jpg</t>
  </si>
  <si>
    <t>http://twitter.com/franjangle/statuses/1521047067837276161</t>
  </si>
  <si>
    <t>1521047057296986113</t>
  </si>
  <si>
    <t>Mon May 02 08:40:52 +0000 2022</t>
  </si>
  <si>
    <t>http://twitter.com/franjangle/statuses/1521047057296986113</t>
  </si>
  <si>
    <t>1521046987570880512</t>
  </si>
  <si>
    <t>gandoflam</t>
  </si>
  <si>
    <t>Mon May 02 08:40:36 +0000 2022</t>
  </si>
  <si>
    <t>1244698678146863111</t>
  </si>
  <si>
    <t>http://pbs.twimg.com/profile_images/1255563001907892229/MmKcTqos_normal.jpg</t>
  </si>
  <si>
    <t>http://twitter.com/gandoflam/statuses/1521046987570880512</t>
  </si>
  <si>
    <t>1521046930591297536</t>
  </si>
  <si>
    <t>SueKeen1</t>
  </si>
  <si>
    <t>Mon May 02 08:40:22 +0000 2022</t>
  </si>
  <si>
    <t>296367001</t>
  </si>
  <si>
    <t>http://pbs.twimg.com/profile_images/1340002885015318531/MT4QGTrF_normal.jpg</t>
  </si>
  <si>
    <t>http://twitter.com/SueKeen1/statuses/1521046930591297536</t>
  </si>
  <si>
    <t>1521046910261501953</t>
  </si>
  <si>
    <t>marknew1945</t>
  </si>
  <si>
    <t>Mon May 02 08:40:17 +0000 2022</t>
  </si>
  <si>
    <t>1042182067</t>
  </si>
  <si>
    <t>http://pbs.twimg.com/profile_images/809333067382976516/6UlAI8Xq_normal.jpg</t>
  </si>
  <si>
    <t>http://twitter.com/marknew1945/statuses/1521046910261501953</t>
  </si>
  <si>
    <t>1521046891177385984</t>
  </si>
  <si>
    <t>mommabeartweets</t>
  </si>
  <si>
    <t>Mon May 02 08:40:13 +0000 2022</t>
  </si>
  <si>
    <t>975320308851847169</t>
  </si>
  <si>
    <t>http://pbs.twimg.com/profile_images/1091261290557960193/8d0mIkhC_normal.jpg</t>
  </si>
  <si>
    <t>http://twitter.com/mommabeartweets/statuses/1521046891177385984</t>
  </si>
  <si>
    <t>1521046880397918208</t>
  </si>
  <si>
    <t>aSweetEspresso</t>
  </si>
  <si>
    <t>Mon May 02 08:40:10 +0000 2022</t>
  </si>
  <si>
    <t>490267299</t>
  </si>
  <si>
    <t>http://pbs.twimg.com/profile_images/378800000507167216/83888c5f12f602f3330aaf2995efe306_normal.jpeg</t>
  </si>
  <si>
    <t>http://twitter.com/aSweetEspresso/statuses/1521046880397918208</t>
  </si>
  <si>
    <t>1521046836848570368</t>
  </si>
  <si>
    <t>uniworldnews</t>
  </si>
  <si>
    <t>UK researchers land European Research Council grants but may not keep them -  writes Liz Newmark 
#Brexit #HigherEd #GlobalEd https://t.co/TTmI3Qwb4r</t>
  </si>
  <si>
    <t>Mon May 02 08:40:00 +0000 2022</t>
  </si>
  <si>
    <t>95071372</t>
  </si>
  <si>
    <t>http://pbs.twimg.com/profile_images/1318251484149055490/KqkRTWPH_normal.jpg</t>
  </si>
  <si>
    <t>http://twitter.com/uniworldnews/statuses/1521046836848570368</t>
  </si>
  <si>
    <t>{"hashtags":[{"text":"Brexit","indices":[99,106]},{"text":"HigherEd","indices":[107,116]},{"text":"GlobalEd","indices":[117,126]}],"symbols":[],"user_mentions":[],"urls":[{"url":"https://t.co/TTmI3Qwb4r","expanded_url":"https://www.universityworldnews.com/post.php?story=20220429132240719&amp;utm_source=twitter&amp;utm_medium=social&amp;utm_campaign=uwn-GL690","display_url":"universityworldnews.com/post.php?story…","indices":[127,150]}]}</t>
  </si>
  <si>
    <t>1521046815017246721</t>
  </si>
  <si>
    <t>fitzjimi</t>
  </si>
  <si>
    <t>RT @JaneEJuanita: @Anna_Soubry @asda chair #StuartRose should name the person who told him he couldn’t mention #Brexit. #FreeSpeech is still a thing here isn’t it? Then he should be free to tell us how it has impacted his sector</t>
  </si>
  <si>
    <t>Mon May 02 08:39:55 +0000 2022</t>
  </si>
  <si>
    <t>2460024278</t>
  </si>
  <si>
    <t>http://pbs.twimg.com/profile_images/462511785812033538/H9KYz-Mr_normal.jpeg</t>
  </si>
  <si>
    <t>Yorkshire</t>
  </si>
  <si>
    <t>http://twitter.com/fitzjimi/statuses/1521046815017246721</t>
  </si>
  <si>
    <t>{"hashtags":[{"text":"StuartRose","indices":[43,54]},{"text":"Brexit","indices":[111,118]},{"text":"FreeSpeech","indices":[120,131]}],"symbols":[],"user_mentions":[{"screen_name":"JaneEJuanita","name":"Jane Weston","id":2582304178,"id_str":"2582304178","indices":[3,16]},{"screen_name":"Anna_Soubry","name":"Anna Soubry","id":326184301,"id_str":"326184301","indices":[18,30]},{"screen_name":"asda","name":"Asda","id":20123366,"id_str":"20123366","indices":[31,36]}],"urls":[]}</t>
  </si>
  <si>
    <t>1521046811531780096</t>
  </si>
  <si>
    <t>Mon May 02 08:39:54 +0000 2022</t>
  </si>
  <si>
    <t>http://twitter.com/mommabeartweets/statuses/1521046811531780096</t>
  </si>
  <si>
    <t>1521046798487498752</t>
  </si>
  <si>
    <t>Mon May 02 08:39:51 +0000 2022</t>
  </si>
  <si>
    <t>http://twitter.com/franjangle/statuses/1521046798487498752</t>
  </si>
  <si>
    <t>1521046780472930304</t>
  </si>
  <si>
    <t>IanRobinson</t>
  </si>
  <si>
    <t>Mon May 02 08:39:46 +0000 2022</t>
  </si>
  <si>
    <t>14970812</t>
  </si>
  <si>
    <t>http://pbs.twimg.com/profile_images/548544797615861760/xPWNpltm_normal.jpeg</t>
  </si>
  <si>
    <t>Dundonald, Belfast, UK</t>
  </si>
  <si>
    <t>http://twitter.com/IanRobinson/statuses/1521046780472930304</t>
  </si>
  <si>
    <t>1521046765859975168</t>
  </si>
  <si>
    <t>dazzapsj1</t>
  </si>
  <si>
    <t>Mon May 02 08:39:43 +0000 2022</t>
  </si>
  <si>
    <t>1035897975527141378</t>
  </si>
  <si>
    <t>http://pbs.twimg.com/profile_images/1273911753735315463/LPrbJjZC_normal.jpg</t>
  </si>
  <si>
    <t>Trowbridge, England</t>
  </si>
  <si>
    <t>http://twitter.com/dazzapsj1/statuses/1521046765859975168</t>
  </si>
  <si>
    <t>1521046646016126977</t>
  </si>
  <si>
    <t>ormy27</t>
  </si>
  <si>
    <t>Mon May 02 08:39:14 +0000 2022</t>
  </si>
  <si>
    <t>3372524991</t>
  </si>
  <si>
    <t>http://pbs.twimg.com/profile_images/1480114077590601735/Kg_1hzpo_normal.jpg</t>
  </si>
  <si>
    <t>North East, England 🐝🐝🐝</t>
  </si>
  <si>
    <t>http://twitter.com/ormy27/statuses/1521046646016126977</t>
  </si>
  <si>
    <t>1521046595529326592</t>
  </si>
  <si>
    <t>Mon May 02 08:39:02 +0000 2022</t>
  </si>
  <si>
    <t>http://twitter.com/DavidDsmithson1/statuses/1521046595529326592</t>
  </si>
  <si>
    <t>1521046541863206912</t>
  </si>
  <si>
    <t>nickraybaker</t>
  </si>
  <si>
    <t>Mon May 02 08:38:49 +0000 2022</t>
  </si>
  <si>
    <t>755404774791577600</t>
  </si>
  <si>
    <t>http://pbs.twimg.com/profile_images/756888955862315009/IIdcudRi_normal.jpg</t>
  </si>
  <si>
    <t>http://twitter.com/nickraybaker/statuses/1521046541863206912</t>
  </si>
  <si>
    <t>1521046472531320832</t>
  </si>
  <si>
    <t>Clarioncall18mi</t>
  </si>
  <si>
    <t>Mon May 02 08:38:33 +0000 2022</t>
  </si>
  <si>
    <t>997474688094949376</t>
  </si>
  <si>
    <t>http://pbs.twimg.com/profile_images/1433899452331438087/L1Kr0cRG_normal.jpg</t>
  </si>
  <si>
    <t>http://twitter.com/Clarioncall18mi/statuses/1521046472531320832</t>
  </si>
  <si>
    <t>1521046400229851137</t>
  </si>
  <si>
    <t>michelle8969</t>
  </si>
  <si>
    <t>Mon May 02 08:38:16 +0000 2022</t>
  </si>
  <si>
    <t>33316781</t>
  </si>
  <si>
    <t>http://pbs.twimg.com/profile_images/1376175483973435393/5bi8pPHG_normal.jpg</t>
  </si>
  <si>
    <t>http://twitter.com/michelle8969/statuses/1521046400229851137</t>
  </si>
  <si>
    <t>1521046392990584832</t>
  </si>
  <si>
    <t>Mon May 02 08:38:14 +0000 2022</t>
  </si>
  <si>
    <t>http://twitter.com/nickraybaker/statuses/1521046392990584832</t>
  </si>
  <si>
    <t>1521046343069970433</t>
  </si>
  <si>
    <t>Mon May 02 08:38:02 +0000 2022</t>
  </si>
  <si>
    <t>http://twitter.com/fitzjimi/statuses/1521046343069970433</t>
  </si>
  <si>
    <t>1521046324203900928</t>
  </si>
  <si>
    <t>Mon May 02 08:37:58 +0000 2022</t>
  </si>
  <si>
    <t>http://twitter.com/GemmaBee9/statuses/1521046324203900928</t>
  </si>
  <si>
    <t>1521046316415082496</t>
  </si>
  <si>
    <t>AiberdeinQuine</t>
  </si>
  <si>
    <t>Mon May 02 08:37:56 +0000 2022</t>
  </si>
  <si>
    <t>2396747173</t>
  </si>
  <si>
    <t>http://pbs.twimg.com/profile_images/875395266467287041/vOkUTd_d_normal.jpg</t>
  </si>
  <si>
    <t>Bonny Scotland</t>
  </si>
  <si>
    <t>http://twitter.com/AiberdeinQuine/statuses/1521046316415082496</t>
  </si>
  <si>
    <t>1521046314968141826</t>
  </si>
  <si>
    <t>kickingeap</t>
  </si>
  <si>
    <t>@GuidoFawkes He’s a poor politician, that fought #Brexit &amp;amp; is still fighting that agenda! 
He’s not pleased to be endorsed by #Bliar, he’s at his best when he’s under the “grand perp’s” puppetry!</t>
  </si>
  <si>
    <t>Mon May 02 08:37:55 +0000 2022</t>
  </si>
  <si>
    <t>1519725359293509632</t>
  </si>
  <si>
    <t>1521045222930763779</t>
  </si>
  <si>
    <t>http://pbs.twimg.com/profile_images/1520041519155236868/L9WMtdIz_normal.jpg</t>
  </si>
  <si>
    <t>http://twitter.com/kickingeap/statuses/1521046314968141826</t>
  </si>
  <si>
    <t>{"hashtags":[{"text":"Brexit","indices":[49,56]},{"text":"Bliar","indices":[130,136]}],"symbols":[],"user_mentions":[{"screen_name":"GuidoFawkes","name":"Guido Fawkes","id":465973,"id_str":"465973","indices":[0,12]}],"urls":[]}</t>
  </si>
  <si>
    <t>1521046298136301569</t>
  </si>
  <si>
    <t>Mon May 02 08:37:51 +0000 2022</t>
  </si>
  <si>
    <t>http://twitter.com/fitzjimi/statuses/1521046298136301569</t>
  </si>
  <si>
    <t>1521046254574313473</t>
  </si>
  <si>
    <t>lithgaelark</t>
  </si>
  <si>
    <t>Mon May 02 08:37:41 +0000 2022</t>
  </si>
  <si>
    <t>54968430</t>
  </si>
  <si>
    <t>http://pbs.twimg.com/profile_images/643435286895136768/A_UG-kM3_normal.jpg</t>
  </si>
  <si>
    <t>Scotland, EU</t>
  </si>
  <si>
    <t>http://twitter.com/lithgaelark/statuses/1521046254574313473</t>
  </si>
  <si>
    <t>1521046251281821698</t>
  </si>
  <si>
    <t>EMStaffs</t>
  </si>
  <si>
    <t>Mon May 02 08:37:40 +0000 2022</t>
  </si>
  <si>
    <t>1011886419843928064</t>
  </si>
  <si>
    <t>http://pbs.twimg.com/profile_images/1208099051973070849/QHzRT-M8_normal.jpg</t>
  </si>
  <si>
    <t>Staffs  Stoke on Trent Newcastle u Lyme Leek Stone  Stafford Lichfield,</t>
  </si>
  <si>
    <t>http://twitter.com/EMStaffs/statuses/1521046251281821698</t>
  </si>
  <si>
    <t>1521046247112589313</t>
  </si>
  <si>
    <t>Mon May 02 08:37:39 +0000 2022</t>
  </si>
  <si>
    <t>http://twitter.com/fitzjimi/statuses/1521046247112589313</t>
  </si>
  <si>
    <t>1521046214518751232</t>
  </si>
  <si>
    <t>Mon May 02 08:37:31 +0000 2022</t>
  </si>
  <si>
    <t>http://twitter.com/lithgaelark/statuses/1521046214518751232</t>
  </si>
  <si>
    <t>1521046180347711488</t>
  </si>
  <si>
    <t>Mon May 02 08:37:23 +0000 2022</t>
  </si>
  <si>
    <t>http://twitter.com/fitzjimi/statuses/1521046180347711488</t>
  </si>
  <si>
    <t>1521046166699491328</t>
  </si>
  <si>
    <t>MimiJ9</t>
  </si>
  <si>
    <t>This is how it will happen. Trust Starmer, trust his front bench. #Brexit  https://t.co/IOlQgGYqzv</t>
  </si>
  <si>
    <t>Mon May 02 08:37:20 +0000 2022</t>
  </si>
  <si>
    <t>571141141</t>
  </si>
  <si>
    <t>http://pbs.twimg.com/profile_images/1483372656120541185/Vh4u1my__normal.jpg</t>
  </si>
  <si>
    <t>http://twitter.com/MimiJ9/statuses/1521046166699491328</t>
  </si>
  <si>
    <t>{"hashtags":[{"text":"Brexit","indices":[66,73]}],"symbols":[],"user_mentions":[],"urls":[{"url":"https://t.co/IOlQgGYqzv","expanded_url":"https://apple.news/A-MtYYX8SQ7ei3yDmBqmaow","display_url":"apple.news/A-MtYYX8SQ7ei3…","indices":[75,98]}]}</t>
  </si>
  <si>
    <t>1521046152279465987</t>
  </si>
  <si>
    <t>Mon May 02 08:37:17 +0000 2022</t>
  </si>
  <si>
    <t>http://twitter.com/fitzjimi/statuses/1521046152279465987</t>
  </si>
  <si>
    <t>1521046056129204224</t>
  </si>
  <si>
    <t>EdTruman3</t>
  </si>
  <si>
    <t>#BorisTheLiar has managed to nearly destroy farming &amp;amp; the fishing industry in the UK; while #Brexit has yet to be fully implemented.  I don't know if the fish are happy but the fishermen in the UK are NOT. https://t.co/ihcGJojLNP https://t.co/dZPTZMrgsN</t>
  </si>
  <si>
    <t>Mon May 02 08:36:54 +0000 2022</t>
  </si>
  <si>
    <t>1098589496466173954</t>
  </si>
  <si>
    <t>http://pbs.twimg.com/profile_images/1098591923277836288/1vfqEbYj_normal.png</t>
  </si>
  <si>
    <t>http://twitter.com/EdTruman3/statuses/1521046056129204224</t>
  </si>
  <si>
    <t>{"hashtags":[{"text":"BorisTheLiar","indices":[0,13]},{"text":"Brexit","indices":[96,103]}],"symbols":[],"user_mentions":[],"urls":[{"url":"https://t.co/ihcGJojLNP","expanded_url":"https://twitter.com/paintpot2022/status/1521005687773356033","display_url":"twitter.com/paintpot2022/s…","indices":[210,233]}],"media":[{"id":1521045972184404000,"id_str":"1521045972184403970","indices":[234,257],"media_url":"http://pbs.twimg.com/media/FRvXQLsXEAI_5TE.jpg","media_url_https":"https://pbs.twimg.com/media/FRvXQLsXEAI_5TE.jpg","url":"https://t.co/dZPTZMrgsN","display_url":"pic.twitter.com/dZPTZMrgsN","expanded_url":"https://twitter.com/EdTruman3/status/1521046056129204224/photo/1","type":"photo","sizes":{"thumb":{"w":150,"h":150,"resize":"crop"},"large":{"w":900,"h":506,"resize":"fit"},"medium":{"w":900,"h":506,"resize":"fit"},"small":{"w":680,"h":382,"resize":"fit"}}}]}</t>
  </si>
  <si>
    <t>1521046054191472640</t>
  </si>
  <si>
    <t>Canofworms11</t>
  </si>
  <si>
    <t>Mon May 02 08:36:53 +0000 2022</t>
  </si>
  <si>
    <t>1093611411824148480</t>
  </si>
  <si>
    <t>http://pbs.twimg.com/profile_images/1377639471450062861/Q4sICkdL_normal.jpg</t>
  </si>
  <si>
    <t>http://twitter.com/Canofworms11/statuses/1521046054191472640</t>
  </si>
  <si>
    <t>1521046000927920130</t>
  </si>
  <si>
    <t>gas2green</t>
  </si>
  <si>
    <t>You can tell how just how massively out of touch #Conservatives really are.
After #COVID19, #Brexit and multiple #Tory tax rises, they still actually believe most families have savings.
Delusional, cruel incompetence.
#ToriesOut5thMay
https://t.co/40Gfns9zSe</t>
  </si>
  <si>
    <t>Mon May 02 08:36:40 +0000 2022</t>
  </si>
  <si>
    <t>2601559130</t>
  </si>
  <si>
    <t>http://pbs.twimg.com/profile_images/484673178468249601/yE6pPscL_normal.png</t>
  </si>
  <si>
    <t>Preston, UK</t>
  </si>
  <si>
    <t>http://twitter.com/gas2green/statuses/1521046000927920130</t>
  </si>
  <si>
    <t>{"hashtags":[{"text":"Conservatives","indices":[49,63]},{"text":"COVID19","indices":[82,90]},{"text":"Brexit","indices":[92,99]},{"text":"Tory","indices":[113,118]},{"text":"ToriesOut5thMay","indices":[218,234]}],"symbols":[],"user_mentions":[],"urls":[{"url":"https://t.co/40Gfns9zSe","expanded_url":"https://www.independent.co.uk/news/business/news/cost-of-living-inflation-government-b2068668.html","display_url":"independent.co.uk/news/business/…","indices":[235,258]}]}</t>
  </si>
  <si>
    <t>1521045992677777408</t>
  </si>
  <si>
    <t>rockymaporak</t>
  </si>
  <si>
    <t>Mon May 02 08:36:38 +0000 2022</t>
  </si>
  <si>
    <t>3039102436</t>
  </si>
  <si>
    <t>http://pbs.twimg.com/profile_images/566961912500715520/1dZOFuRd_normal.jpeg</t>
  </si>
  <si>
    <t>http://twitter.com/rockymaporak/statuses/1521045992677777408</t>
  </si>
  <si>
    <t>1521045958431322112</t>
  </si>
  <si>
    <t>Mon May 02 08:36:30 +0000 2022</t>
  </si>
  <si>
    <t>http://twitter.com/Canofworms11/statuses/1521045958431322112</t>
  </si>
  <si>
    <t>1521045928588808192</t>
  </si>
  <si>
    <t>DenneyDesign</t>
  </si>
  <si>
    <t>Mon May 02 08:36:23 +0000 2022</t>
  </si>
  <si>
    <t>746613292592939008</t>
  </si>
  <si>
    <t>Peterborough, UK</t>
  </si>
  <si>
    <t>http://twitter.com/DenneyDesign/statuses/1521045928588808192</t>
  </si>
  <si>
    <t>1521045835605327872</t>
  </si>
  <si>
    <t>@sewnsew11 @GMB Unfortunately that is very true #JohnsonOut98 #ToriesPartiedWhilePeopleDied #ToriesOut #CostOfLivingCrisis #Brexit #COVID19 #NHS</t>
  </si>
  <si>
    <t>Mon May 02 08:36:01 +0000 2022</t>
  </si>
  <si>
    <t>461071030</t>
  </si>
  <si>
    <t>sewnsew11</t>
  </si>
  <si>
    <t>1521045350592692225</t>
  </si>
  <si>
    <t>http://twitter.com/PShootLFWW/statuses/1521045835605327872</t>
  </si>
  <si>
    <t>{"hashtags":[{"text":"JohnsonOut98","indices":[48,61]},{"text":"ToriesPartiedWhilePeopleDied","indices":[62,91]},{"text":"ToriesOut","indices":[92,102]},{"text":"CostOfLivingCrisis","indices":[103,122]},{"text":"Brexit","indices":[123,130]},{"text":"COVID19","indices":[131,139]},{"text":"NHS","indices":[140,144]}],"symbols":[],"user_mentions":[{"screen_name":"sewnsew11","name":"yarndog","id":461071030,"id_str":"461071030","indices":[0,10]},{"screen_name":"GMB","name":"Good Morning Britain","id":19424427,"id_str":"19424427","indices":[11,15]}],"urls":[]}</t>
  </si>
  <si>
    <t>1521045834951016448</t>
  </si>
  <si>
    <t>DavidWPoole73</t>
  </si>
  <si>
    <t>Listening to @bbc5live phone in about Bank Holidays. UK workers currently get fewer public holidays than the EU. Caller doesn’t understand why we need parity with EU ? Classic #Brexit voter - let’s have fewer rights, fewer holidays and work longer hours #BrexitReality #ToryLies</t>
  </si>
  <si>
    <t>1219743127</t>
  </si>
  <si>
    <t>http://pbs.twimg.com/profile_images/1017766359529328645/7yvF9hFe_normal.jpg</t>
  </si>
  <si>
    <t>From the Northern Powerhouse</t>
  </si>
  <si>
    <t>http://twitter.com/DavidWPoole73/statuses/1521045834951016448</t>
  </si>
  <si>
    <t>{"hashtags":[{"text":"Brexit","indices":[176,183]},{"text":"BrexitReality","indices":[254,268]},{"text":"ToryLies","indices":[269,278]}],"symbols":[],"user_mentions":[{"screen_name":"bbc5live","name":"BBC Radio 5 Live","id":7589572,"id_str":"7589572","indices":[13,22]}],"urls":[]}</t>
  </si>
  <si>
    <t>1521045719368572929</t>
  </si>
  <si>
    <t>ryanjean77</t>
  </si>
  <si>
    <t>Mon May 02 08:35:33 +0000 2022</t>
  </si>
  <si>
    <t>1505537469999165446</t>
  </si>
  <si>
    <t>http://pbs.twimg.com/profile_images/1505543969840803849/Rb7-NF8b_normal.jpg</t>
  </si>
  <si>
    <t>http://twitter.com/ryanjean77/statuses/1521045719368572929</t>
  </si>
  <si>
    <t>1521045712250847232</t>
  </si>
  <si>
    <t>DuncanClarke15</t>
  </si>
  <si>
    <t>Mon May 02 08:35:32 +0000 2022</t>
  </si>
  <si>
    <t>1041020378485796865</t>
  </si>
  <si>
    <t>http://twitter.com/DuncanClarke15/statuses/1521045712250847232</t>
  </si>
  <si>
    <t>1521045676838248449</t>
  </si>
  <si>
    <t>Mon May 02 08:35:23 +0000 2022</t>
  </si>
  <si>
    <t>http://twitter.com/ryanjean77/statuses/1521045676838248449</t>
  </si>
  <si>
    <t>1521045666910375938</t>
  </si>
  <si>
    <t>chesterwriter</t>
  </si>
  <si>
    <t>RT @PoliticsPollss: British expats living in Spain will be hit with a driving ban after the two countries failed to reach a post-Brexit agreement on UK driving licences. Has the British government let expats down? #Brexit</t>
  </si>
  <si>
    <t>Mon May 02 08:35:21 +0000 2022</t>
  </si>
  <si>
    <t>136261567</t>
  </si>
  <si>
    <t>http://pbs.twimg.com/profile_images/1194339147139485696/YynY5cFN_normal.jpg</t>
  </si>
  <si>
    <t>Chester</t>
  </si>
  <si>
    <t>http://twitter.com/chesterwriter/statuses/1521045666910375938</t>
  </si>
  <si>
    <t>{"hashtags":[],"symbols":[],"user_mentions":[{"screen_name":"PoliticsPollss","name":"Politics Polls","id":863849562695487500,"id_str":"863849562695487489","indices":[3,18]}],"urls":[]}</t>
  </si>
  <si>
    <t>1521045626284392449</t>
  </si>
  <si>
    <t>hexenbeest</t>
  </si>
  <si>
    <t>Mon May 02 08:35:11 +0000 2022</t>
  </si>
  <si>
    <t>869150618535043072</t>
  </si>
  <si>
    <t>http://pbs.twimg.com/profile_images/1115642678224486401/Q93HpfWz_normal.jpg</t>
  </si>
  <si>
    <t>http://twitter.com/hexenbeest/statuses/1521045626284392449</t>
  </si>
  <si>
    <t>1521045621628710916</t>
  </si>
  <si>
    <t>Mon May 02 08:35:10 +0000 2022</t>
  </si>
  <si>
    <t>http://twitter.com/ryanjean77/statuses/1521045621628710916</t>
  </si>
  <si>
    <t>1521045584739713024</t>
  </si>
  <si>
    <t>DarrenEwers</t>
  </si>
  <si>
    <t>France turned its back on the far right. Brexit Britain can too
Macron’s victory against Le Pen should give hope that the nationalist Leave narrative is not yet set in stone https://t.co/Z7pUmSzwmF #Brexit #BrexitDisaster #BrexitIsntWorking #politics #BorisJohnsonMustGo</t>
  </si>
  <si>
    <t>Mon May 02 08:35:01 +0000 2022</t>
  </si>
  <si>
    <t>3191025717</t>
  </si>
  <si>
    <t>&lt;a href="https://buffer.com" rel="nofollow"&gt;Buffer&lt;/a&gt;</t>
  </si>
  <si>
    <t>http://pbs.twimg.com/profile_images/631831155231322112/Z3cI13po_normal.jpg</t>
  </si>
  <si>
    <t>http://twitter.com/DarrenEwers/statuses/1521045584739713024</t>
  </si>
  <si>
    <t>{"hashtags":[{"text":"Brexit","indices":[198,205]},{"text":"BrexitDisaster","indices":[206,221]},{"text":"BrexitIsntWorking","indices":[222,240]},{"text":"politics","indices":[241,250]},{"text":"BorisJohnsonMustGo","indices":[251,270]}],"symbols":[],"user_mentions":[],"urls":[{"url":"https://t.co/Z7pUmSzwmF","expanded_url":"https://buff.ly/3Kxxksk","display_url":"buff.ly/3Kxxksk","indices":[174,197]}]}</t>
  </si>
  <si>
    <t>1521045571225759744</t>
  </si>
  <si>
    <t>KelsallDaniel</t>
  </si>
  <si>
    <t>Mon May 02 08:34:58 +0000 2022</t>
  </si>
  <si>
    <t>2932495499</t>
  </si>
  <si>
    <t>http://pbs.twimg.com/profile_images/1011498662848073728/y92RkQML_normal.jpg</t>
  </si>
  <si>
    <t>United Kingdom🏴󠁧󠁢󠁥󠁮󠁧󠁿</t>
  </si>
  <si>
    <t>http://twitter.com/KelsallDaniel/statuses/1521045571225759744</t>
  </si>
  <si>
    <t>1521045510483816453</t>
  </si>
  <si>
    <t>RashellTamina</t>
  </si>
  <si>
    <t>RT @ChrissieGrech: @markjenkinsonmp Ah...#Brexit. Aka #TheRussiaProject.</t>
  </si>
  <si>
    <t>Mon May 02 08:34:44 +0000 2022</t>
  </si>
  <si>
    <t>1207366582218952704</t>
  </si>
  <si>
    <t>http://pbs.twimg.com/profile_images/1208774702451298305/4NSLD5My_normal.jpg</t>
  </si>
  <si>
    <t>http://twitter.com/RashellTamina/statuses/1521045510483816453</t>
  </si>
  <si>
    <t>{"hashtags":[{"text":"Brexit","indices":[41,48]},{"text":"TheRussiaProject","indices":[54,71]}],"symbols":[],"user_mentions":[{"screen_name":"ChrissieGrech","name":"Chrissie🇺🇦 Grech (v)🇪🇺 #JohnsonOut","id":39496081,"id_str":"39496081","indices":[3,17]},{"screen_name":"markjenkinsonmp","name":"Mark Jenkinson MP","id":116228328,"id_str":"116228328","indices":[19,35]}],"urls":[]}</t>
  </si>
  <si>
    <t>1521045383018913792</t>
  </si>
  <si>
    <t>Mon May 02 08:34:13 +0000 2022</t>
  </si>
  <si>
    <t>http://twitter.com/Robby5211/statuses/1521045383018913792</t>
  </si>
  <si>
    <t>1521045359992131589</t>
  </si>
  <si>
    <t>DZANET6666</t>
  </si>
  <si>
    <t>Mon May 02 08:34:08 +0000 2022</t>
  </si>
  <si>
    <t>1148891763056271360</t>
  </si>
  <si>
    <t>http://pbs.twimg.com/profile_images/1499373910508322818/SkZsvKfx_normal.jpg</t>
  </si>
  <si>
    <t>http://twitter.com/DZANET6666/statuses/1521045359992131589</t>
  </si>
  <si>
    <t>1521045359463735298</t>
  </si>
  <si>
    <t>boxoffrogsmadas</t>
  </si>
  <si>
    <t>2757343023</t>
  </si>
  <si>
    <t>http://pbs.twimg.com/profile_images/1504922049281769479/U8x4B_qr_normal.jpg</t>
  </si>
  <si>
    <t>http://twitter.com/boxoffrogsmadas/statuses/1521045359463735298</t>
  </si>
  <si>
    <t>1521045358444527619</t>
  </si>
  <si>
    <t>AllanSkerratt</t>
  </si>
  <si>
    <t>RT @chrismayLU: Why are the #Tories in a tizzy about any @UKLabour - @LibDems #electoralpact? 
Because when over 300 #Brexit party candidates stood aside for #Tories in 2019, it resulted in a 'landslide'... the Tories know how effective a pact can be &amp;amp; they are worried (rightly!)</t>
  </si>
  <si>
    <t>Mon May 02 08:34:07 +0000 2022</t>
  </si>
  <si>
    <t>295790580</t>
  </si>
  <si>
    <t>http://pbs.twimg.com/profile_images/2551597183/xi8oz5syeq1du1g276ut_normal.jpeg</t>
  </si>
  <si>
    <t>Europe</t>
  </si>
  <si>
    <t>http://twitter.com/AllanSkerratt/statuses/1521045358444527619</t>
  </si>
  <si>
    <t>{"hashtags":[{"text":"Tories","indices":[28,35]},{"text":"electoralpact","indices":[78,92]},{"text":"Brexit","indices":[117,124]}],"symbols":[],"user_mentions":[{"screen_name":"chrismayLU","name":"Christopher May: Retired (now Emeritus) Professor","id":222032680,"id_str":"222032680","indices":[3,14]},{"screen_name":"UKLabour","name":"The Labour Party","id":14291684,"id_str":"14291684","indices":[57,66]},{"screen_name":"LibDems","name":"Liberal Democrats","id":5680622,"id_str":"5680622","indices":[69,77]}],"urls":[]}</t>
  </si>
  <si>
    <t>1521045293692817409</t>
  </si>
  <si>
    <t>edparnell</t>
  </si>
  <si>
    <t>Mon May 02 08:33:52 +0000 2022</t>
  </si>
  <si>
    <t>14308889</t>
  </si>
  <si>
    <t>http://pbs.twimg.com/profile_images/1501237475276214279/3HNkHdb5_normal.jpg</t>
  </si>
  <si>
    <t>http://twitter.com/edparnell/statuses/1521045293692817409</t>
  </si>
  <si>
    <t>1521045283437748225</t>
  </si>
  <si>
    <t>AnneMcEwan8</t>
  </si>
  <si>
    <t>RT @ElizeBiermann: The endless disaster of the #Brexit small-print that nobody bothered to read....
#ToriesUnfitToGovern 
#BrexitIsntWorking https://t.co/o0jIv8j4Vi</t>
  </si>
  <si>
    <t>Mon May 02 08:33:49 +0000 2022</t>
  </si>
  <si>
    <t>969630963473973248</t>
  </si>
  <si>
    <t>http://twitter.com/AnneMcEwan8/statuses/1521045283437748225</t>
  </si>
  <si>
    <t>{"hashtags":[{"text":"Brexit","indices":[47,54]},{"text":"ToriesUnfitToGovern","indices":[100,120]},{"text":"BrexitIsntWorking","indices":[122,140]}],"symbols":[],"user_mentions":[{"screen_name":"ElizeBiermann","name":"Elize Biermann","id":490196960,"id_str":"490196960","indices":[3,17]}],"urls":[]}</t>
  </si>
  <si>
    <t>1521045236314693632</t>
  </si>
  <si>
    <t>d5_rss</t>
  </si>
  <si>
    <t>Mon May 02 08:33:38 +0000 2022</t>
  </si>
  <si>
    <t>1217391623811805184</t>
  </si>
  <si>
    <t>http://pbs.twimg.com/profile_images/1307333286272868352/I5lIwe8W_normal.jpg</t>
  </si>
  <si>
    <t>http://twitter.com/d5_rss/statuses/1521045236314693632</t>
  </si>
  <si>
    <t>1521045236251770881</t>
  </si>
  <si>
    <t>http://twitter.com/LadyJules_Cath/statuses/1521045236251770881</t>
  </si>
  <si>
    <t>1521045215712272384</t>
  </si>
  <si>
    <t>Mon May 02 08:33:33 +0000 2022</t>
  </si>
  <si>
    <t>http://twitter.com/DenneyDesign/statuses/1521045215712272384</t>
  </si>
  <si>
    <t>1521045121160327168</t>
  </si>
  <si>
    <t>philnooney</t>
  </si>
  <si>
    <t>Mon May 02 08:33:11 +0000 2022</t>
  </si>
  <si>
    <t>991387860</t>
  </si>
  <si>
    <t>http://twitter.com/philnooney/statuses/1521045121160327168</t>
  </si>
  <si>
    <t>1521045036477128704</t>
  </si>
  <si>
    <t>ARHunter1980</t>
  </si>
  <si>
    <t>Mon May 02 08:32:51 +0000 2022</t>
  </si>
  <si>
    <t>732868968835391488</t>
  </si>
  <si>
    <t>http://pbs.twimg.com/profile_images/1491559116040507401/J8xk2J5u_normal.jpg</t>
  </si>
  <si>
    <t>http://twitter.com/ARHunter1980/statuses/1521045036477128704</t>
  </si>
  <si>
    <t>1521045030013657088</t>
  </si>
  <si>
    <t>amandajs11</t>
  </si>
  <si>
    <t>Mon May 02 08:32:49 +0000 2022</t>
  </si>
  <si>
    <t>2358413663</t>
  </si>
  <si>
    <t>http://pbs.twimg.com/profile_images/1247870702159609856/lsD09ZMg_normal.jpg</t>
  </si>
  <si>
    <t>England</t>
  </si>
  <si>
    <t>http://twitter.com/amandajs11/statuses/1521045030013657088</t>
  </si>
  <si>
    <t>1521045023034327042</t>
  </si>
  <si>
    <t>Mon May 02 08:32:47 +0000 2022</t>
  </si>
  <si>
    <t>http://twitter.com/LadyJules_Cath/statuses/1521045023034327042</t>
  </si>
  <si>
    <t>1521044999466594305</t>
  </si>
  <si>
    <t>PhilMorandi</t>
  </si>
  <si>
    <t>Mon May 02 08:32:42 +0000 2022</t>
  </si>
  <si>
    <t>168253175</t>
  </si>
  <si>
    <t>http://pbs.twimg.com/profile_images/1501162550897090561/cJmTmBZs_normal.jpg</t>
  </si>
  <si>
    <t>http://twitter.com/PhilMorandi/statuses/1521044999466594305</t>
  </si>
  <si>
    <t>1521044988070612992</t>
  </si>
  <si>
    <t>nellwriter16</t>
  </si>
  <si>
    <t>RT @DoreJayne: @Alexverycalm Yes. It's funny how they want to talk about #Brexit all of a sudden when no one else is.🙄</t>
  </si>
  <si>
    <t>Mon May 02 08:32:39 +0000 2022</t>
  </si>
  <si>
    <t>128877911</t>
  </si>
  <si>
    <t>http://pbs.twimg.com/profile_images/1468364160731951105/Yf4SIteT_normal.jpg</t>
  </si>
  <si>
    <t>http://twitter.com/nellwriter16/statuses/1521044988070612992</t>
  </si>
  <si>
    <t>{"hashtags":[{"text":"Brexit","indices":[73,80]}],"symbols":[],"user_mentions":[{"screen_name":"DoreJayne","name":"Jayne Phoenix #FBPE 🔶 #FBPPR #MakeVotesMatter","id":2517208410,"id_str":"2517208410","indices":[3,13]},{"screen_name":"Alexverycalm","name":"Sir 🤣Alex 🇪🇺European 🚩 🌹💙#FBNHS #JohnsonOut","id":1266340110158749700,"id_str":"1266340110158749696","indices":[15,28]}],"urls":[]}</t>
  </si>
  <si>
    <t>1521044981670195201</t>
  </si>
  <si>
    <t>BJ_Gardener</t>
  </si>
  <si>
    <t>Mon May 02 08:32:37 +0000 2022</t>
  </si>
  <si>
    <t>785154746818633728</t>
  </si>
  <si>
    <t>http://pbs.twimg.com/profile_images/1500038866098610177/EBTbyJDK_normal.jpg</t>
  </si>
  <si>
    <t>Plague Island</t>
  </si>
  <si>
    <t>http://twitter.com/BJ_Gardener/statuses/1521044981670195201</t>
  </si>
  <si>
    <t>1521044965459210241</t>
  </si>
  <si>
    <t>simonanddonna</t>
  </si>
  <si>
    <t>Mon May 02 08:32:34 +0000 2022</t>
  </si>
  <si>
    <t>775066990436311040</t>
  </si>
  <si>
    <t>http://pbs.twimg.com/profile_images/1489594580278333450/m5fqTMVQ_normal.jpg</t>
  </si>
  <si>
    <t>Wales, United Kingdom</t>
  </si>
  <si>
    <t>http://twitter.com/simonanddonna/statuses/1521044965459210241</t>
  </si>
  <si>
    <t>1521044960744808449</t>
  </si>
  <si>
    <t>Mon May 02 08:32:32 +0000 2022</t>
  </si>
  <si>
    <t>http://twitter.com/LadyJules_Cath/statuses/1521044960744808449</t>
  </si>
  <si>
    <t>1521044937370136577</t>
  </si>
  <si>
    <t>nomorequangos</t>
  </si>
  <si>
    <t>Mon May 02 08:32:27 +0000 2022</t>
  </si>
  <si>
    <t>2783010065</t>
  </si>
  <si>
    <t>http://pbs.twimg.com/profile_images/1213188999138942981/858KSAeI_normal.jpg</t>
  </si>
  <si>
    <t>Kilfenora, Co. Clare, Ireland.</t>
  </si>
  <si>
    <t>http://twitter.com/nomorequangos/statuses/1521044937370136577</t>
  </si>
  <si>
    <t>1521044933058207745</t>
  </si>
  <si>
    <t>mister_emery</t>
  </si>
  <si>
    <t>Single handedly the best thing I've seen on Twitter 
#Brexit #BrexitHasFailed #gammon #Spain https://t.co/rQGykJEcvY</t>
  </si>
  <si>
    <t>Mon May 02 08:32:26 +0000 2022</t>
  </si>
  <si>
    <t>1490639287330742272</t>
  </si>
  <si>
    <t>http://pbs.twimg.com/profile_images/1490639725631348738/eNgrGmxo_normal.jpg</t>
  </si>
  <si>
    <t>http://twitter.com/mister_emery/statuses/1521044933058207745</t>
  </si>
  <si>
    <t>{"hashtags":[{"text":"Brexit","indices":[54,61]},{"text":"BrexitHasFailed","indices":[62,78]},{"text":"gammon","indices":[79,86]},{"text":"Spain","indices":[87,93]}],"symbols":[],"user_mentions":[],"urls":[{"url":"https://t.co/rQGykJEcvY","expanded_url":"https://twitter.com/bmay/status/1521031266988171264","display_url":"twitter.com/bmay/status/15…","indices":[94,117]}]}</t>
  </si>
  <si>
    <t>1521044872505044993</t>
  </si>
  <si>
    <t>astro_trader</t>
  </si>
  <si>
    <t>Mon May 02 08:32:11 +0000 2022</t>
  </si>
  <si>
    <t>201204167</t>
  </si>
  <si>
    <t>http://pbs.twimg.com/profile_images/815281899539152898/PAU9ul-Q_normal.jpg</t>
  </si>
  <si>
    <t>http://twitter.com/astro_trader/statuses/1521044872505044993</t>
  </si>
  <si>
    <t>1521044843073519618</t>
  </si>
  <si>
    <t>RJonathan59</t>
  </si>
  <si>
    <t>Mon May 02 08:32:04 +0000 2022</t>
  </si>
  <si>
    <t>3148247117</t>
  </si>
  <si>
    <t>http://pbs.twimg.com/profile_images/1409870027529011204/BJxWX7-c_normal.jpg</t>
  </si>
  <si>
    <t>Armentières,Nord-Pas-de-Calais</t>
  </si>
  <si>
    <t>http://twitter.com/RJonathan59/statuses/1521044843073519618</t>
  </si>
  <si>
    <t>1521044759585996806</t>
  </si>
  <si>
    <t>Mariebe10098426</t>
  </si>
  <si>
    <t>Mon May 02 08:31:44 +0000 2022</t>
  </si>
  <si>
    <t>3935792619</t>
  </si>
  <si>
    <t>http://pbs.twimg.com/profile_images/1201598350803509248/rQcrBIbP_normal.jpg</t>
  </si>
  <si>
    <t xml:space="preserve">Cumbria. </t>
  </si>
  <si>
    <t>http://twitter.com/Mariebe10098426/statuses/1521044759585996806</t>
  </si>
  <si>
    <t>1521044757451096064</t>
  </si>
  <si>
    <t>LostinLauzerte</t>
  </si>
  <si>
    <t>391252953</t>
  </si>
  <si>
    <t>http://pbs.twimg.com/profile_images/1514492000522883073/Fc9Umasa_normal.jpg</t>
  </si>
  <si>
    <t>http://twitter.com/LostinLauzerte/statuses/1521044757451096064</t>
  </si>
  <si>
    <t>1521044728292253696</t>
  </si>
  <si>
    <t>Mon May 02 08:31:37 +0000 2022</t>
  </si>
  <si>
    <t>http://twitter.com/DavidHeadViews/statuses/1521044728292253696</t>
  </si>
  <si>
    <t>1521044709216509952</t>
  </si>
  <si>
    <t>Mon May 02 08:31:32 +0000 2022</t>
  </si>
  <si>
    <t>http://twitter.com/LadyJules_Cath/statuses/1521044709216509952</t>
  </si>
  <si>
    <t>1521044697057218561</t>
  </si>
  <si>
    <t>Uber_Rat</t>
  </si>
  <si>
    <t>Mon May 02 08:31:30 +0000 2022</t>
  </si>
  <si>
    <t>1477651074</t>
  </si>
  <si>
    <t>http://pbs.twimg.com/profile_images/3746147041/8294a42f465851e094b75dc569686281_normal.jpeg</t>
  </si>
  <si>
    <t>http://twitter.com/Uber_Rat/statuses/1521044697057218561</t>
  </si>
  <si>
    <t>1521044639628865540</t>
  </si>
  <si>
    <t>Mon May 02 08:31:16 +0000 2022</t>
  </si>
  <si>
    <t>http://twitter.com/LadyJules_Cath/statuses/1521044639628865540</t>
  </si>
  <si>
    <t>1521044529394200596</t>
  </si>
  <si>
    <t>ltd_education</t>
  </si>
  <si>
    <t>@johnredwood No John, that was #Brexit</t>
  </si>
  <si>
    <t>Mon May 02 08:30:50 +0000 2022</t>
  </si>
  <si>
    <t>1189176493668126720</t>
  </si>
  <si>
    <t>http://pbs.twimg.com/profile_images/1499403536907472899/SAbzM8Kz_normal.jpg</t>
  </si>
  <si>
    <t>England, Plague Island</t>
  </si>
  <si>
    <t>http://twitter.com/ltd_education/statuses/1521044529394200596</t>
  </si>
  <si>
    <t>{"hashtags":[{"text":"Brexit","indices":[31,38]}],"symbols":[],"user_mentions":[{"screen_name":"johnredwood","name":"John Redwood","id":93880122,"id_str":"93880122","indices":[0,12]}],"urls":[]}</t>
  </si>
  <si>
    <t>1521044451749203970</t>
  </si>
  <si>
    <t>shestews44</t>
  </si>
  <si>
    <t>Mon May 02 08:30:31 +0000 2022</t>
  </si>
  <si>
    <t>296173854</t>
  </si>
  <si>
    <t>http://pbs.twimg.com/profile_images/699529950651662336/398X2cgP_normal.jpg</t>
  </si>
  <si>
    <t>North Norfolk coast, England</t>
  </si>
  <si>
    <t>http://twitter.com/shestews44/statuses/1521044451749203970</t>
  </si>
  <si>
    <t>1521044438008610816</t>
  </si>
  <si>
    <t>OudeLady</t>
  </si>
  <si>
    <t>Mon May 02 08:30:28 +0000 2022</t>
  </si>
  <si>
    <t>1242424148812537856</t>
  </si>
  <si>
    <t>http://pbs.twimg.com/profile_images/1296862042813538304/E67HnanF_normal.jpg</t>
  </si>
  <si>
    <t>http://twitter.com/OudeLady/statuses/1521044438008610816</t>
  </si>
  <si>
    <t>1521044431666925570</t>
  </si>
  <si>
    <t>chrismayLU</t>
  </si>
  <si>
    <t>Why are the #Tories in a tizzy about any @UKLabour - @LibDems #electoralpact? 
Because when over 300 #Brexit party candidates stood aside for #Tories in 2019, it resulted in a 'landslide'... the Tories know how effective a pact can be &amp;amp; they are worried (rightly!)</t>
  </si>
  <si>
    <t>Mon May 02 08:30:26 +0000 2022</t>
  </si>
  <si>
    <t>222032680</t>
  </si>
  <si>
    <t>http://pbs.twimg.com/profile_images/1256647089095917569/vuWOtpEq_normal.jpg</t>
  </si>
  <si>
    <t>Lune Valley</t>
  </si>
  <si>
    <t>http://twitter.com/chrismayLU/statuses/1521044431666925570</t>
  </si>
  <si>
    <t>{"hashtags":[{"text":"Tories","indices":[12,19]},{"text":"electoralpact","indices":[62,76]},{"text":"Brexit","indices":[101,108]},{"text":"Tories","indices":[142,149]}],"symbols":[],"user_mentions":[{"screen_name":"UKLabour","name":"The Labour Party","id":14291684,"id_str":"14291684","indices":[41,50]},{"screen_name":"LibDems","name":"Liberal Democrats","id":5680622,"id_str":"5680622","indices":[53,61]}],"urls":[]}</t>
  </si>
  <si>
    <t>1521044416571621378</t>
  </si>
  <si>
    <t>Mon May 02 08:30:23 +0000 2022</t>
  </si>
  <si>
    <t>http://twitter.com/shestews44/statuses/1521044416571621378</t>
  </si>
  <si>
    <t>1521044414843568129</t>
  </si>
  <si>
    <t>catwoman1979</t>
  </si>
  <si>
    <t>RT @ronbuch: But but but, #brexiteers knew what they were voting for?  
The countries economy &amp;amp; international reputation has been destroyed by folk that couldn’t be bothered doing basic research or were desperate for their xenephobic #brexit https://t.co/Emf6xy15Ex</t>
  </si>
  <si>
    <t>Mon May 02 08:30:22 +0000 2022</t>
  </si>
  <si>
    <t>39721831</t>
  </si>
  <si>
    <t>http://pbs.twimg.com/profile_images/310443498/AAAA0064_normal.JPG</t>
  </si>
  <si>
    <t>Aberdeen, Scotland</t>
  </si>
  <si>
    <t>http://twitter.com/catwoman1979/statuses/1521044414843568129</t>
  </si>
  <si>
    <t>{"hashtags":[{"text":"brexiteers","indices":[26,37]}],"symbols":[],"user_mentions":[{"screen_name":"ronbuch","name":"Ron B","id":397105478,"id_str":"397105478","indices":[3,11]}],"urls":[]}</t>
  </si>
  <si>
    <t>1521044360049082371</t>
  </si>
  <si>
    <t>Mon May 02 08:30:09 +0000 2022</t>
  </si>
  <si>
    <t>http://twitter.com/shestews44/statuses/1521044360049082371</t>
  </si>
  <si>
    <t>1521044357440327682</t>
  </si>
  <si>
    <t>south_n_sunny</t>
  </si>
  <si>
    <t>#Brexit https://t.co/EFJ7piKUZy</t>
  </si>
  <si>
    <t>145619730</t>
  </si>
  <si>
    <t>http://pbs.twimg.com/profile_images/1480916254584102912/9I3Az75g_normal.jpg</t>
  </si>
  <si>
    <t>südlich</t>
  </si>
  <si>
    <t>http://twitter.com/south_n_sunny/statuses/1521044357440327682</t>
  </si>
  <si>
    <t>{"hashtags":[{"text":"Brexit","indices":[0,7]}],"symbols":[],"user_mentions":[],"urls":[{"url":"https://t.co/EFJ7piKUZy","expanded_url":"https://twitter.com/ukiswitheu/status/1520696151476953089","display_url":"twitter.com/ukiswitheu/sta…","indices":[8,31]}]}</t>
  </si>
  <si>
    <t>1521044343917887488</t>
  </si>
  <si>
    <t>RT @51TJK: Brit expats living in Spain hit with driving ban as post-Brexit talks fail - The Mirror
Everyday, a new #BrexitShambles…
Not the #Brexit they voted for? https://t.co/7XTAYPR1FW</t>
  </si>
  <si>
    <t>Mon May 02 08:30:05 +0000 2022</t>
  </si>
  <si>
    <t>http://twitter.com/51TJK/statuses/1521044343917887488</t>
  </si>
  <si>
    <t>{"hashtags":[{"text":"BrexitShambles","indices":[116,131]}],"symbols":[],"user_mentions":[{"screen_name":"51TJK","name":"Dr Tim Kinsella #FBPA #FBPE","id":747901327536173000,"id_str":"747901327536173057","indices":[3,9]}],"urls":[]}</t>
  </si>
  <si>
    <t>1521044342168858624</t>
  </si>
  <si>
    <t>http://twitter.com/OudeLady/statuses/1521044342168858624</t>
  </si>
  <si>
    <t>1521044284497178626</t>
  </si>
  <si>
    <t>SebFinknottle</t>
  </si>
  <si>
    <t>Mon May 02 08:29:51 +0000 2022</t>
  </si>
  <si>
    <t>1148623301864017920</t>
  </si>
  <si>
    <t>http://pbs.twimg.com/profile_images/1306320915035312130/oZRi-hii_normal.jpg</t>
  </si>
  <si>
    <t>http://twitter.com/SebFinknottle/statuses/1521044284497178626</t>
  </si>
  <si>
    <t>1521044280999043073</t>
  </si>
  <si>
    <t>Mon May 02 08:29:50 +0000 2022</t>
  </si>
  <si>
    <t>http://twitter.com/OudeLady/statuses/1521044280999043073</t>
  </si>
  <si>
    <t>1521044279896023040</t>
  </si>
  <si>
    <t>swanseagds</t>
  </si>
  <si>
    <t>@BrandonLewis How is #Brexit going?</t>
  </si>
  <si>
    <t>742100383913377792</t>
  </si>
  <si>
    <t>http://pbs.twimg.com/profile_images/790685827630333952/gs8gtjjm_normal.jpg</t>
  </si>
  <si>
    <t>http://twitter.com/swanseagds/statuses/1521044279896023040</t>
  </si>
  <si>
    <t>{"hashtags":[{"text":"Brexit","indices":[21,28]}],"symbols":[],"user_mentions":[{"screen_name":"BrandonLewis","name":"Brandon Lewis","id":16884084,"id_str":"16884084","indices":[0,13]}],"urls":[]}</t>
  </si>
  <si>
    <t>1521044279820439553</t>
  </si>
  <si>
    <t>Chris_Hix</t>
  </si>
  <si>
    <t>385953602</t>
  </si>
  <si>
    <t>http://pbs.twimg.com/profile_images/1266325372628545543/iPvaKOR3_normal.jpg</t>
  </si>
  <si>
    <t>Bristol, England</t>
  </si>
  <si>
    <t>http://twitter.com/Chris_Hix/statuses/1521044279820439553</t>
  </si>
  <si>
    <t>1521044221251174400</t>
  </si>
  <si>
    <t>KarlLasis</t>
  </si>
  <si>
    <t>RT @VerityKalcev: @justinbellinger @RoseVickers1 Is there a poll of how #UK would vote if electorate believed every vote would count as under #PR? (Guessing that previous MEP elections not really representative as too small a turnout/skewed by #Brexit). @BritainElects #FPTP #bbcnews #r4today</t>
  </si>
  <si>
    <t>Mon May 02 08:29:36 +0000 2022</t>
  </si>
  <si>
    <t>1306160342695907328</t>
  </si>
  <si>
    <t>http://pbs.twimg.com/profile_images/1480148599791042564/RRlo-_zF_normal.jpg</t>
  </si>
  <si>
    <t>http://twitter.com/KarlLasis/statuses/1521044221251174400</t>
  </si>
  <si>
    <t>{"hashtags":[{"text":"UK","indices":[72,75]}],"symbols":[],"user_mentions":[{"screen_name":"VerityKalcev","name":"Verity Kalcev","id":771611432,"id_str":"771611432","indices":[3,16]},{"screen_name":"justinbellinger","name":"Justin Bellinger","id":17805296,"id_str":"17805296","indices":[18,34]},{"screen_name":"RoseVickers1","name":"Sir Rose Vickers","id":594672201,"id_str":"594672201","indices":[35,48]}],"urls":[]}</t>
  </si>
  <si>
    <t>1521044219867054080</t>
  </si>
  <si>
    <t>100_maincove</t>
  </si>
  <si>
    <t>@BasementShaxx 
A good joke is a thing of a beauty. Thanks, ‘Mark from Northampton’.
Brexit will always be a betrayal and Farage a traitor. To be the butt of the jokes is the very least this Putin stooge deserves
#farage #brexit #putin https://t.co/L729DBbiN9</t>
  </si>
  <si>
    <t>21866665</t>
  </si>
  <si>
    <t>BasementShaxx</t>
  </si>
  <si>
    <t>1345714405078683648</t>
  </si>
  <si>
    <t>http://pbs.twimg.com/profile_images/1434443984303181824/TMfnHe2r_normal.jpg</t>
  </si>
  <si>
    <t>http://twitter.com/100_maincove/statuses/1521044219867054080</t>
  </si>
  <si>
    <t>{"hashtags":[{"text":"farage","indices":[216,223]},{"text":"brexit","indices":[224,231]},{"text":"putin","indices":[232,238]}],"symbols":[],"user_mentions":[{"screen_name":"BasementShaxx","name":"Mark","id":21866665,"id_str":"21866665","indices":[0,14]}],"urls":[],"media":[{"id":1521044206222983200,"id_str":"1521044206222983168","indices":[239,262],"media_url":"http://pbs.twimg.com/media/FRvVpY-WQAA5TXB.jpg","media_url_https":"https://pbs.twimg.com/media/FRvVpY-WQAA5TXB.jpg","url":"https://t.co/L729DBbiN9","display_url":"pic.twitter.com/L729DBbiN9","expanded_url":"https://twitter.com/100_maincove/status/1521044219867054080/photo/1","type":"photo","sizes":{"medium":{"w":784,"h":538,"resize":"fit"},"thumb":{"w":150,"h":150,"resize":"crop"},"large":{"w":784,"h":538,"resize":"fit"},"small":{"w":680,"h":467,"resize":"fit"}}}]}</t>
  </si>
  <si>
    <t>1521044153555107840</t>
  </si>
  <si>
    <t>JWils60</t>
  </si>
  <si>
    <t>Mon May 02 08:29:20 +0000 2022</t>
  </si>
  <si>
    <t>209289568</t>
  </si>
  <si>
    <t>http://pbs.twimg.com/profile_images/1156914863148556288/yk9ilRnx_normal.jpg</t>
  </si>
  <si>
    <t>http://twitter.com/JWils60/statuses/1521044153555107840</t>
  </si>
  <si>
    <t>1521043953793052672</t>
  </si>
  <si>
    <t>Louisamcdonal12</t>
  </si>
  <si>
    <t>Mon May 02 08:28:32 +0000 2022</t>
  </si>
  <si>
    <t>728852973938483201</t>
  </si>
  <si>
    <t>http://pbs.twimg.com/profile_images/1425966337873092613/0LblHghu_normal.jpg</t>
  </si>
  <si>
    <t>Kingston upon Thames, London</t>
  </si>
  <si>
    <t>http://twitter.com/Louisamcdonal12/statuses/1521043953793052672</t>
  </si>
  <si>
    <t>1521043892799520768</t>
  </si>
  <si>
    <t>reesprescribe</t>
  </si>
  <si>
    <t>Mon May 02 08:28:18 +0000 2022</t>
  </si>
  <si>
    <t>986956762069774337</t>
  </si>
  <si>
    <t>http://pbs.twimg.com/profile_images/988741477550436352/eAE3suwB_normal.jpg</t>
  </si>
  <si>
    <t>http://twitter.com/reesprescribe/statuses/1521043892799520768</t>
  </si>
  <si>
    <t>1521043781000306690</t>
  </si>
  <si>
    <t>frostyinfinity</t>
  </si>
  <si>
    <t>Mon May 02 08:27:51 +0000 2022</t>
  </si>
  <si>
    <t>252182091</t>
  </si>
  <si>
    <t>http://pbs.twimg.com/profile_images/491957614222512129/E_-TCXpI_normal.jpeg</t>
  </si>
  <si>
    <t>http://twitter.com/frostyinfinity/statuses/1521043781000306690</t>
  </si>
  <si>
    <t>1521043667544334336</t>
  </si>
  <si>
    <t>LoveLife_UK</t>
  </si>
  <si>
    <t>@ukbigdaddyian They're anything but united, the Russian invasion of Ukraine has bought many EU divisions into the spotlight. And will Vonderleyen et al remain unelected? Thank christ for #Brexit</t>
  </si>
  <si>
    <t>Mon May 02 08:27:24 +0000 2022</t>
  </si>
  <si>
    <t>3109914687</t>
  </si>
  <si>
    <t>ukbigdaddyian</t>
  </si>
  <si>
    <t>2955030058</t>
  </si>
  <si>
    <t>1521041072759136257</t>
  </si>
  <si>
    <t>http://pbs.twimg.com/profile_images/1517579013857947649/JYJqq2q1_normal.jpg</t>
  </si>
  <si>
    <t>http://twitter.com/LoveLife_UK/statuses/1521043667544334336</t>
  </si>
  <si>
    <t>{"hashtags":[{"text":"Brexit","indices":[187,194]}],"symbols":[],"user_mentions":[{"screen_name":"ukbigdaddyian","name":"Ian","id":3109914687,"id_str":"3109914687","indices":[0,14]}],"urls":[]}</t>
  </si>
  <si>
    <t>1521043659432632322</t>
  </si>
  <si>
    <t>YBrexiteer</t>
  </si>
  <si>
    <t>Mon May 02 08:27:22 +0000 2022</t>
  </si>
  <si>
    <t>1170712339596894209</t>
  </si>
  <si>
    <t>http://pbs.twimg.com/profile_images/1170713497526816773/m16yBYLU_normal.jpg</t>
  </si>
  <si>
    <t>York, England</t>
  </si>
  <si>
    <t>http://twitter.com/YBrexiteer/statuses/1521043659432632322</t>
  </si>
  <si>
    <t>1521043648481267714</t>
  </si>
  <si>
    <t>@markjenkinsonmp And how goes #Brexit?</t>
  </si>
  <si>
    <t>Mon May 02 08:27:20 +0000 2022</t>
  </si>
  <si>
    <t>http://twitter.com/swanseagds/statuses/1521043648481267714</t>
  </si>
  <si>
    <t>{"hashtags":[{"text":"Brexit","indices":[30,37]}],"symbols":[],"user_mentions":[{"screen_name":"markjenkinsonmp","name":"Mark Jenkinson MP","id":116228328,"id_str":"116228328","indices":[0,16]}],"urls":[]}</t>
  </si>
  <si>
    <t>1521043642173083648</t>
  </si>
  <si>
    <t>swishthedragon</t>
  </si>
  <si>
    <t>Mon May 02 08:27:18 +0000 2022</t>
  </si>
  <si>
    <t>928608315919208448</t>
  </si>
  <si>
    <t>http://pbs.twimg.com/profile_images/1345696967234613248/C4SiwHMh_normal.jpg</t>
  </si>
  <si>
    <t>Hautes-Pyrénées, Midi-Pyrénées</t>
  </si>
  <si>
    <t>http://twitter.com/swishthedragon/statuses/1521043642173083648</t>
  </si>
  <si>
    <t>1521043594676736001</t>
  </si>
  <si>
    <t>revscott6</t>
  </si>
  <si>
    <t>Mon May 02 08:27:07 +0000 2022</t>
  </si>
  <si>
    <t>1118989263188692994</t>
  </si>
  <si>
    <t>http://pbs.twimg.com/profile_images/1345417106167357447/m323Pjzm_normal.jpg</t>
  </si>
  <si>
    <t>Stirling, Scotland</t>
  </si>
  <si>
    <t>http://twitter.com/revscott6/statuses/1521043594676736001</t>
  </si>
  <si>
    <t>1521043575101968384</t>
  </si>
  <si>
    <t>TaskerDavid</t>
  </si>
  <si>
    <t>Not that I did before. He has too much baggage, vis a vis supporting Corbyn's campaign for PM, colluding with the EU in undermining our Government's negotiations, trying to reverse the people's #Brexit decision in rogue Parliament etc, etc! https://t.co/veqZXDFyXf</t>
  </si>
  <si>
    <t>Mon May 02 08:27:02 +0000 2022</t>
  </si>
  <si>
    <t>367434599</t>
  </si>
  <si>
    <t>http://twitter.com/TaskerDavid/statuses/1521043575101968384</t>
  </si>
  <si>
    <t>{"hashtags":[{"text":"Brexit","indices":[194,201]}],"symbols":[],"user_mentions":[],"urls":[{"url":"https://t.co/veqZXDFyXf","expanded_url":"https://twitter.com/rodbishop15/status/1520869308460589056","display_url":"twitter.com/rodbishop15/st…","indices":[241,264]}]}</t>
  </si>
  <si>
    <t>1521043538267586561</t>
  </si>
  <si>
    <t>SuePayn40820522</t>
  </si>
  <si>
    <t>Mon May 02 08:26:53 +0000 2022</t>
  </si>
  <si>
    <t>1340605339968937984</t>
  </si>
  <si>
    <t>http://twitter.com/SuePayn40820522/statuses/1521043538267586561</t>
  </si>
  <si>
    <t>1521043523352600576</t>
  </si>
  <si>
    <t>ChrissieGrech</t>
  </si>
  <si>
    <t>@markjenkinsonmp Ah...#Brexit. Aka #TheRussiaProject.</t>
  </si>
  <si>
    <t>Mon May 02 08:26:50 +0000 2022</t>
  </si>
  <si>
    <t>39496081</t>
  </si>
  <si>
    <t>http://pbs.twimg.com/profile_images/1441424933465116672/Ik2hcfzL_normal.png</t>
  </si>
  <si>
    <t>South East London, England</t>
  </si>
  <si>
    <t>http://twitter.com/ChrissieGrech/statuses/1521043523352600576</t>
  </si>
  <si>
    <t>{"hashtags":[{"text":"Brexit","indices":[22,29]},{"text":"TheRussiaProject","indices":[35,52]}],"symbols":[],"user_mentions":[{"screen_name":"markjenkinsonmp","name":"Mark Jenkinson MP","id":116228328,"id_str":"116228328","indices":[0,16]}],"urls":[]}</t>
  </si>
  <si>
    <t>1521043511948288000</t>
  </si>
  <si>
    <t>Sunpoches</t>
  </si>
  <si>
    <t>RT @rec777777: @Femi_Sorry #Brexit was PR.
Respect our democracy 
The country doesn't want a coalition of losers.</t>
  </si>
  <si>
    <t>Mon May 02 08:26:47 +0000 2022</t>
  </si>
  <si>
    <t>50272660</t>
  </si>
  <si>
    <t>http://pbs.twimg.com/profile_images/1080538304326651904/oUAO-HX5_normal.jpg</t>
  </si>
  <si>
    <t>http://twitter.com/Sunpoches/statuses/1521043511948288000</t>
  </si>
  <si>
    <t>{"hashtags":[{"text":"Brexit","indices":[27,34]}],"symbols":[],"user_mentions":[{"screen_name":"rec777777","name":"REC","id":812295444604866600,"id_str":"812295444604866560","indices":[3,13]},{"screen_name":"Femi_Sorry","name":"Femi","id":234694571,"id_str":"234694571","indices":[15,26]}],"urls":[]}</t>
  </si>
  <si>
    <t>1521043490578259970</t>
  </si>
  <si>
    <t>christine998</t>
  </si>
  <si>
    <t>Mon May 02 08:26:42 +0000 2022</t>
  </si>
  <si>
    <t>303884578</t>
  </si>
  <si>
    <t>http://pbs.twimg.com/profile_images/1454719300774813698/yfWflkCS_normal.jpg</t>
  </si>
  <si>
    <t>scotland</t>
  </si>
  <si>
    <t>http://twitter.com/christine998/statuses/1521043490578259970</t>
  </si>
  <si>
    <t>1521043439856586752</t>
  </si>
  <si>
    <t>GroupeID_FR</t>
  </si>
  <si>
    <t>Mon May 02 08:26:30 +0000 2022</t>
  </si>
  <si>
    <t>4782667416</t>
  </si>
  <si>
    <t>http://pbs.twimg.com/profile_images/1146458901178724352/job4U1Rb_normal.jpg</t>
  </si>
  <si>
    <t>Strasbourg, France</t>
  </si>
  <si>
    <t>http://twitter.com/GroupeID_FR/statuses/1521043439856586752</t>
  </si>
  <si>
    <t>1521043413746995201</t>
  </si>
  <si>
    <t>@Masios3 @capitanotonz @NickWebb73 @GyllKing There are lots of #Brexit voting Brits illegally living in Spain, France.</t>
  </si>
  <si>
    <t>Mon May 02 08:26:24 +0000 2022</t>
  </si>
  <si>
    <t>1521042061805469697</t>
  </si>
  <si>
    <t>http://twitter.com/jezobrien/statuses/1521043413746995201</t>
  </si>
  <si>
    <t>{"hashtags":[{"text":"Brexit","indices":[63,70]}],"symbols":[],"user_mentions":[{"screen_name":"Masios3","name":"Masios","id":1076153101973971000,"id_str":"1076153101973970944","indices":[0,8]},{"screen_name":"capitanotonz","name":"anthony cummins","id":61614170,"id_str":"61614170","indices":[9,22]},{"screen_name":"NickWebb73","name":"Nick Webb","id":1568866248,"id_str":"1568866248","indices":[23,34]},{"screen_name":"GyllKing","name":"Lady Sir Gyll King","id":1292863282165026800,"id_str":"1292863282165026817","indices":[35,44]}],"urls":[]}</t>
  </si>
  <si>
    <t>1521043396969865217</t>
  </si>
  <si>
    <t>Wspock</t>
  </si>
  <si>
    <t>Mon May 02 08:26:20 +0000 2022</t>
  </si>
  <si>
    <t>251814922</t>
  </si>
  <si>
    <t>http://pbs.twimg.com/profile_images/1253639440217649158/uYX7bmvZ_normal.jpg</t>
  </si>
  <si>
    <t>http://twitter.com/Wspock/statuses/1521043396969865217</t>
  </si>
  <si>
    <t>1521043368884772866</t>
  </si>
  <si>
    <t>Mon May 02 08:26:13 +0000 2022</t>
  </si>
  <si>
    <t>http://twitter.com/51TJK/statuses/1521043368884772866</t>
  </si>
  <si>
    <t>1521043357199384576</t>
  </si>
  <si>
    <t>RolandButter13</t>
  </si>
  <si>
    <t>Thursday will see another base rate rise, probably 0.25%.
Brexit has created inflationary pressures with restricted trade &amp;amp; reduced labour force.
UK will go into recession due to Brexit fallout.
#Brexit</t>
  </si>
  <si>
    <t>Mon May 02 08:26:10 +0000 2022</t>
  </si>
  <si>
    <t>1362706800517201926</t>
  </si>
  <si>
    <t>http://twitter.com/RolandButter13/statuses/1521043357199384576</t>
  </si>
  <si>
    <t>{"hashtags":[{"text":"Brexit","indices":[202,209]}],"symbols":[],"user_mentions":[],"urls":[]}</t>
  </si>
  <si>
    <t>1521043209023012865</t>
  </si>
  <si>
    <t>KlausBlatter</t>
  </si>
  <si>
    <t>Thank Cod from #brexit - it might have been 201! https://t.co/9pmAGZwNas</t>
  </si>
  <si>
    <t>Mon May 02 08:25:35 +0000 2022</t>
  </si>
  <si>
    <t>1148556784208138241</t>
  </si>
  <si>
    <t>http://pbs.twimg.com/profile_images/1148558490681729024/WmZZCGaQ_normal.jpg</t>
  </si>
  <si>
    <t>Dortmund, Germany</t>
  </si>
  <si>
    <t>http://twitter.com/KlausBlatter/statuses/1521043209023012865</t>
  </si>
  <si>
    <t>{"hashtags":[{"text":"brexit","indices":[15,22]}],"symbols":[],"user_mentions":[],"urls":[{"url":"https://t.co/9pmAGZwNas","expanded_url":"https://twitter.com/nigel_farage/status/1521013662844178432","display_url":"twitter.com/nigel_farage/s…","indices":[49,72]}]}</t>
  </si>
  <si>
    <t>1521043163883913216</t>
  </si>
  <si>
    <t>JJSum</t>
  </si>
  <si>
    <t>RT @LizWebsterLD: Thanks to @BylineFest for a fantastic time, if only we could do this every weekend! 
Thoroughly enjoyed a lively discussion with @AdamPosen @jdportes @jonlis1 about #Brexit https://t.co/yUscwHnanQ</t>
  </si>
  <si>
    <t>Mon May 02 08:25:24 +0000 2022</t>
  </si>
  <si>
    <t>42193610</t>
  </si>
  <si>
    <t>http://pbs.twimg.com/profile_images/1364530519392854017/jE-AYQ8k_normal.jpg</t>
  </si>
  <si>
    <t>http://twitter.com/JJSum/statuses/1521043163883913216</t>
  </si>
  <si>
    <t>{"hashtags":[],"symbols":[],"user_mentions":[{"screen_name":"LizWebsterLD","name":"Liz Webster","id":489377813,"id_str":"489377813","indices":[3,16]},{"screen_name":"BylineFest","name":"Byline Festival","id":778549854062669800,"id_str":"778549854062669824","indices":[28,39]}],"urls":[]}</t>
  </si>
  <si>
    <t>1521043114919669760</t>
  </si>
  <si>
    <t>fbtoast</t>
  </si>
  <si>
    <t>Mon May 02 08:25:12 +0000 2022</t>
  </si>
  <si>
    <t>19701496</t>
  </si>
  <si>
    <t>http://pbs.twimg.com/profile_images/3088039672/f1a872b52aa49016844991fe7d6abeff_normal.jpeg</t>
  </si>
  <si>
    <t>http://twitter.com/fbtoast/statuses/1521043114919669760</t>
  </si>
  <si>
    <t>1521043105876746240</t>
  </si>
  <si>
    <t>EviePop2020</t>
  </si>
  <si>
    <t>Mon May 02 08:25:10 +0000 2022</t>
  </si>
  <si>
    <t>1106773230</t>
  </si>
  <si>
    <t>http://pbs.twimg.com/profile_images/1497321727738761223/y2hUhTjh_normal.jpg</t>
  </si>
  <si>
    <t>http://twitter.com/EviePop2020/statuses/1521043105876746240</t>
  </si>
  <si>
    <t>1521043104123478016</t>
  </si>
  <si>
    <t>BubblegumYeti</t>
  </si>
  <si>
    <t>@Nigel_Farage @pritipatel Didn't #Brexit solve this?</t>
  </si>
  <si>
    <t>19017675</t>
  </si>
  <si>
    <t>Nigel_Farage</t>
  </si>
  <si>
    <t>65853465</t>
  </si>
  <si>
    <t>1521033621007646721</t>
  </si>
  <si>
    <t>http://pbs.twimg.com/profile_images/1129644950113722368/vdDV8bjb_normal.png</t>
  </si>
  <si>
    <t>Earth</t>
  </si>
  <si>
    <t>http://twitter.com/BubblegumYeti/statuses/1521043104123478016</t>
  </si>
  <si>
    <t>{"hashtags":[{"text":"Brexit","indices":[33,40]}],"symbols":[],"user_mentions":[{"screen_name":"Nigel_Farage","name":"Nigel Farage","id":19017675,"id_str":"19017675","indices":[0,13]},{"screen_name":"pritipatel","name":"Priti Patel","id":61660254,"id_str":"61660254","indices":[14,25]}],"urls":[]}</t>
  </si>
  <si>
    <t>1521043093683900417</t>
  </si>
  <si>
    <t>JonBF23</t>
  </si>
  <si>
    <t>Mon May 02 08:25:07 +0000 2022</t>
  </si>
  <si>
    <t>267871257</t>
  </si>
  <si>
    <t>http://pbs.twimg.com/profile_images/1335243297036570624/slkSETbf_normal.jpg</t>
  </si>
  <si>
    <t>http://twitter.com/JonBF23/statuses/1521043093683900417</t>
  </si>
  <si>
    <t>1521043056635654144</t>
  </si>
  <si>
    <t>Mon May 02 08:24:58 +0000 2022</t>
  </si>
  <si>
    <t>http://twitter.com/d5_rss/statuses/1521043056635654144</t>
  </si>
  <si>
    <t>1521042911315562496</t>
  </si>
  <si>
    <t>jennystew63</t>
  </si>
  <si>
    <t>Mon May 02 08:24:24 +0000 2022</t>
  </si>
  <si>
    <t>1053969571760300035</t>
  </si>
  <si>
    <t>http://pbs.twimg.com/profile_images/1053979747087278081/zk9Tc6uS_normal.jpg</t>
  </si>
  <si>
    <t>http://twitter.com/jennystew63/statuses/1521042911315562496</t>
  </si>
  <si>
    <t>1521042904290103297</t>
  </si>
  <si>
    <t>lizahill_hill</t>
  </si>
  <si>
    <t>Mon May 02 08:24:22 +0000 2022</t>
  </si>
  <si>
    <t>2781105215</t>
  </si>
  <si>
    <t>http://pbs.twimg.com/profile_images/565444578485235712/Cd_6H5Ek_normal.jpeg</t>
  </si>
  <si>
    <t>ayrshire</t>
  </si>
  <si>
    <t>http://twitter.com/lizahill_hill/statuses/1521042904290103297</t>
  </si>
  <si>
    <t>1521042894479675393</t>
  </si>
  <si>
    <t>Mon May 02 08:24:20 +0000 2022</t>
  </si>
  <si>
    <t>http://twitter.com/jennystew63/statuses/1521042894479675393</t>
  </si>
  <si>
    <t>1521042886569369600</t>
  </si>
  <si>
    <t>Mon May 02 08:24:18 +0000 2022</t>
  </si>
  <si>
    <t>http://twitter.com/jennystew63/statuses/1521042886569369600</t>
  </si>
  <si>
    <t>1521042832055844865</t>
  </si>
  <si>
    <t>VEverettmfl</t>
  </si>
  <si>
    <t>Mon May 02 08:24:05 +0000 2022</t>
  </si>
  <si>
    <t>365336458</t>
  </si>
  <si>
    <t>http://pbs.twimg.com/profile_images/1522021238/veverettmfl_normal.jpg</t>
  </si>
  <si>
    <t>http://twitter.com/VEverettmfl/statuses/1521042832055844865</t>
  </si>
  <si>
    <t>1521042815400222721</t>
  </si>
  <si>
    <t>Sam_Fellowes</t>
  </si>
  <si>
    <t>Mon May 02 08:24:01 +0000 2022</t>
  </si>
  <si>
    <t>165062818</t>
  </si>
  <si>
    <t>http://pbs.twimg.com/profile_images/906587146139705346/dPwqVGz5_normal.jpg</t>
  </si>
  <si>
    <t>LDN</t>
  </si>
  <si>
    <t>http://twitter.com/Sam_Fellowes/statuses/1521042815400222721</t>
  </si>
  <si>
    <t>1521042784018391040</t>
  </si>
  <si>
    <t>Lorrainemorich2</t>
  </si>
  <si>
    <t>Mon May 02 08:23:53 +0000 2022</t>
  </si>
  <si>
    <t>1482623209187024897</t>
  </si>
  <si>
    <t>http://twitter.com/Lorrainemorich2/statuses/1521042784018391040</t>
  </si>
  <si>
    <t>1521042738195611648</t>
  </si>
  <si>
    <t>cathandfearne</t>
  </si>
  <si>
    <t>Mon May 02 08:23:43 +0000 2022</t>
  </si>
  <si>
    <t>2999478886</t>
  </si>
  <si>
    <t>http://pbs.twimg.com/profile_images/1510904760504930308/2p_2ivD5_normal.jpg</t>
  </si>
  <si>
    <t>http://twitter.com/cathandfearne/statuses/1521042738195611648</t>
  </si>
  <si>
    <t>1521042507857022976</t>
  </si>
  <si>
    <t>AndrewJamesMM</t>
  </si>
  <si>
    <t>@BillEdmunds4 @tonysupport4biz It will be a full fat, British made effort, without any EU interference. #Brexit</t>
  </si>
  <si>
    <t>Mon May 02 08:22:48 +0000 2022</t>
  </si>
  <si>
    <t>1467899563939926016</t>
  </si>
  <si>
    <t>BillEdmunds4</t>
  </si>
  <si>
    <t>1318267113296056320</t>
  </si>
  <si>
    <t>1521006636017631240</t>
  </si>
  <si>
    <t>http://pbs.twimg.com/profile_images/1418457134568722432/oM0Ug-as_normal.jpg</t>
  </si>
  <si>
    <t>http://twitter.com/AndrewJamesMM/statuses/1521042507857022976</t>
  </si>
  <si>
    <t>{"hashtags":[{"text":"Brexit","indices":[104,111]}],"symbols":[],"user_mentions":[{"screen_name":"BillEdmunds4","name":"Bill Edmunds","id":1467899563939926000,"id_str":"1467899563939926016","indices":[0,13]},{"screen_name":"tonysupport4biz","name":"tony cole","id":3225992597,"id_str":"3225992597","indices":[14,30]}],"urls":[]}</t>
  </si>
  <si>
    <t>1521042475414077442</t>
  </si>
  <si>
    <t>joanna_nicolson</t>
  </si>
  <si>
    <t>Mon May 02 08:22:40 +0000 2022</t>
  </si>
  <si>
    <t>1425408687246610441</t>
  </si>
  <si>
    <t>http://pbs.twimg.com/profile_images/1448704230244630534/Q2k-GKgw_normal.jpg</t>
  </si>
  <si>
    <t>http://twitter.com/joanna_nicolson/statuses/1521042475414077442</t>
  </si>
  <si>
    <t>1521042465804980228</t>
  </si>
  <si>
    <t>HistoricalMe99</t>
  </si>
  <si>
    <t>Mon May 02 08:22:38 +0000 2022</t>
  </si>
  <si>
    <t>1187278669917704193</t>
  </si>
  <si>
    <t>http://pbs.twimg.com/profile_images/1187278815707455488/JaDOkt01_normal.jpg</t>
  </si>
  <si>
    <t>http://twitter.com/HistoricalMe99/statuses/1521042465804980228</t>
  </si>
  <si>
    <t>1521042443931688960</t>
  </si>
  <si>
    <t>ChrisDomba</t>
  </si>
  <si>
    <t>Mon May 02 08:22:32 +0000 2022</t>
  </si>
  <si>
    <t>2216536586</t>
  </si>
  <si>
    <t>http://pbs.twimg.com/profile_images/1283133456248197123/f1KI-Yno_normal.jpg</t>
  </si>
  <si>
    <t>Melun, France</t>
  </si>
  <si>
    <t>http://twitter.com/ChrisDomba/statuses/1521042443931688960</t>
  </si>
  <si>
    <t>1521042414730940416</t>
  </si>
  <si>
    <t>glospunkgirl</t>
  </si>
  <si>
    <t>Mon May 02 08:22:25 +0000 2022</t>
  </si>
  <si>
    <t>185798837</t>
  </si>
  <si>
    <t>http://pbs.twimg.com/profile_images/1335702970/pg_normal.jpg</t>
  </si>
  <si>
    <t>Deep dark gloucestershire</t>
  </si>
  <si>
    <t>http://twitter.com/glospunkgirl/statuses/1521042414730940416</t>
  </si>
  <si>
    <t>1521042414504394752</t>
  </si>
  <si>
    <t>grahamnaylor</t>
  </si>
  <si>
    <t>17726179</t>
  </si>
  <si>
    <t>http://pbs.twimg.com/profile_images/584322269226336256/-IVjZOqp_normal.jpg</t>
  </si>
  <si>
    <t>Planet Earth</t>
  </si>
  <si>
    <t>http://twitter.com/grahamnaylor/statuses/1521042414504394752</t>
  </si>
  <si>
    <t>1521042368874622978</t>
  </si>
  <si>
    <t>nirobe96</t>
  </si>
  <si>
    <t>Mon May 02 08:22:14 +0000 2022</t>
  </si>
  <si>
    <t>73879972</t>
  </si>
  <si>
    <t>http://pbs.twimg.com/profile_images/1165331170504167424/0lnnRBYK_normal.jpg</t>
  </si>
  <si>
    <t>Cyprus</t>
  </si>
  <si>
    <t>http://twitter.com/nirobe96/statuses/1521042368874622978</t>
  </si>
  <si>
    <t>1521042368262193152</t>
  </si>
  <si>
    <t>OneMoreGoodMan</t>
  </si>
  <si>
    <t>It surely can't be long before Rees-Mogg claims this as a #Brexit opportunity for ex-pats to get fitter and help the environment by walking and cycling. https://t.co/AfAwMfXcKo</t>
  </si>
  <si>
    <t>1696063290</t>
  </si>
  <si>
    <t>http://pbs.twimg.com/profile_images/1519759587011960836/s-yTbLuj_normal.jpg</t>
  </si>
  <si>
    <t>Nottingham, England</t>
  </si>
  <si>
    <t>http://twitter.com/OneMoreGoodMan/statuses/1521042368262193152</t>
  </si>
  <si>
    <t>{"hashtags":[{"text":"Brexit","indices":[58,65]}],"symbols":[],"user_mentions":[],"urls":[{"url":"https://t.co/AfAwMfXcKo","expanded_url":"https://twitter.com/bmay/status/1520819373048479751","display_url":"twitter.com/bmay/status/15…","indices":[153,176]}]}</t>
  </si>
  <si>
    <t>1521042312561893377</t>
  </si>
  <si>
    <t>Will_Butts</t>
  </si>
  <si>
    <t>RT @CallumR1711: I don't hate Europe and the nations that make it up.
I hate the EU that wants to destroy those independent nations. #Brexit https://t.co/anaObbnvcz</t>
  </si>
  <si>
    <t>Mon May 02 08:22:01 +0000 2022</t>
  </si>
  <si>
    <t>45861076</t>
  </si>
  <si>
    <t>http://pbs.twimg.com/profile_images/524840004653035520/8FXjRgZ5_normal.jpeg</t>
  </si>
  <si>
    <t>Rochdale</t>
  </si>
  <si>
    <t>http://twitter.com/Will_Butts/statuses/1521042312561893377</t>
  </si>
  <si>
    <t>{"hashtags":[],"symbols":[],"user_mentions":[{"screen_name":"CallumR1711","name":"Cal 🏴󠁧󠁢󠁥󠁮󠁧󠁿","id":1382754163063394300,"id_str":"1382754163063394308","indices":[3,15]}],"urls":[]}</t>
  </si>
  <si>
    <t>1521042307709083648</t>
  </si>
  <si>
    <t>Ross01735504Liz</t>
  </si>
  <si>
    <t>Mon May 02 08:22:00 +0000 2022</t>
  </si>
  <si>
    <t>1007876460311465985</t>
  </si>
  <si>
    <t>http://pbs.twimg.com/profile_images/1351274974531743748/J4cmRjEG_normal.jpg</t>
  </si>
  <si>
    <t>🏝 europe</t>
  </si>
  <si>
    <t>http://twitter.com/Ross01735504Liz/statuses/1521042307709083648</t>
  </si>
  <si>
    <t>1521042307314769921</t>
  </si>
  <si>
    <t>FrancisMArtUK</t>
  </si>
  <si>
    <t>RT @UKRejoinTheEU: National Rejoin March
Saturday 10th September 2022
London, 12-4 PM
Brexit, now we know...
https://t.co/6yrZGbiaUX
#MarchForRejoin #RejoinEU #Brexit
@StayEuropean @16MillionRising @BremainInSpain @euromove @BestForBritain @GrassrootsEU @SiobhanBenita @Femi_Sorry @ReJoinTheEU2 https://t.co/0vdABHQ29d</t>
  </si>
  <si>
    <t>1319987064</t>
  </si>
  <si>
    <t>http://pbs.twimg.com/profile_images/3460735089/36111657992173eeec98454abe7f84bd_normal.jpeg</t>
  </si>
  <si>
    <t>Bristol, UK.</t>
  </si>
  <si>
    <t>http://twitter.com/FrancisMArtUK/statuses/1521042307314769921</t>
  </si>
  <si>
    <t>{"hashtags":[],"symbols":[],"user_mentions":[{"screen_name":"UKRejoinTheEU","name":"UK Rejoin The EU","id":1185959088435409000,"id_str":"1185959088435408896","indices":[3,17]}],"urls":[{"url":"https://t.co/6yrZGbiaUX","expanded_url":"http://www.MarchForRejoin.co.uk","display_url":"MarchForRejoin.co.uk","indices":[110,133]}]}</t>
  </si>
  <si>
    <t>1521042255016042497</t>
  </si>
  <si>
    <t>DmitriS40926112</t>
  </si>
  <si>
    <t>Mon May 02 08:21:47 +0000 2022</t>
  </si>
  <si>
    <t>1191786970768445440</t>
  </si>
  <si>
    <t>http://pbs.twimg.com/profile_images/1191787573582204929/Zek51rnQ_normal.jpg</t>
  </si>
  <si>
    <t>http://twitter.com/DmitriS40926112/statuses/1521042255016042497</t>
  </si>
  <si>
    <t>1521042240784769025</t>
  </si>
  <si>
    <t>petekitching</t>
  </si>
  <si>
    <t>Mon May 02 08:21:44 +0000 2022</t>
  </si>
  <si>
    <t>266032035</t>
  </si>
  <si>
    <t>http://pbs.twimg.com/profile_images/1362422953409994754/fJtPH-eB_normal.jpg</t>
  </si>
  <si>
    <t>On the Irish Sea border.</t>
  </si>
  <si>
    <t>http://twitter.com/petekitching/statuses/1521042240784769025</t>
  </si>
  <si>
    <t>1521042190855716864</t>
  </si>
  <si>
    <t>CPFlo</t>
  </si>
  <si>
    <t>RT @SZeitblom: I agree with @Anna_Soubry. #Brexit pervades every aspect of the UK’s failing politics, but there is silence. 
And let’s not forget how complicit @Keir_Starmer and @UKLabour are in that conspiracy of silence. The phrase “make #Brexit work” is an act of gross moral appeasement. https://t.co/PPGU7R3Lrc</t>
  </si>
  <si>
    <t>Mon May 02 08:21:32 +0000 2022</t>
  </si>
  <si>
    <t>309632087</t>
  </si>
  <si>
    <t>http://pbs.twimg.com/profile_images/1132704589923459072/PuMtfyhs_normal.jpg</t>
  </si>
  <si>
    <t>http://twitter.com/CPFlo/statuses/1521042190855716864</t>
  </si>
  <si>
    <t>{"hashtags":[{"text":"Brexit","indices":[42,49]}],"symbols":[],"user_mentions":[{"screen_name":"SZeitblom","name":"Neil Schofield-Hughes 🔶 🇪🇺 🏴󠁧󠁢󠁷󠁬󠁳󠁿🇺🇦","id":109191054,"id_str":"109191054","indices":[3,13]},{"screen_name":"Anna_Soubry","name":"Anna Soubry","id":326184301,"id_str":"326184301","indices":[28,40]}],"urls":[]}</t>
  </si>
  <si>
    <t>1521042172975403008</t>
  </si>
  <si>
    <t>jv_uk2011</t>
  </si>
  <si>
    <t>Mon May 02 08:21:28 +0000 2022</t>
  </si>
  <si>
    <t>409184062</t>
  </si>
  <si>
    <t>http://pbs.twimg.com/profile_images/1852408909/004__2__normal.jpg</t>
  </si>
  <si>
    <t>South Yorkshire, England</t>
  </si>
  <si>
    <t>http://twitter.com/jv_uk2011/statuses/1521042172975403008</t>
  </si>
  <si>
    <t>1521042161478901763</t>
  </si>
  <si>
    <t>July_Sv</t>
  </si>
  <si>
    <t>Mon May 02 08:21:25 +0000 2022</t>
  </si>
  <si>
    <t>615256996</t>
  </si>
  <si>
    <t>http://pbs.twimg.com/profile_images/378800000342163546/9a3719eca852fce1624123856531a242_normal.jpeg</t>
  </si>
  <si>
    <t>http://twitter.com/July_Sv/statuses/1521042161478901763</t>
  </si>
  <si>
    <t>1521042133020516354</t>
  </si>
  <si>
    <t>ivoesdelbe</t>
  </si>
  <si>
    <t>Mon May 02 08:21:18 +0000 2022</t>
  </si>
  <si>
    <t>221035750</t>
  </si>
  <si>
    <t>http://pbs.twimg.com/profile_images/1493191221556260864/7sA0iD7u_normal.jpg</t>
  </si>
  <si>
    <t>http://twitter.com/ivoesdelbe/statuses/1521042133020516354</t>
  </si>
  <si>
    <t>1521042124006952964</t>
  </si>
  <si>
    <t>GmfisherU</t>
  </si>
  <si>
    <t>RT @jcjumble: @susannareid100 @GMB When is #CovidEnquiry starting?  #Brexit is viewed as a monumental failure which he facilitated?  What are they going to do about the mess @Conservatives have created?  He won’t answer any of these of course!  He will bluster, falsely, about jobs &amp;amp; economy.</t>
  </si>
  <si>
    <t>Mon May 02 08:21:16 +0000 2022</t>
  </si>
  <si>
    <t>1472674121515515905</t>
  </si>
  <si>
    <t>http://pbs.twimg.com/profile_images/1472674229455839235/JSL3P8kE_normal.png</t>
  </si>
  <si>
    <t>http://twitter.com/GmfisherU/statuses/1521042124006952964</t>
  </si>
  <si>
    <t>{"hashtags":[{"text":"CovidEnquiry","indices":[43,56]},{"text":"Brexit","indices":[68,75]}],"symbols":[],"user_mentions":[{"screen_name":"jcjumble","name":"Janet (BB Bites)","id":317391889,"id_str":"317391889","indices":[3,12]},{"screen_name":"susannareid100","name":"Susanna Reid","id":19477583,"id_str":"19477583","indices":[14,29]},{"screen_name":"GMB","name":"Good Morning Britain","id":19424427,"id_str":"19424427","indices":[30,34]}],"urls":[]}</t>
  </si>
  <si>
    <t>1521042032415940610</t>
  </si>
  <si>
    <t>AmandaGWEU</t>
  </si>
  <si>
    <t>Mon May 02 08:20:54 +0000 2022</t>
  </si>
  <si>
    <t>945324750011817986</t>
  </si>
  <si>
    <t>http://pbs.twimg.com/profile_images/945328731639504898/mBIpJanm_normal.jpg</t>
  </si>
  <si>
    <t>http://twitter.com/AmandaGWEU/statuses/1521042032415940610</t>
  </si>
  <si>
    <t>1521041970679922688</t>
  </si>
  <si>
    <t>Mon May 02 08:20:40 +0000 2022</t>
  </si>
  <si>
    <t>http://twitter.com/GmfisherU/statuses/1521041970679922688</t>
  </si>
  <si>
    <t>1521041828778319881</t>
  </si>
  <si>
    <t>Nigelduffy8</t>
  </si>
  <si>
    <t>RT @PFSClassics: @henrymance @JMPSimor Pretty sure we were told “we’ll be better off…” after #brexit! Sure as sh*t doesn’t seem that way…
…I didn’t vote for either Boris, The Tories or Brexit. My conscience is clear, unlike my future!</t>
  </si>
  <si>
    <t>Mon May 02 08:20:06 +0000 2022</t>
  </si>
  <si>
    <t>1040300230388928513</t>
  </si>
  <si>
    <t>http://pbs.twimg.com/profile_images/1040309175526547458/8oyxIvSP_normal.jpg</t>
  </si>
  <si>
    <t>Bridlington</t>
  </si>
  <si>
    <t>http://twitter.com/Nigelduffy8/statuses/1521041828778319881</t>
  </si>
  <si>
    <t>{"hashtags":[{"text":"brexit","indices":[93,100]}],"symbols":[],"user_mentions":[{"screen_name":"PFSClassics","name":"Jolly","id":464585088,"id_str":"464585088","indices":[3,15]},{"screen_name":"henrymance","name":"Henry Mance","id":137295176,"id_str":"137295176","indices":[17,28]},{"screen_name":"JMPSimor","name":"Jessica Simor QC","id":864030687120281600,"id_str":"864030687120281602","indices":[29,38]}],"urls":[]}</t>
  </si>
  <si>
    <t>1521041807286624256</t>
  </si>
  <si>
    <t>mikelly65</t>
  </si>
  <si>
    <t>Mon May 02 08:20:01 +0000 2022</t>
  </si>
  <si>
    <t>433773197</t>
  </si>
  <si>
    <t>http://pbs.twimg.com/profile_images/1804339476/image_normal.jpg</t>
  </si>
  <si>
    <t>http://twitter.com/mikelly65/statuses/1521041807286624256</t>
  </si>
  <si>
    <t>1521041694740865025</t>
  </si>
  <si>
    <t>burdish</t>
  </si>
  <si>
    <t>Mon May 02 08:19:34 +0000 2022</t>
  </si>
  <si>
    <t>95949788</t>
  </si>
  <si>
    <t>http://pbs.twimg.com/profile_images/568328490/Pointy_normal.gif</t>
  </si>
  <si>
    <t>http://twitter.com/burdish/statuses/1521041694740865025</t>
  </si>
  <si>
    <t>1521041655318687748</t>
  </si>
  <si>
    <t>Mon May 02 08:19:24 +0000 2022</t>
  </si>
  <si>
    <t>http://twitter.com/mikelly65/statuses/1521041655318687748</t>
  </si>
  <si>
    <t>1521041565657051141</t>
  </si>
  <si>
    <t>Modern_Greenery</t>
  </si>
  <si>
    <t>Mon May 02 08:19:03 +0000 2022</t>
  </si>
  <si>
    <t>123928877</t>
  </si>
  <si>
    <t>http://pbs.twimg.com/profile_images/1497340925546311680/5m6RJ3L9_normal.jpg</t>
  </si>
  <si>
    <t>http://twitter.com/Modern_Greenery/statuses/1521041565657051141</t>
  </si>
  <si>
    <t>1521041561382965248</t>
  </si>
  <si>
    <t>MartinHarper62</t>
  </si>
  <si>
    <t>RT @SydesJokes: #Brexit #BrexitShambles #BrexitReality https://t.co/sNrmiCWg1M</t>
  </si>
  <si>
    <t>Mon May 02 08:19:02 +0000 2022</t>
  </si>
  <si>
    <t>1395339457</t>
  </si>
  <si>
    <t>http://pbs.twimg.com/profile_images/662694463458967552/n3BKfcti_normal.jpg</t>
  </si>
  <si>
    <t>http://twitter.com/MartinHarper62/statuses/1521041561382965248</t>
  </si>
  <si>
    <t>{"hashtags":[{"text":"Brexit","indices":[16,23]},{"text":"BrexitShambles","indices":[24,39]},{"text":"BrexitReality","indices":[40,54]}],"symbols":[],"user_mentions":[{"screen_name":"SydesJokes","name":"Lord Sydes #FBPE #FBPPR 💙 🇬🇧🇩🇪🇸🇬🇫🇮🇪🇺","id":29459695,"id_str":"29459695","indices":[3,14]}],"urls":[],"media":[{"id":1520727693003837400,"id_str":"1520727693003837441","indices":[55,78],"media_url":"http://pbs.twimg.com/media/FRq1x5WX0AEODkE.jpg","media_url_https":"https://pbs.twimg.com/media/FRq1x5WX0AEODkE.jpg","url":"https://t.co/sNrmiCWg1M","display_url":"pic.twitter.com/sNrmiCWg1M","expanded_url":"https://twitter.com/SydesJokes/status/1520727695625228288/photo/1","type":"photo","sizes":{"thumb":{"w":150,"h":150,"resize":"crop"},"small":{"w":640,"h":680,"resize":"fit"},"large":{"w":640,"h":680,"resize":"fit"},"medium":{"w":640,"h":680,"resize":"fit"}},"source_status_id":1520727695625228300,"source_status_id_str":"1520727695625228288","source_user_id":29459695,"source_user_id_str":"29459695"}]}</t>
  </si>
  <si>
    <t>1521041408030908417</t>
  </si>
  <si>
    <t>davideaton51</t>
  </si>
  <si>
    <t>Mon May 02 08:18:25 +0000 2022</t>
  </si>
  <si>
    <t>2449456784</t>
  </si>
  <si>
    <t>http://pbs.twimg.com/profile_images/1520698368107982849/TuhmYFA4_normal.jpg</t>
  </si>
  <si>
    <t>Lowton🏴󠁧󠁢󠁥󠁮󠁧󠁿🇬🇧</t>
  </si>
  <si>
    <t>http://twitter.com/davideaton51/statuses/1521041408030908417</t>
  </si>
  <si>
    <t>1521041373142597633</t>
  </si>
  <si>
    <t>knight23018419</t>
  </si>
  <si>
    <t>Mon May 02 08:18:17 +0000 2022</t>
  </si>
  <si>
    <t>1500444995744063488</t>
  </si>
  <si>
    <t>http://pbs.twimg.com/profile_images/1520703650062118912/UsQu0SY2_normal.jpg</t>
  </si>
  <si>
    <t>http://twitter.com/knight23018419/statuses/1521041373142597633</t>
  </si>
  <si>
    <t>1521041371104227328</t>
  </si>
  <si>
    <t>http://twitter.com/MartinHarper62/statuses/1521041371104227328</t>
  </si>
  <si>
    <t>1521041325193404418</t>
  </si>
  <si>
    <t>dracuk</t>
  </si>
  <si>
    <t>Mon May 02 08:18:06 +0000 2022</t>
  </si>
  <si>
    <t>227242988</t>
  </si>
  <si>
    <t>http://twitter.com/dracuk/statuses/1521041325193404418</t>
  </si>
  <si>
    <t>1521041238681522176</t>
  </si>
  <si>
    <t>r_bosch</t>
  </si>
  <si>
    <t>RT @farquar: Aside from being an interesting thread per se, this also highlights may of the problems with referenda in general. 
#Brexit forever illustrated the shortcomings of referenda as a political tool, particularly in a post-truth age. https://t.co/14v0hAkaoQ</t>
  </si>
  <si>
    <t>Mon May 02 08:17:45 +0000 2022</t>
  </si>
  <si>
    <t>211465092</t>
  </si>
  <si>
    <t>&lt;a href="http://www.tweetcaster.com" rel="nofollow"&gt;TweetCaster for Android&lt;/a&gt;</t>
  </si>
  <si>
    <t>http://pbs.twimg.com/profile_images/1485281513436594177/ZPn6x3Ab_normal.jpg</t>
  </si>
  <si>
    <t>http://twitter.com/r_bosch/statuses/1521041238681522176</t>
  </si>
  <si>
    <t>{"hashtags":[{"text":"Brexit","indices":[129,136]}],"symbols":[],"user_mentions":[{"screen_name":"farquar","name":"farquar","id":16022604,"id_str":"16022604","indices":[3,11]}],"urls":[]}</t>
  </si>
  <si>
    <t>1521041185695059969</t>
  </si>
  <si>
    <t>lesmurphy6</t>
  </si>
  <si>
    <t>Mon May 02 08:17:32 +0000 2022</t>
  </si>
  <si>
    <t>1597556366</t>
  </si>
  <si>
    <t>http://pbs.twimg.com/profile_images/1454891732408180737/c5TcrKca_normal.jpg</t>
  </si>
  <si>
    <t>http://twitter.com/lesmurphy6/statuses/1521041185695059969</t>
  </si>
  <si>
    <t>1521041173753872384</t>
  </si>
  <si>
    <t>windfair_net</t>
  </si>
  <si>
    <t>How high is the power security in the UK? #windenergie #GlobalData #Brexit #RussiaUkraine #crisis #energysecurity #concern #EU #energyprices #sources #renewableenergy #fossil #import https://t.co/zrxvmVs497</t>
  </si>
  <si>
    <t>Mon May 02 08:17:30 +0000 2022</t>
  </si>
  <si>
    <t>1556106367</t>
  </si>
  <si>
    <t>&lt;a href="http://windfair.net" rel="nofollow"&gt;windfair.net&lt;/a&gt;</t>
  </si>
  <si>
    <t>http://pbs.twimg.com/profile_images/378800000078244128/36419ca9be13a9d52fa1b4206c85097a_normal.png</t>
  </si>
  <si>
    <t>http://twitter.com/windfair_net/statuses/1521041173753872384</t>
  </si>
  <si>
    <t>{"hashtags":[{"text":"windenergie","indices":[42,54]},{"text":"GlobalData","indices":[55,66]},{"text":"Brexit","indices":[67,74]},{"text":"RussiaUkraine","indices":[75,89]},{"text":"crisis","indices":[90,97]},{"text":"energysecurity","indices":[98,113]},{"text":"concern","indices":[114,122]},{"text":"EU","indices":[123,126]},{"text":"energyprices","indices":[127,140]},{"text":"sources","indices":[141,149]},{"text":"renewableenergy","indices":[150,166]},{"text":"fossil","indices":[167,174]},{"text":"import","indices":[175,182]}],"symbols":[],"user_mentions":[],"urls":[{"url":"https://t.co/zrxvmVs497","expanded_url":"http://w3.windfair.net/wind-energy/news/40651-globaldata-uk-brexit-russia-ukraine-crisis-energy-security-concern-eu-energy-prices-sources-renewable-energy-fossil-import","display_url":"w3.windfair.net/wind-energy/ne…","indices":[183,206]}]}</t>
  </si>
  <si>
    <t>1521041134830690306</t>
  </si>
  <si>
    <t>wolfiewire</t>
  </si>
  <si>
    <t>Mon May 02 08:17:20 +0000 2022</t>
  </si>
  <si>
    <t>133823609</t>
  </si>
  <si>
    <t>http://pbs.twimg.com/profile_images/1288072468465360906/sAmKkDQ-_normal.jpg</t>
  </si>
  <si>
    <t>Co Sligo</t>
  </si>
  <si>
    <t>http://twitter.com/wolfiewire/statuses/1521041134830690306</t>
  </si>
  <si>
    <t>1521041123308888065</t>
  </si>
  <si>
    <t>ElaineMMilford1</t>
  </si>
  <si>
    <t>Mon May 02 08:17:18 +0000 2022</t>
  </si>
  <si>
    <t>947045587479945216</t>
  </si>
  <si>
    <t>http://twitter.com/ElaineMMilford1/statuses/1521041123308888065</t>
  </si>
  <si>
    <t>1521041093047078912</t>
  </si>
  <si>
    <t>jcjumble</t>
  </si>
  <si>
    <t>@susannareid100 @GMB When is #CovidEnquiry starting?  #Brexit is viewed as a monumental failure which he facilitated?  What are they going to do about the mess @Conservatives have created?  He won’t answer any of these of course!  He will bluster, falsely, about jobs &amp;amp; economy.</t>
  </si>
  <si>
    <t>Mon May 02 08:17:10 +0000 2022</t>
  </si>
  <si>
    <t>317391889</t>
  </si>
  <si>
    <t>http://pbs.twimg.com/profile_images/1267524783358586882/yAhIsqAk_normal.jpg</t>
  </si>
  <si>
    <t>http://twitter.com/jcjumble/statuses/1521041093047078912</t>
  </si>
  <si>
    <t>{"hashtags":[{"text":"CovidEnquiry","indices":[29,42]},{"text":"Brexit","indices":[54,61]}],"symbols":[],"user_mentions":[{"screen_name":"susannareid100","name":"Susanna Reid","id":19477583,"id_str":"19477583","indices":[0,15]},{"screen_name":"GMB","name":"Good Morning Britain","id":19424427,"id_str":"19424427","indices":[16,20]},{"screen_name":"Conservatives","name":"Conservatives","id":14281853,"id_str":"14281853","indices":[160,174]}],"urls":[]}</t>
  </si>
  <si>
    <t>To be honest I’m gobsmacked by the pace of this….during a war in Eastern Europe.  They simply don’t give a flying f£#@ #brexit thank goodness for #Brexit https://t.co/FcZ79C2xqe</t>
  </si>
  <si>
    <t>Mon May 02 08:17:05 +0000 2022</t>
  </si>
  <si>
    <t>http://pbs.twimg.com/profile_images/1386562207840931841/2DzTUT9A_normal.jpg</t>
  </si>
  <si>
    <t>http://twitter.com/ukbigdaddyian/statuses/1521041072759136257</t>
  </si>
  <si>
    <t>{"hashtags":[{"text":"brexit","indices":[119,126]},{"text":"Brexit","indices":[146,153]}],"symbols":[],"user_mentions":[],"urls":[{"url":"https://t.co/FcZ79C2xqe","expanded_url":"https://twitter.com/facts4euorg/status/1521008121753346049","display_url":"twitter.com/facts4euorg/st…","indices":[154,177]}]}</t>
  </si>
  <si>
    <t>1521041045118717955</t>
  </si>
  <si>
    <t>1973GJWEcon</t>
  </si>
  <si>
    <t>Bank of England ‘duty bound’ to trigger recession to curb inflation | Bank of England | The Guardian | @scoopit https://t.co/mM8G9aGEO0 #monetarypolicy #interestrates #economicgrowth #labourshortages #labourmarketflexibility #Brexit #post-Brexit #importcosts @BankofEngland</t>
  </si>
  <si>
    <t>Mon May 02 08:16:59 +0000 2022</t>
  </si>
  <si>
    <t>2931141700</t>
  </si>
  <si>
    <t>&lt;a href="http://www.scoop.it" rel="nofollow"&gt;Scoop.it&lt;/a&gt;</t>
  </si>
  <si>
    <t>http://pbs.twimg.com/profile_images/943211970156810240/yF-bU0Ak_normal.jpg</t>
  </si>
  <si>
    <t>http://twitter.com/1973GJWEcon/statuses/1521041045118717955</t>
  </si>
  <si>
    <t>{"hashtags":[{"text":"monetarypolicy","indices":[136,151]},{"text":"interestrates","indices":[152,166]},{"text":"economicgrowth","indices":[167,182]},{"text":"labourshortages","indices":[183,199]},{"text":"labourmarketflexibility","indices":[200,224]},{"text":"Brexit","indices":[225,232]},{"text":"post","indices":[233,238]},{"text":"importcosts","indices":[246,258]}],"symbols":[],"user_mentions":[{"screen_name":"scoopit","name":"Scoop.it","id":209484168,"id_str":"209484168","indices":[103,111]},{"screen_name":"bankofengland","name":"Bank of England","id":18938646,"id_str":"18938646","indices":[259,273]}],"urls":[{"url":"https://t.co/mM8G9aGEO0","expanded_url":"http://sco.lt/...#ecbusteach","display_url":"sco.lt/...#ecbusteach","indices":[112,135]}]}</t>
  </si>
  <si>
    <t>1521041029700493312</t>
  </si>
  <si>
    <t>Chrislegal1</t>
  </si>
  <si>
    <t>We’ve been told for years that #Brexit was about sovereignty, about taking back control. Tweets like this are when the mask slips. #EidMubarak https://t.co/9b30hWFiwW</t>
  </si>
  <si>
    <t>Mon May 02 08:16:55 +0000 2022</t>
  </si>
  <si>
    <t>332207323</t>
  </si>
  <si>
    <t>http://pbs.twimg.com/profile_images/1506980610828644354/ZQqusQeC_normal.jpg</t>
  </si>
  <si>
    <t>http://twitter.com/Chrislegal1/statuses/1521041029700493312</t>
  </si>
  <si>
    <t>{"hashtags":[{"text":"Brexit","indices":[31,38]},{"text":"EidMubarak","indices":[131,142]}],"symbols":[],"user_mentions":[],"urls":[{"url":"https://t.co/9b30hWFiwW","expanded_url":"https://twitter.com/_henrybolton/status/1520484281600122880","display_url":"twitter.com/_henrybolton/s…","indices":[143,166]}]}</t>
  </si>
  <si>
    <t>1521041000415830018</t>
  </si>
  <si>
    <t>m_gallon06</t>
  </si>
  <si>
    <t>Mon May 02 08:16:48 +0000 2022</t>
  </si>
  <si>
    <t>2348984153</t>
  </si>
  <si>
    <t>http://twitter.com/m_gallon06/statuses/1521041000415830018</t>
  </si>
  <si>
    <t>1521040964957188097</t>
  </si>
  <si>
    <t>angelah47098965</t>
  </si>
  <si>
    <t>Mon May 02 08:16:40 +0000 2022</t>
  </si>
  <si>
    <t>2366954118</t>
  </si>
  <si>
    <t>http://pbs.twimg.com/profile_images/604077481503657985/hSvIQCV1_normal.jpg</t>
  </si>
  <si>
    <t>http://twitter.com/angelah47098965/statuses/1521040964957188097</t>
  </si>
  <si>
    <t>1521040959664017410</t>
  </si>
  <si>
    <t>avocet41</t>
  </si>
  <si>
    <t>Mon May 02 08:16:39 +0000 2022</t>
  </si>
  <si>
    <t>1133032762271784960</t>
  </si>
  <si>
    <t>http://twitter.com/avocet41/statuses/1521040959664017410</t>
  </si>
  <si>
    <t>1521040928202539008</t>
  </si>
  <si>
    <t>robertsproggit</t>
  </si>
  <si>
    <t>@Nigel_Farage @pritipatel “It’s so funny, you don’t talk #Brexit anymore. 
It’s so funny, you don’t talk #Brexit anymore,
But I ain't losing sleep and I ain't counting immigrants’ https://t.co/orAAUaE64V</t>
  </si>
  <si>
    <t>Mon May 02 08:16:31 +0000 2022</t>
  </si>
  <si>
    <t>1356497388182122498</t>
  </si>
  <si>
    <t>http://pbs.twimg.com/profile_images/1497879857082028032/VYSYjXCY_normal.jpg</t>
  </si>
  <si>
    <t>http://twitter.com/robertsproggit/statuses/1521040928202539008</t>
  </si>
  <si>
    <t>{"hashtags":[{"text":"Brexit","indices":[57,64]},{"text":"Brexit","indices":[105,112]}],"symbols":[],"user_mentions":[{"screen_name":"Nigel_Farage","name":"Nigel Farage","id":19017675,"id_str":"19017675","indices":[0,13]},{"screen_name":"pritipatel","name":"Priti Patel","id":61660254,"id_str":"61660254","indices":[14,25]}],"urls":[],"media":[{"id":1521040898678833200,"id_str":"1521040898678833153","indices":[180,203],"media_url":"http://pbs.twimg.com/tweet_video_thumb/FRvSo3aXwAEXwjB.jpg","media_url_https":"https://pbs.twimg.com/tweet_video_thumb/FRvSo3aXwAEXwjB.jpg","url":"https://t.co/orAAUaE64V","display_url":"pic.twitter.com/orAAUaE64V","expanded_url":"https://twitter.com/robertsproggit/status/1521040928202539008/photo/1","type":"photo","sizes":{"thumb":{"w":150,"h":150,"resize":"crop"},"medium":{"w":498,"h":380,"resize":"fit"},"large":{"w":498,"h":380,"resize":"fit"},"small":{"w":498,"h":380,"resize":"fit"}}}]}</t>
  </si>
  <si>
    <t>1521040920195514369</t>
  </si>
  <si>
    <t>RainowRobinHood</t>
  </si>
  <si>
    <t>Mon May 02 08:16:29 +0000 2022</t>
  </si>
  <si>
    <t>827860461164965888</t>
  </si>
  <si>
    <t>http://pbs.twimg.com/profile_images/1417602928517525506/6hWDxEku_normal.jpg</t>
  </si>
  <si>
    <t>http://twitter.com/RainowRobinHood/statuses/1521040920195514369</t>
  </si>
  <si>
    <t>1521040860074369024</t>
  </si>
  <si>
    <t>BFforthewin</t>
  </si>
  <si>
    <t>Mon May 02 08:16:15 +0000 2022</t>
  </si>
  <si>
    <t>914481037937344513</t>
  </si>
  <si>
    <t>http://pbs.twimg.com/profile_images/1013177971316846592/arna5qXa_normal.jpg</t>
  </si>
  <si>
    <t>http://twitter.com/BFforthewin/statuses/1521040860074369024</t>
  </si>
  <si>
    <t>1521040796350304258</t>
  </si>
  <si>
    <t>maviczap</t>
  </si>
  <si>
    <t>Mon May 02 08:16:00 +0000 2022</t>
  </si>
  <si>
    <t>3154357401</t>
  </si>
  <si>
    <t>http://pbs.twimg.com/profile_images/903346033568219142/RMuXPwOa_normal.jpg</t>
  </si>
  <si>
    <t>http://twitter.com/maviczap/statuses/1521040796350304258</t>
  </si>
  <si>
    <t>1521040793716330496</t>
  </si>
  <si>
    <t>@13sarahmurphy @jacquep He won't be eating #ChlorinatedChicken will he. 🙄 #Brexit #RemainersWereRight https://t.co/Ebw4kbtjtF</t>
  </si>
  <si>
    <t>Mon May 02 08:15:59 +0000 2022</t>
  </si>
  <si>
    <t>1158193640</t>
  </si>
  <si>
    <t>13sarahmurphy</t>
  </si>
  <si>
    <t>1519710141146411010</t>
  </si>
  <si>
    <t>http://twitter.com/VerityKalcev/statuses/1521040793716330496</t>
  </si>
  <si>
    <t>{"hashtags":[{"text":"ChlorinatedChicken","indices":[43,62]},{"text":"Brexit","indices":[74,81]},{"text":"RemainersWereRight","indices":[82,101]}],"symbols":[],"user_mentions":[{"screen_name":"13sarahmurphy","name":"sarah murphy","id":1158193640,"id_str":"1158193640","indices":[0,14]},{"screen_name":"jacquep","name":"Pascal Jacquemain 🇫🇷in🇬🇧 #BloodyMigrant","id":17172028,"id_str":"17172028","indices":[15,23]}],"urls":[],"media":[{"id":1521040792055394300,"id_str":"1521040792055394308","indices":[102,125],"media_url":"http://pbs.twimg.com/media/FRvSiqNXMAQkHRz.jpg","media_url_https":"https://pbs.twimg.com/media/FRvSiqNXMAQkHRz.jpg","url":"https://t.co/Ebw4kbtjtF","display_url":"pic.twitter.com/Ebw4kbtjtF","expanded_url":"https://twitter.com/VerityKalcev/status/1521040793716330496/photo/1","type":"photo","sizes":{"thumb":{"w":150,"h":150,"resize":"crop"},"large":{"w":825,"h":606,"resize":"fit"},"small":{"w":680,"h":499,"resize":"fit"},"medium":{"w":825,"h":606,"resize":"fit"}}}]}</t>
  </si>
  <si>
    <t>1521040756890292224</t>
  </si>
  <si>
    <t>FerriereMaryse</t>
  </si>
  <si>
    <t>Mon May 02 08:15:50 +0000 2022</t>
  </si>
  <si>
    <t>1240561289480544256</t>
  </si>
  <si>
    <t>http://twitter.com/FerriereMaryse/statuses/1521040756890292224</t>
  </si>
  <si>
    <t>1521040718151790593</t>
  </si>
  <si>
    <t>NIborn59</t>
  </si>
  <si>
    <t>Mon May 02 08:15:41 +0000 2022</t>
  </si>
  <si>
    <t>1469579062767140867</t>
  </si>
  <si>
    <t>http://pbs.twimg.com/profile_images/1469588764511150080/iyvpuqV6_normal.jpg</t>
  </si>
  <si>
    <t>http://twitter.com/NIborn59/statuses/1521040718151790593</t>
  </si>
  <si>
    <t>1521040660652072961</t>
  </si>
  <si>
    <t>StephenGill55</t>
  </si>
  <si>
    <t>Mon May 02 08:15:27 +0000 2022</t>
  </si>
  <si>
    <t>3345987107</t>
  </si>
  <si>
    <t>http://pbs.twimg.com/profile_images/1101876628785905667/21HCkVtm_normal.jpg</t>
  </si>
  <si>
    <t>Solihull</t>
  </si>
  <si>
    <t>http://twitter.com/StephenGill55/statuses/1521040660652072961</t>
  </si>
  <si>
    <t>1521040618247450624</t>
  </si>
  <si>
    <t>WairarapaJane</t>
  </si>
  <si>
    <t>Mon May 02 08:15:17 +0000 2022</t>
  </si>
  <si>
    <t>971247238268715011</t>
  </si>
  <si>
    <t>http://pbs.twimg.com/profile_images/971706539475025920/gW5VkJHQ_normal.jpg</t>
  </si>
  <si>
    <t>New Zealand</t>
  </si>
  <si>
    <t>http://twitter.com/WairarapaJane/statuses/1521040618247450624</t>
  </si>
  <si>
    <t>1521040581425876994</t>
  </si>
  <si>
    <t>Dragons68317191</t>
  </si>
  <si>
    <t>Mon May 02 08:15:08 +0000 2022</t>
  </si>
  <si>
    <t>1115916142164496384</t>
  </si>
  <si>
    <t>http://pbs.twimg.com/profile_images/1501524484066529285/mtIBwbUk_normal.jpg</t>
  </si>
  <si>
    <t>http://twitter.com/Dragons68317191/statuses/1521040581425876994</t>
  </si>
  <si>
    <t>1521040558730485760</t>
  </si>
  <si>
    <t>Rollingwiththis</t>
  </si>
  <si>
    <t>RT @10_000BC: @timfarron The Tories were concerned about EU wealth tax regulations and protecting their first-past-the-post, right-wing voting monopoly. They made a pact with the Brexit Party and UKIP to 'Get #Brexit done', appointed BoJo the clown their leader and are now an international laughing stock</t>
  </si>
  <si>
    <t>Mon May 02 08:15:03 +0000 2022</t>
  </si>
  <si>
    <t>1444545500179537922</t>
  </si>
  <si>
    <t>http://pbs.twimg.com/profile_images/1444545884772085762/J2CAejYG_normal.jpg</t>
  </si>
  <si>
    <t>http://twitter.com/Rollingwiththis/statuses/1521040558730485760</t>
  </si>
  <si>
    <t>{"hashtags":[],"symbols":[],"user_mentions":[{"screen_name":"10_000BC","name":"Scott°","id":482898252,"id_str":"482898252","indices":[3,12]},{"screen_name":"timfarron","name":"Tim Farron","id":80021045,"id_str":"80021045","indices":[14,24]}],"urls":[]}</t>
  </si>
  <si>
    <t>1521040556339740673</t>
  </si>
  <si>
    <t>bglynn500</t>
  </si>
  <si>
    <t>Mon May 02 08:15:02 +0000 2022</t>
  </si>
  <si>
    <t>2407752927</t>
  </si>
  <si>
    <t>http://pbs.twimg.com/profile_images/1138065407938637824/K0kltLVk_normal.jpg</t>
  </si>
  <si>
    <t>Hertfordshire</t>
  </si>
  <si>
    <t>http://twitter.com/bglynn500/statuses/1521040556339740673</t>
  </si>
  <si>
    <t>1521040538400661506</t>
  </si>
  <si>
    <t>Mon May 02 08:14:58 +0000 2022</t>
  </si>
  <si>
    <t>http://twitter.com/wolfiewire/statuses/1521040538400661506</t>
  </si>
  <si>
    <t>1521040503839596546</t>
  </si>
  <si>
    <t>BettonVal</t>
  </si>
  <si>
    <t>Mon May 02 08:14:50 +0000 2022</t>
  </si>
  <si>
    <t>1113784856830533633</t>
  </si>
  <si>
    <t>http://twitter.com/BettonVal/statuses/1521040503839596546</t>
  </si>
  <si>
    <t>1521040336998514688</t>
  </si>
  <si>
    <t>Isobel599818011</t>
  </si>
  <si>
    <t>Mon May 02 08:14:10 +0000 2022</t>
  </si>
  <si>
    <t>1470821190654644228</t>
  </si>
  <si>
    <t>http://pbs.twimg.com/profile_images/1471568729674854403/chBrQOmj_normal.jpg</t>
  </si>
  <si>
    <t>http://twitter.com/Isobel599818011/statuses/1521040336998514688</t>
  </si>
  <si>
    <t>1521040328526024704</t>
  </si>
  <si>
    <t>HelenLGateley</t>
  </si>
  <si>
    <t>Mon May 02 08:14:08 +0000 2022</t>
  </si>
  <si>
    <t>133467876</t>
  </si>
  <si>
    <t>http://pbs.twimg.com/profile_images/1092919376758611976/kpioXskA_normal.jpg</t>
  </si>
  <si>
    <t>Near the Sea</t>
  </si>
  <si>
    <t>http://twitter.com/HelenLGateley/statuses/1521040328526024704</t>
  </si>
  <si>
    <t>1521040325401358336</t>
  </si>
  <si>
    <t>Mon May 02 08:14:07 +0000 2022</t>
  </si>
  <si>
    <t>http://twitter.com/mikelly65/statuses/1521040325401358336</t>
  </si>
  <si>
    <t>1521040315792166913</t>
  </si>
  <si>
    <t>mark_the_god</t>
  </si>
  <si>
    <t>RT @JackHen16271194: We were told that after Britain left the EU investment from abroad into the UK  would dry up.
The opposite is true. Investment into the UK from overseas is strong.
#Brexit 
#jobs
#Brexitbenefits 
#BrexitSuccess 
#heineken 
#DespiteBrexit https://t.co/5jBbP6KsIz</t>
  </si>
  <si>
    <t>Mon May 02 08:14:05 +0000 2022</t>
  </si>
  <si>
    <t>2449686481</t>
  </si>
  <si>
    <t>http://pbs.twimg.com/profile_images/456877773940723712/nZB9IM15_normal.jpeg</t>
  </si>
  <si>
    <t>Essex</t>
  </si>
  <si>
    <t>http://twitter.com/mark_the_god/statuses/1521040315792166913</t>
  </si>
  <si>
    <t>{"hashtags":[],"symbols":[],"user_mentions":[{"screen_name":"JackHen16271194","name":"Jack Henry. No to extremism.","id":1364308324423004200,"id_str":"1364308324423004162","indices":[3,19]}],"urls":[]}</t>
  </si>
  <si>
    <t>1521040302798159875</t>
  </si>
  <si>
    <t>andypic</t>
  </si>
  <si>
    <t>RT @nathansldennis: @Montezuma1K @BionicBirdAnna @Anna_Soubry If you criticize the Tory Junta's #Brexit policy you lose access to government, for a large business like ASDA thats a huge problem.
Doing contract IT work for the goverment is the same, the recruiters specifically mention that you cannot talk about Brexit failures!</t>
  </si>
  <si>
    <t>Mon May 02 08:14:02 +0000 2022</t>
  </si>
  <si>
    <t>69442077</t>
  </si>
  <si>
    <t>http://pbs.twimg.com/profile_images/1497363227084263424/KH0LYx1m_normal.jpg</t>
  </si>
  <si>
    <t>Rugby, UK</t>
  </si>
  <si>
    <t>http://twitter.com/andypic/statuses/1521040302798159875</t>
  </si>
  <si>
    <t>{"hashtags":[{"text":"Brexit","indices":[96,103]}],"symbols":[],"user_mentions":[{"screen_name":"nathansldennis","name":"Nathan Dennis 🇺🇦","id":166073550,"id_str":"166073550","indices":[3,18]},{"screen_name":"Montezuma1K","name":"Andrew Rutter💙🇬🇧🇺🇦🇪🇺","id":284086071,"id_str":"284086071","indices":[20,32]},{"screen_name":"BionicBirdAnna","name":"Anna 🌻🇺🇦💙 #GTTO #JohnsonOut","id":935995333515141100,"id_str":"935995333515141120","indices":[33,48]},{"screen_name":"Anna_Soubry","name":"Anna Soubry","id":326184301,"id_str":"326184301","indices":[49,61]}],"urls":[]}</t>
  </si>
  <si>
    <t>1521040283768696832</t>
  </si>
  <si>
    <t>brennig</t>
  </si>
  <si>
    <t>Mon May 02 08:13:57 +0000 2022</t>
  </si>
  <si>
    <t>14268513</t>
  </si>
  <si>
    <t>http://pbs.twimg.com/profile_images/1421696563978678278/W09Yusuk_normal.jpg</t>
  </si>
  <si>
    <t>http://twitter.com/brennig/statuses/1521040283768696832</t>
  </si>
  <si>
    <t>1521040262277050370</t>
  </si>
  <si>
    <t>desmonddolan</t>
  </si>
  <si>
    <t>RT @VerityKalcev: My #ToryBrexit MP @mimsdavies now refuses to answer my emails about #Brexit.  
Like @Jacob_Rees_Mogg - too frightened to admit there are no 'fantastic benefits'. 
@midsussex_times #r4today #RemainersWereRight https://t.co/xK8FS9YYHC</t>
  </si>
  <si>
    <t>Mon May 02 08:13:52 +0000 2022</t>
  </si>
  <si>
    <t>349057108</t>
  </si>
  <si>
    <t>http://pbs.twimg.com/profile_images/885959534291943425/GVJw274Y_normal.jpg</t>
  </si>
  <si>
    <t>http://twitter.com/desmonddolan/statuses/1521040262277050370</t>
  </si>
  <si>
    <t>{"hashtags":[{"text":"ToryBrexit","indices":[21,32]},{"text":"Brexit","indices":[86,93]}],"symbols":[],"user_mentions":[{"screen_name":"VerityKalcev","name":"Verity Kalcev","id":771611432,"id_str":"771611432","indices":[3,16]},{"screen_name":"mimsdavies","name":"Mims Davies MP #KICKSTART #PLANFORJOBS #WAYTOWORK","id":236588290,"id_str":"236588290","indices":[36,47]},{"screen_name":"Jacob_Rees_Mogg","name":"Jacob Rees-Mogg","id":885838630928994300,"id_str":"885838630928994304","indices":[102,118]}],"urls":[]}</t>
  </si>
  <si>
    <t>1521040200062885888</t>
  </si>
  <si>
    <t>brightonwarren</t>
  </si>
  <si>
    <t>Mon May 02 08:13:37 +0000 2022</t>
  </si>
  <si>
    <t>21225924</t>
  </si>
  <si>
    <t>http://pbs.twimg.com/profile_images/1515077907089088521/k3Gen2TE_normal.jpg</t>
  </si>
  <si>
    <t>Brighton, UK</t>
  </si>
  <si>
    <t>http://twitter.com/brightonwarren/statuses/1521040200062885888</t>
  </si>
  <si>
    <t>1521040188880863237</t>
  </si>
  <si>
    <t>ifsbutsnmaybes</t>
  </si>
  <si>
    <t>Mon May 02 08:13:35 +0000 2022</t>
  </si>
  <si>
    <t>1217473086867591168</t>
  </si>
  <si>
    <t>http://pbs.twimg.com/profile_images/1227197061453565952/kz_zKkBE_normal.jpg</t>
  </si>
  <si>
    <t>Libertarian hell</t>
  </si>
  <si>
    <t>http://twitter.com/ifsbutsnmaybes/statuses/1521040188880863237</t>
  </si>
  <si>
    <t>1521040185571565568</t>
  </si>
  <si>
    <t>EH54_Lainey</t>
  </si>
  <si>
    <t>RT @Dr__H__Lekter: #JohnsonOut97 #ScottishIndependence #JohnsonTheLiar #Brexit #BrexitHasFailed #NeverTrustATory #LiarNotALeader #ToryLiars #ToriesOut5thMay #TorySleaze #VoteLabour #Growlergate #gingergrowler #ToryShambles #ToryLies #ToryCorruption  Angela Rayner thatcher Sexist of the Year https://t.co/7dYiQWHNnF</t>
  </si>
  <si>
    <t>Mon May 02 08:13:34 +0000 2022</t>
  </si>
  <si>
    <t>954247658</t>
  </si>
  <si>
    <t>http://pbs.twimg.com/profile_images/1451588208412737540/2HAfGslY_normal.jpg</t>
  </si>
  <si>
    <t>United Kingdom, Europe</t>
  </si>
  <si>
    <t>http://twitter.com/EH54_Lainey/statuses/1521040185571565568</t>
  </si>
  <si>
    <t>{"hashtags":[{"text":"JohnsonOut97","indices":[19,32]},{"text":"ScottishIndependence","indices":[33,54]},{"text":"JohnsonTheLiar","indices":[55,70]},{"text":"Brexit","indices":[71,78]},{"text":"BrexitHasFailed","indices":[79,95]},{"text":"NeverTrustATory","indices":[96,112]},{"text":"LiarNotALeader","indices":[113,128]},{"text":"ToryLiars","indices":[129,139]}],"symbols":[],"user_mentions":[{"screen_name":"Dr__H__Lekter","name":"⚡️ DR. H. LEKTER ⚡️","id":1453753755321708500,"id_str":"1453753755321708547","indices":[3,17]}],"urls":[]}</t>
  </si>
  <si>
    <t>1521040162918211585</t>
  </si>
  <si>
    <t>taylorkwinship</t>
  </si>
  <si>
    <t>Mon May 02 08:13:29 +0000 2022</t>
  </si>
  <si>
    <t>116042387</t>
  </si>
  <si>
    <t>http://pbs.twimg.com/profile_images/1492073431336198161/Pdunf71X_normal.jpg</t>
  </si>
  <si>
    <t>Cheshire, England</t>
  </si>
  <si>
    <t>http://twitter.com/taylorkwinship/statuses/1521040162918211585</t>
  </si>
  <si>
    <t>1521040136183717889</t>
  </si>
  <si>
    <t>dr__amanda_</t>
  </si>
  <si>
    <t>Mon May 02 08:13:22 +0000 2022</t>
  </si>
  <si>
    <t>37893372</t>
  </si>
  <si>
    <t>http://pbs.twimg.com/profile_images/1221496867785256960/_aIcAkir_normal.jpg</t>
  </si>
  <si>
    <t>http://twitter.com/dr__amanda_/statuses/1521040136183717889</t>
  </si>
  <si>
    <t>1521040089039753217</t>
  </si>
  <si>
    <t>susyJack123</t>
  </si>
  <si>
    <t>Mon May 02 08:13:11 +0000 2022</t>
  </si>
  <si>
    <t>3382712619</t>
  </si>
  <si>
    <t>http://pbs.twimg.com/profile_images/1368846449635639297/Q2WCpRok_normal.jpg</t>
  </si>
  <si>
    <t>Kent. Designated Lorry Park</t>
  </si>
  <si>
    <t>http://twitter.com/susyJack123/statuses/1521040089039753217</t>
  </si>
  <si>
    <t>1521040015882604544</t>
  </si>
  <si>
    <t>alison_born</t>
  </si>
  <si>
    <t>Mon May 02 08:12:54 +0000 2022</t>
  </si>
  <si>
    <t>3294322697</t>
  </si>
  <si>
    <t>http://pbs.twimg.com/profile_images/1320807571477962753/AWuLF508_normal.jpg</t>
  </si>
  <si>
    <t>Bath, England</t>
  </si>
  <si>
    <t>http://twitter.com/alison_born/statuses/1521040015882604544</t>
  </si>
  <si>
    <t>1521039942750769152</t>
  </si>
  <si>
    <t>@pappawesty @NewSiddy @glenspringhall @JujuliaGrace @AlisdairLiddle @EveryDoctorUK Kindly explain what #Brexit has delivered, that couldn’t have been achieved within the EU.</t>
  </si>
  <si>
    <t>Mon May 02 08:12:36 +0000 2022</t>
  </si>
  <si>
    <t>1521039385260703744</t>
  </si>
  <si>
    <t>http://twitter.com/BrexitPhobe/statuses/1521039942750769152</t>
  </si>
  <si>
    <t>{"hashtags":[{"text":"Brexit","indices":[103,110]}],"symbols":[],"user_mentions":[{"screen_name":"pappawesty","name":"Pappa Westy","id":432727790,"id_str":"432727790","indices":[0,11]},{"screen_name":"NewSiddy","name":"New York Siddy","id":1197337890663125000,"id_str":"1197337890663124993","indices":[12,21]},{"screen_name":"glenspringhall","name":"glen springhall🏴󠁧󠁢󠁥󠁮󠁧󠁿","id":296090899,"id_str":"296090899","indices":[22,37]},{"screen_name":"JujuliaGrace","name":"Dr Julia Grace Patterson💙","id":1315053256343720000,"id_str":"1315053256343719936","indices":[38,51]},{"screen_name":"AlisdairLiddle","name":"alisdair liddle","id":1138881855355314200,"id_str":"1138881855355314176","indices":[52,67]},{"screen_name":"EveryDoctorUK","name":"EveryDoctor","id":1075356324072972300,"id_str":"1075356324072972288","indices":[68,82]}],"urls":[]}</t>
  </si>
  <si>
    <t>1521039931564515328</t>
  </si>
  <si>
    <t>10_000BC</t>
  </si>
  <si>
    <t>@timfarron The Tories were concerned about EU wealth tax regulations and protecting their first-past-the-post, right-wing voting monopoly. They made a pact with the Brexit Party and UKIP to 'Get #Brexit done', appointed BoJo the clown their leader and are now an international laughing stock</t>
  </si>
  <si>
    <t>Mon May 02 08:12:33 +0000 2022</t>
  </si>
  <si>
    <t>80021045</t>
  </si>
  <si>
    <t>timfarron</t>
  </si>
  <si>
    <t>482898252</t>
  </si>
  <si>
    <t>1520761645018009600</t>
  </si>
  <si>
    <t>http://pbs.twimg.com/profile_images/431177639953715200/9qKNbjEc_normal.jpeg</t>
  </si>
  <si>
    <t>http://twitter.com/10_000BC/statuses/1521039931564515328</t>
  </si>
  <si>
    <t>{"hashtags":[{"text":"Brexit","indices":[195,202]}],"symbols":[],"user_mentions":[{"screen_name":"timfarron","name":"Tim Farron","id":80021045,"id_str":"80021045","indices":[0,10]}],"urls":[]}</t>
  </si>
  <si>
    <t>1521039811414482946</t>
  </si>
  <si>
    <t>ilmomento</t>
  </si>
  <si>
    <t>Mon May 02 08:12:05 +0000 2022</t>
  </si>
  <si>
    <t>21075110</t>
  </si>
  <si>
    <t>http://pbs.twimg.com/profile_images/1260520096667238401/fVc132p-_normal.jpg</t>
  </si>
  <si>
    <t>Vale of Glamorgan</t>
  </si>
  <si>
    <t>http://twitter.com/ilmomento/statuses/1521039811414482946</t>
  </si>
  <si>
    <t>1521039781177827329</t>
  </si>
  <si>
    <t>@MarinaPurkiss Will Tories now cynically say Sir Keir Starmer QC's Make (Hard) #Brexit Work plan would be an act of economic self harm?
Labour's spent last two years under Starmer trying not to criticise Brexit and now they've been outmanoeuvred by the Tories.
Time for Starmer to get a grip.</t>
  </si>
  <si>
    <t>Mon May 02 08:11:58 +0000 2022</t>
  </si>
  <si>
    <t>58436094</t>
  </si>
  <si>
    <t>MarinaPurkiss</t>
  </si>
  <si>
    <t>1521038565035102208</t>
  </si>
  <si>
    <t>http://twitter.com/MarkHazard2020/statuses/1521039781177827329</t>
  </si>
  <si>
    <t>{"hashtags":[{"text":"Brexit","indices":[79,86]}],"symbols":[],"user_mentions":[{"screen_name":"MarinaPurkiss","name":"Marina Purkiss","id":58436094,"id_str":"58436094","indices":[0,14]}],"urls":[]}</t>
  </si>
  <si>
    <t>1521039767445647360</t>
  </si>
  <si>
    <t>InLeaving</t>
  </si>
  <si>
    <t>RT @SimonFoxWriter: The #Boris-hater's personality/cultural profile: hates Boris; hates #Brexit; hates the #UK; hates working-class people; hates #FreeSpeech; hates the #North; loves the #EU; loves being #rich; claims to care about the #Earth but loves flying to distant, exotic holiday destinations.</t>
  </si>
  <si>
    <t>Mon May 02 08:11:54 +0000 2022</t>
  </si>
  <si>
    <t>1073222352559841281</t>
  </si>
  <si>
    <t>http://pbs.twimg.com/profile_images/1500071920796008449/yflFbUUM_normal.jpg</t>
  </si>
  <si>
    <t>East, England</t>
  </si>
  <si>
    <t>http://twitter.com/InLeaving/statuses/1521039767445647360</t>
  </si>
  <si>
    <t>{"hashtags":[{"text":"Boris","indices":[24,30]},{"text":"Brexit","indices":[88,95]},{"text":"UK","indices":[107,110]}],"symbols":[],"user_mentions":[{"screen_name":"SimonFoxWriter","name":"Simon Fox","id":71008115,"id_str":"71008115","indices":[3,18]}],"urls":[]}</t>
  </si>
  <si>
    <t>1521039760281772032</t>
  </si>
  <si>
    <t>mrundkvist</t>
  </si>
  <si>
    <t>London is famous for ethnic diversity. I've heard so many languages here over the past few days, including Icelandic and Göteborg patois. On a whim I checked the #Brexit referendum results. Yellow is Remain. https://t.co/eJ4uuYe9pk</t>
  </si>
  <si>
    <t>Mon May 02 08:11:53 +0000 2022</t>
  </si>
  <si>
    <t>142029754</t>
  </si>
  <si>
    <t>http://pbs.twimg.com/profile_images/1293097373716054016/DkvH9lZi_normal.jpg</t>
  </si>
  <si>
    <t>Stockholm, Sweden</t>
  </si>
  <si>
    <t>http://twitter.com/mrundkvist/statuses/1521039760281772032</t>
  </si>
  <si>
    <t>{"hashtags":[{"text":"Brexit","indices":[162,169]}],"symbols":[],"user_mentions":[],"urls":[],"media":[{"id":1521039754535571500,"id_str":"1521039754535571457","indices":[208,231],"media_url":"http://pbs.twimg.com/media/FRvRmRJXEAETdx8.jpg","media_url_https":"https://pbs.twimg.com/media/FRvRmRJXEAETdx8.jpg","url":"https://t.co/eJ4uuYe9pk","display_url":"pic.twitter.com/eJ4uuYe9pk","expanded_url":"https://twitter.com/mrundkvist/status/1521039760281772032/photo/1","type":"photo","sizes":{"large":{"w":732,"h":815,"resize":"fit"},"thumb":{"w":150,"h":150,"resize":"crop"},"medium":{"w":732,"h":815,"resize":"fit"},"small":{"w":611,"h":680,"resize":"fit"}}}]}</t>
  </si>
  <si>
    <t>1521039759115751425</t>
  </si>
  <si>
    <t>UncleBobW</t>
  </si>
  <si>
    <t>Mon May 02 08:11:52 +0000 2022</t>
  </si>
  <si>
    <t>30722585</t>
  </si>
  <si>
    <t>http://pbs.twimg.com/profile_images/3288764010/c6b3f973b29f6ba4f992f9799e358cf2_normal.jpeg</t>
  </si>
  <si>
    <t>http://twitter.com/UncleBobW/statuses/1521039759115751425</t>
  </si>
  <si>
    <t>1521039668715958272</t>
  </si>
  <si>
    <t>yasmina_ss</t>
  </si>
  <si>
    <t>Mon May 02 08:11:31 +0000 2022</t>
  </si>
  <si>
    <t>340545072</t>
  </si>
  <si>
    <t>http://pbs.twimg.com/profile_images/1340992351469223936/t2gZciUM_normal.jpg</t>
  </si>
  <si>
    <t>present</t>
  </si>
  <si>
    <t>http://twitter.com/yasmina_ss/statuses/1521039668715958272</t>
  </si>
  <si>
    <t>1521039637610967041</t>
  </si>
  <si>
    <t>JoBail5</t>
  </si>
  <si>
    <t>Mon May 02 08:11:23 +0000 2022</t>
  </si>
  <si>
    <t>2415132730</t>
  </si>
  <si>
    <t>http://pbs.twimg.com/profile_images/1417756462022021123/uEn_cGhx_normal.jpg</t>
  </si>
  <si>
    <t>http://twitter.com/JoBail5/statuses/1521039637610967041</t>
  </si>
  <si>
    <t>1521039609333002242</t>
  </si>
  <si>
    <t>WynEdwards</t>
  </si>
  <si>
    <t>Mon May 02 08:11:17 +0000 2022</t>
  </si>
  <si>
    <t>1363449776495353857</t>
  </si>
  <si>
    <t>http://twitter.com/WynEdwards/statuses/1521039609333002242</t>
  </si>
  <si>
    <t>1521039531197321216</t>
  </si>
  <si>
    <t>LukeWar73493682</t>
  </si>
  <si>
    <t>Mon May 02 08:10:58 +0000 2022</t>
  </si>
  <si>
    <t>1275709796117815297</t>
  </si>
  <si>
    <t>http://pbs.twimg.com/profile_images/1275804805190082561/RPG0LuGl_normal.jpg</t>
  </si>
  <si>
    <t>http://twitter.com/LukeWar73493682/statuses/1521039531197321216</t>
  </si>
  <si>
    <t>1521039413807038464</t>
  </si>
  <si>
    <t>adcp4</t>
  </si>
  <si>
    <t>Mon May 02 08:10:30 +0000 2022</t>
  </si>
  <si>
    <t>2206645362</t>
  </si>
  <si>
    <t>http://pbs.twimg.com/profile_images/1315004411215777792/yMpBvVBe_normal.jpg</t>
  </si>
  <si>
    <t>http://twitter.com/adcp4/statuses/1521039413807038464</t>
  </si>
  <si>
    <t>1521039349713932289</t>
  </si>
  <si>
    <t>kr31133</t>
  </si>
  <si>
    <t>RT @BrexitFails: Which part of 'LEAVING THE EU' doesn't he grasp yet ?
#brexit #brexitreality https://t.co/DMKNJ4IDO5</t>
  </si>
  <si>
    <t>Mon May 02 08:10:15 +0000 2022</t>
  </si>
  <si>
    <t>1071396742623571968</t>
  </si>
  <si>
    <t>http://pbs.twimg.com/profile_images/1314802345394528256/X4mfgWFP_normal.jpg</t>
  </si>
  <si>
    <t>http://twitter.com/kr31133/statuses/1521039349713932289</t>
  </si>
  <si>
    <t>{"hashtags":[{"text":"brexit","indices":[72,79]},{"text":"brexitreality","indices":[80,94]}],"symbols":[],"user_mentions":[{"screen_name":"BrexitFails","name":"Brexit Fails","id":1405773316284059600,"id_str":"1405773316284059648","indices":[3,15]}],"urls":[]}</t>
  </si>
  <si>
    <t>1521039341790932992</t>
  </si>
  <si>
    <t>RT @BrexitFails: Strange eh !
From the Economist.
#brexit #brexitreality https://t.co/2KB7w77n6l</t>
  </si>
  <si>
    <t>Mon May 02 08:10:13 +0000 2022</t>
  </si>
  <si>
    <t>http://twitter.com/kr31133/statuses/1521039341790932992</t>
  </si>
  <si>
    <t>{"hashtags":[{"text":"brexit","indices":[52,59]},{"text":"brexitreality","indices":[60,74]}],"symbols":[],"user_mentions":[{"screen_name":"BrexitFails","name":"Brexit Fails","id":1405773316284059600,"id_str":"1405773316284059648","indices":[3,15]}],"urls":[],"media":[{"id":1520747241128005600,"id_str":"1520747241128005632","indices":[75,98],"media_url":"http://pbs.twimg.com/media/FRrHjvyXEAAGwTj.png","media_url_https":"https://pbs.twimg.com/media/FRrHjvyXEAAGwTj.png","url":"https://t.co/2KB7w77n6l","display_url":"pic.twitter.com/2KB7w77n6l","expanded_url":"https://twitter.com/BrexitFails/status/1520747590270304257/photo/1","type":"photo","sizes":{"large":{"w":832,"h":708,"resize":"fit"},"medium":{"w":832,"h":708,"resize":"fit"},"thumb":{"w":150,"h":150,"resize":"crop"},"small":{"w":680,"h":579,"resize":"fit"}},"source_status_id":1520747590270304300,"source_status_id_str":"1520747590270304257","source_user_id":1405773316284059600,"source_user_id_str":"1405773316284059648"}]}</t>
  </si>
  <si>
    <t>1521039334501228544</t>
  </si>
  <si>
    <t>RT @BrexitFails: This is the same man who wanted #brexit compensation from the government after ......
actively promoting Brexit.
Could well be libellous too @AngelaRayner https://t.co/yqkB7jEDPu</t>
  </si>
  <si>
    <t>Mon May 02 08:10:11 +0000 2022</t>
  </si>
  <si>
    <t>http://twitter.com/kr31133/statuses/1521039334501228544</t>
  </si>
  <si>
    <t>{"hashtags":[{"text":"brexit","indices":[49,56]}],"symbols":[],"user_mentions":[{"screen_name":"BrexitFails","name":"Brexit Fails","id":1405773316284059600,"id_str":"1405773316284059648","indices":[3,15]}],"urls":[]}</t>
  </si>
  <si>
    <t>1521039328331370503</t>
  </si>
  <si>
    <t>PaulWyatt2</t>
  </si>
  <si>
    <t>Mon May 02 08:10:10 +0000 2022</t>
  </si>
  <si>
    <t>433318795</t>
  </si>
  <si>
    <t>http://pbs.twimg.com/profile_images/890146201412284416/D3edrHlV_normal.jpg</t>
  </si>
  <si>
    <t>The North</t>
  </si>
  <si>
    <t>http://twitter.com/PaulWyatt2/statuses/1521039328331370503</t>
  </si>
  <si>
    <t>1521039324409700352</t>
  </si>
  <si>
    <t>LindaPe65733897</t>
  </si>
  <si>
    <t>Mon May 02 08:10:09 +0000 2022</t>
  </si>
  <si>
    <t>1078618274072543232</t>
  </si>
  <si>
    <t>http://pbs.twimg.com/profile_images/1497677929798582275/m9TkRKL1_normal.jpg</t>
  </si>
  <si>
    <t>http://twitter.com/LindaPe65733897/statuses/1521039324409700352</t>
  </si>
  <si>
    <t>1521039296500838403</t>
  </si>
  <si>
    <t>PaulWhelan745</t>
  </si>
  <si>
    <t>@karlanderson111 It's already quite clear #Brexit was not in Britain's broader national interest.
It was driven by a privileged elite averse to a more equitable distribution of wealth and rights and/or by a nationalism that puts country above community.
These are classic Conservative values.</t>
  </si>
  <si>
    <t>Mon May 02 08:10:02 +0000 2022</t>
  </si>
  <si>
    <t>755741270</t>
  </si>
  <si>
    <t>karlanderson111</t>
  </si>
  <si>
    <t>582867073</t>
  </si>
  <si>
    <t>1521008301349163009</t>
  </si>
  <si>
    <t>http://pbs.twimg.com/profile_images/688997128270663681/3AV2-uFl_normal.jpg</t>
  </si>
  <si>
    <t>South Africa</t>
  </si>
  <si>
    <t>http://twitter.com/PaulWhelan745/statuses/1521039296500838403</t>
  </si>
  <si>
    <t>{"hashtags":[{"text":"Brexit","indices":[42,49]}],"symbols":[],"user_mentions":[{"screen_name":"karlanderson111","name":"karl anderson","id":755741270,"id_str":"755741270","indices":[0,16]}],"urls":[]}</t>
  </si>
  <si>
    <t>1521039294902767616</t>
  </si>
  <si>
    <t>RT @BrexitFails: The real #brexit #BrexitReality https://t.co/fWnAJCOTQJ</t>
  </si>
  <si>
    <t>http://twitter.com/kr31133/statuses/1521039294902767616</t>
  </si>
  <si>
    <t>{"hashtags":[{"text":"brexit","indices":[26,33]},{"text":"BrexitReality","indices":[34,48]}],"symbols":[],"user_mentions":[{"screen_name":"BrexitFails","name":"Brexit Fails","id":1405773316284059600,"id_str":"1405773316284059648","indices":[3,15]}],"urls":[],"media":[{"id":1508695407081181200,"id_str":"1508695407081181185","indices":[49,72],"media_url":"http://pbs.twimg.com/media/FO_2erVWUAEMzPj.jpg","media_url_https":"https://pbs.twimg.com/media/FO_2erVWUAEMzPj.jpg","url":"https://t.co/fWnAJCOTQJ","display_url":"pic.twitter.com/fWnAJCOTQJ","expanded_url":"https://twitter.com/BrexitFails/status/1508695483597922306/photo/1","type":"photo","sizes":{"thumb":{"w":150,"h":150,"resize":"crop"},"small":{"w":531,"h":680,"resize":"fit"},"large":{"w":1600,"h":2048,"resize":"fit"},"medium":{"w":937,"h":1200,"resize":"fit"}},"source_status_id":1508695483597922300,"source_status_id_str":"1508695483597922306","source_user_id":1405773316284059600,"source_user_id_str":"1405773316284059648"}]}</t>
  </si>
  <si>
    <t>1521039285109022720</t>
  </si>
  <si>
    <t>gkp107</t>
  </si>
  <si>
    <t>Mon May 02 08:09:59 +0000 2022</t>
  </si>
  <si>
    <t>2787446632</t>
  </si>
  <si>
    <t>http://pbs.twimg.com/profile_images/713710555714961408/xeK6Z4mD_normal.jpg</t>
  </si>
  <si>
    <t>Rhos-on-Sea, Wales</t>
  </si>
  <si>
    <t>http://twitter.com/gkp107/statuses/1521039285109022720</t>
  </si>
  <si>
    <t>1521039157023285248</t>
  </si>
  <si>
    <t>Dari1974</t>
  </si>
  <si>
    <t>Mon May 02 08:09:29 +0000 2022</t>
  </si>
  <si>
    <t>558506719</t>
  </si>
  <si>
    <t>http://pbs.twimg.com/profile_images/667986547644473345/4sLzXNjk_normal.jpg</t>
  </si>
  <si>
    <t>http://twitter.com/Dari1974/statuses/1521039157023285248</t>
  </si>
  <si>
    <t>1521039103378272256</t>
  </si>
  <si>
    <t>TheScri76057990</t>
  </si>
  <si>
    <t>Mon May 02 08:09:16 +0000 2022</t>
  </si>
  <si>
    <t>1048301208744742913</t>
  </si>
  <si>
    <t>http://pbs.twimg.com/profile_images/1049008883287711744/tjY2gY1f_normal.jpg</t>
  </si>
  <si>
    <t>http://twitter.com/TheScri76057990/statuses/1521039103378272256</t>
  </si>
  <si>
    <t>1521039082394206208</t>
  </si>
  <si>
    <t>TaraOCo38612075</t>
  </si>
  <si>
    <t>RT @CharenteMec: #Brexit supported by 37% of  Electorate in 2016.
#Johnson's Government supported by 27% of the Electorate in 2019.
Britain has no checks &amp;amp; balances, no written Constitution and a toothless Head of State.
#ProportionalRepresentation  and #WrittenConstitution decades overdue.</t>
  </si>
  <si>
    <t>Mon May 02 08:09:11 +0000 2022</t>
  </si>
  <si>
    <t>1439298802674962433</t>
  </si>
  <si>
    <t>http://pbs.twimg.com/profile_images/1439300480895758345/SQ5en8D6_normal.jpg</t>
  </si>
  <si>
    <t>http://twitter.com/TaraOCo38612075/statuses/1521039082394206208</t>
  </si>
  <si>
    <t>{"hashtags":[{"text":"Brexit","indices":[17,24]},{"text":"Johnson","indices":[67,75]}],"symbols":[],"user_mentions":[{"screen_name":"CharenteMec","name":"Trévor 🇨🇵🇪🇺🌈","id":1356229535306571800,"id_str":"1356229535306571778","indices":[3,15]}],"urls":[]}</t>
  </si>
  <si>
    <t>1521039075683315712</t>
  </si>
  <si>
    <t>BouldingPeter</t>
  </si>
  <si>
    <t>Mon May 02 08:09:09 +0000 2022</t>
  </si>
  <si>
    <t>1459273000910561285</t>
  </si>
  <si>
    <t>http://pbs.twimg.com/profile_images/1459273245396459524/oMqcoS-f_normal.png</t>
  </si>
  <si>
    <t>http://twitter.com/BouldingPeter/statuses/1521039075683315712</t>
  </si>
  <si>
    <t>1521039057630937088</t>
  </si>
  <si>
    <t>Wallwin80</t>
  </si>
  <si>
    <t>Mon May 02 08:09:05 +0000 2022</t>
  </si>
  <si>
    <t>834414347531194369</t>
  </si>
  <si>
    <t>http://pbs.twimg.com/profile_images/1458085712050413581/eh8FFs0U_normal.jpg</t>
  </si>
  <si>
    <t>http://twitter.com/Wallwin80/statuses/1521039057630937088</t>
  </si>
  <si>
    <t>1521039038056177664</t>
  </si>
  <si>
    <t>StevenHeywood</t>
  </si>
  <si>
    <t>Mon May 02 08:09:00 +0000 2022</t>
  </si>
  <si>
    <t>34261810</t>
  </si>
  <si>
    <t>http://pbs.twimg.com/profile_images/1282400597120094225/1cCepl8I_normal.jpg</t>
  </si>
  <si>
    <t>Stretford</t>
  </si>
  <si>
    <t>http://twitter.com/StevenHeywood/statuses/1521039038056177664</t>
  </si>
  <si>
    <t>1521038876332240896</t>
  </si>
  <si>
    <t>dot50dowling</t>
  </si>
  <si>
    <t>Mon May 02 08:08:22 +0000 2022</t>
  </si>
  <si>
    <t>2740375810</t>
  </si>
  <si>
    <t>http://pbs.twimg.com/profile_images/499122239208308736/0gLSThE5_normal.jpeg</t>
  </si>
  <si>
    <t>http://twitter.com/dot50dowling/statuses/1521038876332240896</t>
  </si>
  <si>
    <t>1521038820342484993</t>
  </si>
  <si>
    <t>daveRessex</t>
  </si>
  <si>
    <t>Bank of England ‘duty bound’ to trigger #recession …must shrink the UK economy to limit upward pressure on prices made worse by #conservative #Brexit.
more jobs losses and higher interest rates, and #Brexit isn’t done, worse to come
Vote for anybody else
 https://t.co/DeJtA1c0XH</t>
  </si>
  <si>
    <t>Mon May 02 08:08:08 +0000 2022</t>
  </si>
  <si>
    <t>41072365</t>
  </si>
  <si>
    <t>http://pbs.twimg.com/profile_images/779081996756721664/RBEKPq0A_normal.jpg</t>
  </si>
  <si>
    <t>http://twitter.com/daveRessex/statuses/1521038820342484993</t>
  </si>
  <si>
    <t>{"hashtags":[{"text":"recession","indices":[40,50]},{"text":"conservative","indices":[128,141]},{"text":"Brexit","indices":[142,149]},{"text":"Brexit","indices":[199,206]}],"symbols":[],"user_mentions":[],"urls":[{"url":"https://t.co/DeJtA1c0XH","expanded_url":"https://www.theguardian.com/business/2022/may/01/bank-of-england-duty-bound-to-trigger-recession-to-curb-inflation?CMP=Share_iOSApp_Other","display_url":"theguardian.com/business/2022/…","indices":[256,279]}]}</t>
  </si>
  <si>
    <t>1521038796833316864</t>
  </si>
  <si>
    <t>Draculadarkan</t>
  </si>
  <si>
    <t>Jusqu'ici la Russie vous a sortie de ca ca ! Et les media bien sûr choisie  par les #Potus #SMSGATE   #BREXIT 🔑🔑🔑</t>
  </si>
  <si>
    <t>Mon May 02 08:08:03 +0000 2022</t>
  </si>
  <si>
    <t>855378167426666496</t>
  </si>
  <si>
    <t>http://pbs.twimg.com/profile_images/1519693611679588352/ilkOM9su_normal.jpg</t>
  </si>
  <si>
    <t>Roumanie</t>
  </si>
  <si>
    <t>http://twitter.com/Draculadarkan/statuses/1521038796833316864</t>
  </si>
  <si>
    <t>{"hashtags":[{"text":"Potus","indices":[84,90]},{"text":"SMSGATE","indices":[91,99]},{"text":"BREXIT","indices":[102,109]}],"symbols":[],"user_mentions":[],"urls":[]}</t>
  </si>
  <si>
    <t>1521038762704347139</t>
  </si>
  <si>
    <t>piciniscoceltic</t>
  </si>
  <si>
    <t>RT @VerityKalcev: @pollymackenzie @LittleGravitas What annoys me about Birbalsingh is her pupils being unable to access the #Erasmus education scheme at university which her former/founding governor politician @suellabraverman benefited from &amp;amp; then voted to prevent others enjoying. #Brexit #Hypocrite</t>
  </si>
  <si>
    <t>Mon May 02 08:07:55 +0000 2022</t>
  </si>
  <si>
    <t>591257775</t>
  </si>
  <si>
    <t>http://pbs.twimg.com/profile_images/898992071956201473/jqZLnQ2T_normal.jpg</t>
  </si>
  <si>
    <t>http://twitter.com/piciniscoceltic/statuses/1521038762704347139</t>
  </si>
  <si>
    <t>{"hashtags":[{"text":"Erasmus","indices":[124,132]}],"symbols":[],"user_mentions":[{"screen_name":"VerityKalcev","name":"Verity Kalcev","id":771611432,"id_str":"771611432","indices":[3,16]},{"screen_name":"pollymackenzie","name":"Polly Mackenzie","id":20452430,"id_str":"20452430","indices":[18,33]},{"screen_name":"LittleGravitas","name":"LittleGravitas (masked) — 🇺🇦 🌻 🇪🇺 💙 #FBPE","id":1106209087,"id_str":"1106209087","indices":[34,49]}],"urls":[]}</t>
  </si>
  <si>
    <t>1521038735500001280</t>
  </si>
  <si>
    <t>BarondeBrock</t>
  </si>
  <si>
    <t>Mon May 02 08:07:48 +0000 2022</t>
  </si>
  <si>
    <t>263203394</t>
  </si>
  <si>
    <t>http://twitter.com/BarondeBrock/statuses/1521038735500001280</t>
  </si>
  <si>
    <t>1521038660241702913</t>
  </si>
  <si>
    <t>clairerendall1</t>
  </si>
  <si>
    <t>Mon May 02 08:07:30 +0000 2022</t>
  </si>
  <si>
    <t>2987494786</t>
  </si>
  <si>
    <t>http://pbs.twimg.com/profile_images/559757883928100864/Q-vM10sS_normal.jpeg</t>
  </si>
  <si>
    <t>Bath London Sydney</t>
  </si>
  <si>
    <t>http://twitter.com/clairerendall1/statuses/1521038660241702913</t>
  </si>
  <si>
    <t>1521038638146015233</t>
  </si>
  <si>
    <t>hazelbagend</t>
  </si>
  <si>
    <t>Mon May 02 08:07:25 +0000 2022</t>
  </si>
  <si>
    <t>383719410</t>
  </si>
  <si>
    <t>http://pbs.twimg.com/profile_images/860289567714181120/78Pk2Tkf_normal.jpg</t>
  </si>
  <si>
    <t>Lfiklgjrylîlefkgkgofg</t>
  </si>
  <si>
    <t>http://twitter.com/hazelbagend/statuses/1521038638146015233</t>
  </si>
  <si>
    <t>1521038633142308866</t>
  </si>
  <si>
    <t>LeniNicholls</t>
  </si>
  <si>
    <t>Mon May 02 08:07:24 +0000 2022</t>
  </si>
  <si>
    <t>838634407</t>
  </si>
  <si>
    <t>http://pbs.twimg.com/profile_images/1383049506313400323/iLDZritp_normal.jpg</t>
  </si>
  <si>
    <t>wisbech</t>
  </si>
  <si>
    <t>http://twitter.com/LeniNicholls/statuses/1521038633142308866</t>
  </si>
  <si>
    <t>1521038576712093696</t>
  </si>
  <si>
    <t>IslandNumber</t>
  </si>
  <si>
    <t>Mon May 02 08:07:10 +0000 2022</t>
  </si>
  <si>
    <t>1097996934722347010</t>
  </si>
  <si>
    <t>http://pbs.twimg.com/profile_images/1171374398022017025/ps8zQdRA_normal.jpg</t>
  </si>
  <si>
    <t>http://twitter.com/IslandNumber/statuses/1521038576712093696</t>
  </si>
  <si>
    <t>1521038576120700928</t>
  </si>
  <si>
    <t>timg33</t>
  </si>
  <si>
    <t>490636475</t>
  </si>
  <si>
    <t>http://pbs.twimg.com/profile_images/2871330713/ba25dc9dbfa13a52f9793ec5b264f777_normal.jpeg</t>
  </si>
  <si>
    <t>Ramsgate, Kent, UK</t>
  </si>
  <si>
    <t>http://twitter.com/timg33/statuses/1521038576120700928</t>
  </si>
  <si>
    <t>1521038522173505536</t>
  </si>
  <si>
    <t>@AkanKwaku Appalling ignorance, so sorry you have to endure the shitty boosterism of this government. Play along, one day the real UK will creep back into view, #brexit nearly killed it.</t>
  </si>
  <si>
    <t>Mon May 02 08:06:57 +0000 2022</t>
  </si>
  <si>
    <t>1351132131716722695</t>
  </si>
  <si>
    <t>AkanKwaku</t>
  </si>
  <si>
    <t>1520750064762855425</t>
  </si>
  <si>
    <t>http://twitter.com/franjangle/statuses/1521038522173505536</t>
  </si>
  <si>
    <t>{"hashtags":[{"text":"brexit","indices":[161,168]}],"symbols":[],"user_mentions":[{"screen_name":"AkanKwaku","name":"Kwaku Akan","id":1351132131716722700,"id_str":"1351132131716722695","indices":[0,10]}],"urls":[]}</t>
  </si>
  <si>
    <t>1521038504981155840</t>
  </si>
  <si>
    <t>Greyman49</t>
  </si>
  <si>
    <t>RT @jdpoc: The #Brexit that #Brexit’ers were promised … and the #Brexit that they got. https://t.co/38gW8n1klq</t>
  </si>
  <si>
    <t>Mon May 02 08:06:53 +0000 2022</t>
  </si>
  <si>
    <t>1369500372</t>
  </si>
  <si>
    <t>http://pbs.twimg.com/profile_images/1354805370909118470/c7JI9tbK_normal.jpg</t>
  </si>
  <si>
    <t>Salford, England</t>
  </si>
  <si>
    <t>http://twitter.com/Greyman49/statuses/1521038504981155840</t>
  </si>
  <si>
    <t>{"hashtags":[{"text":"Brexit","indices":[15,22]},{"text":"Brexit","indices":[28,35]},{"text":"Brexit","indices":[64,71]}],"symbols":[],"user_mentions":[{"screen_name":"jdpoc","name":"John O'Connell","id":213243802,"id_str":"213243802","indices":[3,9]}],"urls":[],"media":[{"id":1520517915950387200,"id_str":"1520517915950387202","indices":[87,110],"media_url":"http://pbs.twimg.com/media/FRn2_Q7XEAI_z_p.jpg","media_url_https":"https://pbs.twimg.com/media/FRn2_Q7XEAI_z_p.jpg","url":"https://t.co/38gW8n1klq","display_url":"pic.twitter.com/38gW8n1klq","expanded_url":"https://twitter.com/jdpoc/status/1520517920543100931/photo/1","type":"photo","sizes":{"large":{"w":2048,"h":2048,"resize":"fit"},"thumb":{"w":150,"h":150,"resize":"crop"},"medium":{"w":1200,"h":1200,"resize":"fit"},"small":{"w":680,"h":680,"resize":"fit"}},"source_status_id":1520517920543101000,"source_status_id_str":"1520517920543100931","source_user_id":213243802,"source_user_id_str":"213243802"}]}</t>
  </si>
  <si>
    <t>1521038488837185537</t>
  </si>
  <si>
    <t>@Masios3 @NickWebb73 @GyllKing @capitanotonz I have already said I misunderstood and was wrong. I thought the D/L rules applied to all Brits. They did immediately after #Brexit across entire EU. Various bi-lateral deals have been done since. 🤷‍♂️</t>
  </si>
  <si>
    <t>Mon May 02 08:06:49 +0000 2022</t>
  </si>
  <si>
    <t>1521036017532293121</t>
  </si>
  <si>
    <t>http://twitter.com/jezobrien/statuses/1521038488837185537</t>
  </si>
  <si>
    <t>{"hashtags":[{"text":"Brexit","indices":[169,176]}],"symbols":[],"user_mentions":[{"screen_name":"Masios3","name":"Masios","id":1076153101973971000,"id_str":"1076153101973970944","indices":[0,8]},{"screen_name":"NickWebb73","name":"Nick Webb","id":1568866248,"id_str":"1568866248","indices":[9,20]},{"screen_name":"GyllKing","name":"Lady Sir Gyll King","id":1292863282165026800,"id_str":"1292863282165026817","indices":[21,30]},{"screen_name":"capitanotonz","name":"anthony cummins","id":61614170,"id_str":"61614170","indices":[31,44]}],"urls":[]}</t>
  </si>
  <si>
    <t>1521038485913800705</t>
  </si>
  <si>
    <t>whitepippin</t>
  </si>
  <si>
    <t>573033237</t>
  </si>
  <si>
    <t>http://twitter.com/whitepippin/statuses/1521038485913800705</t>
  </si>
  <si>
    <t>1521038424630775809</t>
  </si>
  <si>
    <t>Walshy2521</t>
  </si>
  <si>
    <t>Mon May 02 08:06:34 +0000 2022</t>
  </si>
  <si>
    <t>1173199341621846016</t>
  </si>
  <si>
    <t>http://twitter.com/Walshy2521/statuses/1521038424630775809</t>
  </si>
  <si>
    <t>1521038373179244544</t>
  </si>
  <si>
    <t>KevinAtp</t>
  </si>
  <si>
    <t>Mon May 02 08:06:22 +0000 2022</t>
  </si>
  <si>
    <t>333074358</t>
  </si>
  <si>
    <t>http://pbs.twimg.com/profile_images/752471579976695808/GbHuAvLY_normal.jpg</t>
  </si>
  <si>
    <t>http://twitter.com/KevinAtp/statuses/1521038373179244544</t>
  </si>
  <si>
    <t>1521038308599648256</t>
  </si>
  <si>
    <t>AbbieOBrien1</t>
  </si>
  <si>
    <t>Mon May 02 08:06:06 +0000 2022</t>
  </si>
  <si>
    <t>303259306</t>
  </si>
  <si>
    <t>http://pbs.twimg.com/profile_images/1252542220022034432/TFVau4HI_normal.jpg</t>
  </si>
  <si>
    <t>http://twitter.com/AbbieOBrien1/statuses/1521038308599648256</t>
  </si>
  <si>
    <t>1521038304430505984</t>
  </si>
  <si>
    <t>GeorgeBaynard</t>
  </si>
  <si>
    <t>Mon May 02 08:06:05 +0000 2022</t>
  </si>
  <si>
    <t>974191655996796929</t>
  </si>
  <si>
    <t>http://pbs.twimg.com/profile_images/979093507393642496/PzBDSMQA_normal.jpg</t>
  </si>
  <si>
    <t>http://twitter.com/GeorgeBaynard/statuses/1521038304430505984</t>
  </si>
  <si>
    <t>1521038292963241984</t>
  </si>
  <si>
    <t>It's now quite clear #Brexit was not in Britain's broader national interest.
It was driven by a privileged elite averse to a more equitable distribution of wealth and rights and/or by a nationalism that puts country above community.
These are classic Conservative values.</t>
  </si>
  <si>
    <t>Mon May 02 08:06:03 +0000 2022</t>
  </si>
  <si>
    <t>http://twitter.com/PaulWhelan745/statuses/1521038292963241984</t>
  </si>
  <si>
    <t>{"hashtags":[{"text":"Brexit","indices":[21,28]}],"symbols":[],"user_mentions":[],"urls":[]}</t>
  </si>
  <si>
    <t>1521038267411537920</t>
  </si>
  <si>
    <t>OliveEaton16</t>
  </si>
  <si>
    <t>Mon May 02 08:05:57 +0000 2022</t>
  </si>
  <si>
    <t>1139185022857035776</t>
  </si>
  <si>
    <t>http://pbs.twimg.com/profile_images/1497465102769000452/ERdNryye_normal.jpg</t>
  </si>
  <si>
    <t>http://twitter.com/OliveEaton16/statuses/1521038267411537920</t>
  </si>
  <si>
    <t>1521038260457422849</t>
  </si>
  <si>
    <t>Mon May 02 08:05:55 +0000 2022</t>
  </si>
  <si>
    <t>http://twitter.com/GeorgeBaynard/statuses/1521038260457422849</t>
  </si>
  <si>
    <t>1521038223467859969</t>
  </si>
  <si>
    <t>Mon May 02 08:05:46 +0000 2022</t>
  </si>
  <si>
    <t>http://twitter.com/AbbieOBrien1/statuses/1521038223467859969</t>
  </si>
  <si>
    <t>1521038166886694913</t>
  </si>
  <si>
    <t>rins2pworth</t>
  </si>
  <si>
    <t>Mon May 02 08:05:33 +0000 2022</t>
  </si>
  <si>
    <t>52380716</t>
  </si>
  <si>
    <t>http://pbs.twimg.com/profile_images/1444092017953415168/R0uLykbl_normal.jpg</t>
  </si>
  <si>
    <t>http://twitter.com/rins2pworth/statuses/1521038166886694913</t>
  </si>
  <si>
    <t>1521038166148497409</t>
  </si>
  <si>
    <t>@NewSiddy @pappawesty @glenspringhall @JujuliaGrace @AlisdairLiddle @EveryDoctorUK Remainiac? One can’t remain in something, in which, they are no longer a member of. You might be on to something though. Those who thought #Brexit was an epic idiocy &amp;amp; act of self-harm, by and large were critical thinkers. #Brexiteers on the other hand, shouted “Project Fear”</t>
  </si>
  <si>
    <t>Mon May 02 08:05:32 +0000 2022</t>
  </si>
  <si>
    <t>1197337890663124993</t>
  </si>
  <si>
    <t>NewSiddy</t>
  </si>
  <si>
    <t>1521030157263417348</t>
  </si>
  <si>
    <t>http://twitter.com/BrexitPhobe/statuses/1521038166148497409</t>
  </si>
  <si>
    <t>{"hashtags":[{"text":"Brexit","indices":[222,229]},{"text":"Brexiteers","indices":[310,321]}],"symbols":[],"user_mentions":[{"screen_name":"NewSiddy","name":"New York Siddy","id":1197337890663125000,"id_str":"1197337890663124993","indices":[0,9]},{"screen_name":"pappawesty","name":"Pappa Westy","id":432727790,"id_str":"432727790","indices":[10,21]},{"screen_name":"glenspringhall","name":"glen springhall🏴󠁧󠁢󠁥󠁮󠁧󠁿","id":296090899,"id_str":"296090899","indices":[22,37]},{"screen_name":"JujuliaGrace","name":"Dr Julia Grace Patterson💙","id":1315053256343720000,"id_str":"1315053256343719936","indices":[38,51]},{"screen_name":"AlisdairLiddle","name":"alisdair liddle","id":1138881855355314200,"id_str":"1138881855355314176","indices":[52,67]},{"screen_name":"EveryDoctorUK","name":"EveryDoctor","id":1075356324072972300,"id_str":"1075356324072972288","indices":[68,82]}],"urls":[]}</t>
  </si>
  <si>
    <t>1521038152131088384</t>
  </si>
  <si>
    <t>Mon May 02 08:05:29 +0000 2022</t>
  </si>
  <si>
    <t>http://twitter.com/andypic/statuses/1521038152131088384</t>
  </si>
  <si>
    <t>1521038126562619392</t>
  </si>
  <si>
    <t>STilston</t>
  </si>
  <si>
    <t>Mon May 02 08:05:23 +0000 2022</t>
  </si>
  <si>
    <t>456600651</t>
  </si>
  <si>
    <t>http://pbs.twimg.com/profile_images/1737029488/steve_normal.jpg</t>
  </si>
  <si>
    <t>Hebden Bridge</t>
  </si>
  <si>
    <t>http://twitter.com/STilston/statuses/1521038126562619392</t>
  </si>
  <si>
    <t>1521038104869625856</t>
  </si>
  <si>
    <t>alphatucana</t>
  </si>
  <si>
    <t>Mon May 02 08:05:18 +0000 2022</t>
  </si>
  <si>
    <t>224380361</t>
  </si>
  <si>
    <t>http://pbs.twimg.com/profile_images/1305654389/P1040885-2_normal.JPG</t>
  </si>
  <si>
    <t>http://twitter.com/alphatucana/statuses/1521038104869625856</t>
  </si>
  <si>
    <t>1521038100880896000</t>
  </si>
  <si>
    <t>Mon May 02 08:05:17 +0000 2022</t>
  </si>
  <si>
    <t>http://twitter.com/andypic/statuses/1521038100880896000</t>
  </si>
  <si>
    <t>1521038097416343559</t>
  </si>
  <si>
    <t>chanavox</t>
  </si>
  <si>
    <t>Mon May 02 08:05:16 +0000 2022</t>
  </si>
  <si>
    <t>1500029699585630208</t>
  </si>
  <si>
    <t>http://pbs.twimg.com/profile_images/1500029953752064002/Z2UFyhKv_normal.png</t>
  </si>
  <si>
    <t>http://twitter.com/chanavox/statuses/1521038097416343559</t>
  </si>
  <si>
    <t>1521038050096295937</t>
  </si>
  <si>
    <t>Mon May 02 08:05:05 +0000 2022</t>
  </si>
  <si>
    <t>http://twitter.com/andypic/statuses/1521038050096295937</t>
  </si>
  <si>
    <t>1521038008677507074</t>
  </si>
  <si>
    <t>rattaplan76</t>
  </si>
  <si>
    <t>@pigmaher @guyverhofstadt That's why it was a #brexit, your people voted wisely.</t>
  </si>
  <si>
    <t>Mon May 02 08:04:55 +0000 2022</t>
  </si>
  <si>
    <t>514857300</t>
  </si>
  <si>
    <t>pigmaher</t>
  </si>
  <si>
    <t>154651768</t>
  </si>
  <si>
    <t>1520714022332641281</t>
  </si>
  <si>
    <t>http://pbs.twimg.com/profile_images/1521007264194342912/9y3h5GFu_normal.jpg</t>
  </si>
  <si>
    <t>overal</t>
  </si>
  <si>
    <t>http://twitter.com/rattaplan76/statuses/1521038008677507074</t>
  </si>
  <si>
    <t>{"hashtags":[{"text":"brexit","indices":[46,53]}],"symbols":[],"user_mentions":[{"screen_name":"pigmaher","name":"Sophia Winson ","id":514857300,"id_str":"514857300","indices":[0,9]},{"screen_name":"guyverhofstadt","name":"Guy Verhofstadt","id":856010760,"id_str":"856010760","indices":[10,25]}],"urls":[]}</t>
  </si>
  <si>
    <t>1521038002709057542</t>
  </si>
  <si>
    <t>Suziey33</t>
  </si>
  <si>
    <t>Mon May 02 08:04:54 +0000 2022</t>
  </si>
  <si>
    <t>1275462892591202304</t>
  </si>
  <si>
    <t>http://pbs.twimg.com/profile_images/1435664404377391113/DA6-CiG2_normal.jpg</t>
  </si>
  <si>
    <t>North East England</t>
  </si>
  <si>
    <t>http://twitter.com/Suziey33/statuses/1521038002709057542</t>
  </si>
  <si>
    <t>1521037998653063168</t>
  </si>
  <si>
    <t>Mon May 02 08:04:53 +0000 2022</t>
  </si>
  <si>
    <t>http://twitter.com/andypic/statuses/1521037998653063168</t>
  </si>
  <si>
    <t>1521037985680142336</t>
  </si>
  <si>
    <t>FergusNolan2000</t>
  </si>
  <si>
    <t>Mon May 02 08:04:49 +0000 2022</t>
  </si>
  <si>
    <t>531385786</t>
  </si>
  <si>
    <t>http://pbs.twimg.com/profile_images/1093225175250808833/AsDfsy9g_normal.jpg</t>
  </si>
  <si>
    <t>Dublin, Republic of Ireland</t>
  </si>
  <si>
    <t>http://twitter.com/FergusNolan2000/statuses/1521037985680142336</t>
  </si>
  <si>
    <t>1521037966671552512</t>
  </si>
  <si>
    <t>Mon May 02 08:04:45 +0000 2022</t>
  </si>
  <si>
    <t>http://twitter.com/andypic/statuses/1521037966671552512</t>
  </si>
  <si>
    <t>1521037929623216130</t>
  </si>
  <si>
    <t>JudyAbel2</t>
  </si>
  <si>
    <t>Mon May 02 08:04:36 +0000 2022</t>
  </si>
  <si>
    <t>608053823</t>
  </si>
  <si>
    <t>http://pbs.twimg.com/profile_images/1054458706962849793/HEB3-LW1_normal.jpg</t>
  </si>
  <si>
    <t>http://twitter.com/JudyAbel2/statuses/1521037929623216130</t>
  </si>
  <si>
    <t>1521037885293666304</t>
  </si>
  <si>
    <t>SueEvan74444692</t>
  </si>
  <si>
    <t>Mon May 02 08:04:26 +0000 2022</t>
  </si>
  <si>
    <t>1446112644809641993</t>
  </si>
  <si>
    <t>http://pbs.twimg.com/profile_images/1501188473964969988/d9aS4b43_normal.jpg</t>
  </si>
  <si>
    <t xml:space="preserve">Southsea </t>
  </si>
  <si>
    <t>http://twitter.com/SueEvan74444692/statuses/1521037885293666304</t>
  </si>
  <si>
    <t>1521037859603587072</t>
  </si>
  <si>
    <t>JohnGoodrich</t>
  </si>
  <si>
    <t>Mon May 02 08:04:19 +0000 2022</t>
  </si>
  <si>
    <t>19528156</t>
  </si>
  <si>
    <t>http://pbs.twimg.com/profile_images/1370455212926898177/wSn6bUFR_normal.jpg</t>
  </si>
  <si>
    <t>http://twitter.com/JohnGoodrich/statuses/1521037859603587072</t>
  </si>
  <si>
    <t>1521037783225311232</t>
  </si>
  <si>
    <t>roach_jeffrey</t>
  </si>
  <si>
    <t>Mon May 02 08:04:01 +0000 2022</t>
  </si>
  <si>
    <t>1209170107</t>
  </si>
  <si>
    <t>http://pbs.twimg.com/profile_images/531444114324455424/rvaWNhGh_normal.jpeg</t>
  </si>
  <si>
    <t>http://twitter.com/roach_jeffrey/statuses/1521037783225311232</t>
  </si>
  <si>
    <t>1521037728212729856</t>
  </si>
  <si>
    <t>RT @BrexitFails: This is bloody funny.
"Now they have to go back to that shit-hole and drink beer in the rain"
"They call themselves ex-pats ... You're about to be deported mate"
#brexit #brexitreality @mrjamesob https://t.co/4wX2950O4u</t>
  </si>
  <si>
    <t>Mon May 02 08:03:48 +0000 2022</t>
  </si>
  <si>
    <t>http://twitter.com/kr31133/statuses/1521037728212729856</t>
  </si>
  <si>
    <t>{"hashtags":[],"symbols":[],"user_mentions":[{"screen_name":"BrexitFails","name":"Brexit Fails","id":1405773316284059600,"id_str":"1405773316284059648","indices":[3,15]}],"urls":[]}</t>
  </si>
  <si>
    <t>1521037688895414272</t>
  </si>
  <si>
    <t>martinthegood</t>
  </si>
  <si>
    <t>Mon May 02 08:03:39 +0000 2022</t>
  </si>
  <si>
    <t>59748731</t>
  </si>
  <si>
    <t>http://pbs.twimg.com/profile_images/467030410640097280/l7Mu-NZ0_normal.jpeg</t>
  </si>
  <si>
    <t>Cambridge UK</t>
  </si>
  <si>
    <t>http://twitter.com/martinthegood/statuses/1521037688895414272</t>
  </si>
  <si>
    <t>1521037686873669632</t>
  </si>
  <si>
    <t>Mon May 02 08:03:38 +0000 2022</t>
  </si>
  <si>
    <t>http://twitter.com/roach_jeffrey/statuses/1521037686873669632</t>
  </si>
  <si>
    <t>1521037671405137920</t>
  </si>
  <si>
    <t>woowar</t>
  </si>
  <si>
    <t>Mon May 02 08:03:35 +0000 2022</t>
  </si>
  <si>
    <t>10512692</t>
  </si>
  <si>
    <t>http://pbs.twimg.com/profile_images/1439670072365264896/T99S-Fbw_normal.jpg</t>
  </si>
  <si>
    <t>Banbury, UK</t>
  </si>
  <si>
    <t>http://twitter.com/woowar/statuses/1521037671405137920</t>
  </si>
  <si>
    <t>1521037651473833984</t>
  </si>
  <si>
    <t>margaret_ruane</t>
  </si>
  <si>
    <t>Mon May 02 08:03:30 +0000 2022</t>
  </si>
  <si>
    <t>2945586784</t>
  </si>
  <si>
    <t>http://pbs.twimg.com/profile_images/1178947084315168768/FJTbptRZ_normal.jpg</t>
  </si>
  <si>
    <t>http://twitter.com/margaret_ruane/statuses/1521037651473833984</t>
  </si>
  <si>
    <t>1521037616929456128</t>
  </si>
  <si>
    <t>afsanalachaux</t>
  </si>
  <si>
    <t>Mon May 02 08:03:22 +0000 2022</t>
  </si>
  <si>
    <t>3400267755</t>
  </si>
  <si>
    <t>http://pbs.twimg.com/profile_images/1505128297092550659/vxGs-ZbC_normal.jpg</t>
  </si>
  <si>
    <t>http://twitter.com/afsanalachaux/statuses/1521037616929456128</t>
  </si>
  <si>
    <t>1521037603423797253</t>
  </si>
  <si>
    <t>Andrew_apac</t>
  </si>
  <si>
    <t>Mon May 02 08:03:18 +0000 2022</t>
  </si>
  <si>
    <t>29397053</t>
  </si>
  <si>
    <t>http://pbs.twimg.com/profile_images/1512456146208145413/RehYgOLO_normal.jpg</t>
  </si>
  <si>
    <t>http://twitter.com/Andrew_apac/statuses/1521037603423797253</t>
  </si>
  <si>
    <t>1521037584713011201</t>
  </si>
  <si>
    <t>KayHargreaves7</t>
  </si>
  <si>
    <t>Mon May 02 08:03:14 +0000 2022</t>
  </si>
  <si>
    <t>1216404789954859008</t>
  </si>
  <si>
    <t>http://pbs.twimg.com/profile_images/1263340174987210754/zR5J32nj_normal.jpg</t>
  </si>
  <si>
    <t>http://twitter.com/KayHargreaves7/statuses/1521037584713011201</t>
  </si>
  <si>
    <t>1521037574462185472</t>
  </si>
  <si>
    <t>BarkerLeadershp</t>
  </si>
  <si>
    <t>Mon May 02 08:03:11 +0000 2022</t>
  </si>
  <si>
    <t>594422721</t>
  </si>
  <si>
    <t>http://pbs.twimg.com/profile_images/2334531131/ewb8hdxfebho9hzk3w86_normal.gif</t>
  </si>
  <si>
    <t>http://twitter.com/BarkerLeadershp/statuses/1521037574462185472</t>
  </si>
  <si>
    <t>1521037533404176386</t>
  </si>
  <si>
    <t>maryliz87575119</t>
  </si>
  <si>
    <t>Mon May 02 08:03:02 +0000 2022</t>
  </si>
  <si>
    <t>1388169107611193349</t>
  </si>
  <si>
    <t>http://pbs.twimg.com/profile_images/1391779968766685185/CtV7Yi-v_normal.jpg</t>
  </si>
  <si>
    <t>http://twitter.com/maryliz87575119/statuses/1521037533404176386</t>
  </si>
  <si>
    <t>1521037509999923206</t>
  </si>
  <si>
    <t>AnnSpencer001</t>
  </si>
  <si>
    <t>Mon May 02 08:02:56 +0000 2022</t>
  </si>
  <si>
    <t>233460721</t>
  </si>
  <si>
    <t>http://pbs.twimg.com/profile_images/1501074688667230214/2motnqaU_normal.jpg</t>
  </si>
  <si>
    <t>Sussex, England</t>
  </si>
  <si>
    <t>http://twitter.com/AnnSpencer001/statuses/1521037509999923206</t>
  </si>
  <si>
    <t>1521037436679241728</t>
  </si>
  <si>
    <t>solentstars</t>
  </si>
  <si>
    <t>Mon May 02 08:02:39 +0000 2022</t>
  </si>
  <si>
    <t>23612682</t>
  </si>
  <si>
    <t>http://pbs.twimg.com/profile_images/1098654757286305792/1hRAT4Rh_normal.jpg</t>
  </si>
  <si>
    <t>south coast  england</t>
  </si>
  <si>
    <t>http://twitter.com/solentstars/statuses/1521037436679241728</t>
  </si>
  <si>
    <t>1521037412683628549</t>
  </si>
  <si>
    <t>DaveRee83525370</t>
  </si>
  <si>
    <t>Mon May 02 08:02:33 +0000 2022</t>
  </si>
  <si>
    <t>1389413743797407744</t>
  </si>
  <si>
    <t>http://pbs.twimg.com/profile_images/1389414096513257477/rIdtCN42_normal.jpg</t>
  </si>
  <si>
    <t>http://twitter.com/DaveRee83525370/statuses/1521037412683628549</t>
  </si>
  <si>
    <t>1521037407608524800</t>
  </si>
  <si>
    <t>SheilaLeahW</t>
  </si>
  <si>
    <t>Mon May 02 08:02:32 +0000 2022</t>
  </si>
  <si>
    <t>1431370968941961219</t>
  </si>
  <si>
    <t>http://pbs.twimg.com/profile_images/1476965932148924417/khwSd39I_normal.jpg</t>
  </si>
  <si>
    <t xml:space="preserve">Le Renouard </t>
  </si>
  <si>
    <t>http://twitter.com/SheilaLeahW/statuses/1521037407608524800</t>
  </si>
  <si>
    <t>1521037375945818113</t>
  </si>
  <si>
    <t>pacificcousins</t>
  </si>
  <si>
    <t>Mon May 02 08:02:24 +0000 2022</t>
  </si>
  <si>
    <t>1291547337433767937</t>
  </si>
  <si>
    <t>http://pbs.twimg.com/profile_images/1347018713355210754/8ln3xPSK_normal.jpg</t>
  </si>
  <si>
    <t>http://twitter.com/pacificcousins/statuses/1521037375945818113</t>
  </si>
  <si>
    <t>1521037342009606146</t>
  </si>
  <si>
    <t>menuet_morgan</t>
  </si>
  <si>
    <t>Mon May 02 08:02:16 +0000 2022</t>
  </si>
  <si>
    <t>1211749620461629440</t>
  </si>
  <si>
    <t>http://pbs.twimg.com/profile_images/1497249393724071944/twl36lCK_normal.jpg</t>
  </si>
  <si>
    <t>Nantes, France</t>
  </si>
  <si>
    <t>http://twitter.com/menuet_morgan/statuses/1521037342009606146</t>
  </si>
  <si>
    <t>1521037316172701696</t>
  </si>
  <si>
    <t>Sukraine</t>
  </si>
  <si>
    <t>Mon May 02 08:02:10 +0000 2022</t>
  </si>
  <si>
    <t>22756089</t>
  </si>
  <si>
    <t>http://pbs.twimg.com/profile_images/1496837563423805447/setncjWz_normal.jpg</t>
  </si>
  <si>
    <t>http://twitter.com/Sukraine/statuses/1521037316172701696</t>
  </si>
  <si>
    <t>1521037292474884097</t>
  </si>
  <si>
    <t>CJordanjb</t>
  </si>
  <si>
    <t>Mon May 02 08:02:04 +0000 2022</t>
  </si>
  <si>
    <t>1156244818827403264</t>
  </si>
  <si>
    <t>http://pbs.twimg.com/profile_images/1349138131547791360/eIGjNtJt_normal.jpg</t>
  </si>
  <si>
    <t>http://twitter.com/CJordanjb/statuses/1521037292474884097</t>
  </si>
  <si>
    <t>1521037288951664640</t>
  </si>
  <si>
    <t>davidagoodland</t>
  </si>
  <si>
    <t>Mon May 02 08:02:03 +0000 2022</t>
  </si>
  <si>
    <t>2197894170</t>
  </si>
  <si>
    <t>http://pbs.twimg.com/profile_images/1465631165440794626/w4PTHB2U_normal.jpg</t>
  </si>
  <si>
    <t>http://twitter.com/davidagoodland/statuses/1521037288951664640</t>
  </si>
  <si>
    <t>1521037266621190145</t>
  </si>
  <si>
    <t>jillbed</t>
  </si>
  <si>
    <t>Mon May 02 08:01:58 +0000 2022</t>
  </si>
  <si>
    <t>46658928</t>
  </si>
  <si>
    <t>http://pbs.twimg.com/profile_images/978229483143606273/BlNHjwcR_normal.jpg</t>
  </si>
  <si>
    <t>http://twitter.com/jillbed/statuses/1521037266621190145</t>
  </si>
  <si>
    <t>1521037238326419457</t>
  </si>
  <si>
    <t>Renaissance_UE</t>
  </si>
  <si>
    <t>Mon May 02 08:01:51 +0000 2022</t>
  </si>
  <si>
    <t>1090270096948248576</t>
  </si>
  <si>
    <t>http://pbs.twimg.com/profile_images/1499753080459567108/xKInwPUq_normal.jpg</t>
  </si>
  <si>
    <t>http://twitter.com/Renaissance_UE/statuses/1521037238326419457</t>
  </si>
  <si>
    <t>1521037196005978112</t>
  </si>
  <si>
    <t>RT @hughie_go: @Anna_Soubry @13sarahmurphy Why @BBCNews have you shut down debate on #Brexit ?</t>
  </si>
  <si>
    <t>Mon May 02 08:01:41 +0000 2022</t>
  </si>
  <si>
    <t>http://twitter.com/Sukraine/statuses/1521037196005978112</t>
  </si>
  <si>
    <t>{"hashtags":[{"text":"Brexit","indices":[85,92]}],"symbols":[],"user_mentions":[{"screen_name":"hughie_go","name":"Hugh Gorton 🇪🇺 🔶 #FBPA #FBPE #FBPPR #GTTO","id":184106499,"id_str":"184106499","indices":[3,13]},{"screen_name":"Anna_Soubry","name":"Anna Soubry","id":326184301,"id_str":"326184301","indices":[15,27]},{"screen_name":"13sarahmurphy","name":"sarah murphy","id":1158193640,"id_str":"1158193640","indices":[28,42]},{"screen_name":"BBCNews","name":"BBC News (UK)","id":612473,"id_str":"612473","indices":[47,55]}],"urls":[]}</t>
  </si>
  <si>
    <t>1521037160488607744</t>
  </si>
  <si>
    <t>Julie69019314</t>
  </si>
  <si>
    <t>Mon May 02 08:01:33 +0000 2022</t>
  </si>
  <si>
    <t>1511740831</t>
  </si>
  <si>
    <t>http://pbs.twimg.com/profile_images/344513261572251927/cfadd045b8647685e4db137a3c12c75f_normal.jpeg</t>
  </si>
  <si>
    <t>london borough</t>
  </si>
  <si>
    <t>http://twitter.com/Julie69019314/statuses/1521037160488607744</t>
  </si>
  <si>
    <t>1521037119636094976</t>
  </si>
  <si>
    <t>Mon May 02 08:01:23 +0000 2022</t>
  </si>
  <si>
    <t>http://twitter.com/SheilaLeahW/statuses/1521037119636094976</t>
  </si>
  <si>
    <t>1521037113797529602</t>
  </si>
  <si>
    <t>Mon May 02 08:01:22 +0000 2022</t>
  </si>
  <si>
    <t>http://twitter.com/Sukraine/statuses/1521037113797529602</t>
  </si>
  <si>
    <t>1521037092041678850</t>
  </si>
  <si>
    <t>My #ToryBrexit MP @mimsdavies now refuses to answer my emails about #Brexit.  
Like @Jacob_Rees_Mogg - too frightened to admit there are no 'fantastic benefits'. 
@midsussex_times #r4today #RemainersWereRight https://t.co/xK8FS9YYHC</t>
  </si>
  <si>
    <t>Mon May 02 08:01:16 +0000 2022</t>
  </si>
  <si>
    <t>http://twitter.com/VerityKalcev/statuses/1521037092041678850</t>
  </si>
  <si>
    <t>{"hashtags":[{"text":"ToryBrexit","indices":[3,14]},{"text":"Brexit","indices":[68,75]},{"text":"r4today","indices":[180,188]},{"text":"RemainersWereRight","indices":[189,208]}],"symbols":[],"user_mentions":[{"screen_name":"mimsdavies","name":"Mims Davies MP #KICKSTART #PLANFORJOBS #WAYTOWORK","id":236588290,"id_str":"236588290","indices":[18,29]},{"screen_name":"Jacob_Rees_Mogg","name":"Jacob Rees-Mogg","id":885838630928994300,"id_str":"885838630928994304","indices":[84,100]},{"screen_name":"midsussex_times","name":"Mid Sussex Times","id":24894086,"id_str":"24894086","indices":[163,179]}],"urls":[{"url":"https://t.co/xK8FS9YYHC","expanded_url":"https://twitter.com/BestForBritain/status/1520443864762531840","display_url":"twitter.com/BestForBritain…","indices":[209,232]}]}</t>
  </si>
  <si>
    <t>1521037090657611776</t>
  </si>
  <si>
    <t>http://twitter.com/Sukraine/statuses/1521037090657611776</t>
  </si>
  <si>
    <t>1521037086815666180</t>
  </si>
  <si>
    <t>Annette56341407</t>
  </si>
  <si>
    <t>Mon May 02 08:01:15 +0000 2022</t>
  </si>
  <si>
    <t>1082039776415547394</t>
  </si>
  <si>
    <t>http://twitter.com/Annette56341407/statuses/1521037086815666180</t>
  </si>
  <si>
    <t>1521037084684914688</t>
  </si>
  <si>
    <t>BrexitFails</t>
  </si>
  <si>
    <t>This is bloody funny.
"Now they have to go back to that shit-hole and drink beer in the rain"
"They call themselves ex-pats ... You're about to be deported mate"
#brexit #brexitreality @mrjamesob https://t.co/4wX2950O4u</t>
  </si>
  <si>
    <t>1405773316284059648</t>
  </si>
  <si>
    <t>http://pbs.twimg.com/profile_images/1428705087455735810/N_h57QUC_normal.jpg</t>
  </si>
  <si>
    <t>http://twitter.com/BrexitFails/statuses/1521037084684914688</t>
  </si>
  <si>
    <t>{"hashtags":[{"text":"brexit","indices":[165,172]},{"text":"brexitreality","indices":[173,187]}],"symbols":[],"user_mentions":[{"screen_name":"mrjamesob","name":"James Oh Brien","id":152656121,"id_str":"152656121","indices":[188,198]}],"urls":[{"url":"https://t.co/4wX2950O4u","expanded_url":"https://twitter.com/bmay/status/1521031266988171264","display_url":"twitter.com/bmay/status/15…","indices":[199,222]}]}</t>
  </si>
  <si>
    <t>1521037052242022401</t>
  </si>
  <si>
    <t>Mon May 02 08:01:07 +0000 2022</t>
  </si>
  <si>
    <t>http://twitter.com/Sukraine/statuses/1521037052242022401</t>
  </si>
  <si>
    <t>1521037005756551168</t>
  </si>
  <si>
    <t>Green2020Tweet</t>
  </si>
  <si>
    <t>Mon May 02 08:00:56 +0000 2022</t>
  </si>
  <si>
    <t>295966479</t>
  </si>
  <si>
    <t>http://pbs.twimg.com/profile_images/1328847471255162880/1w4s9XEe_normal.jpg</t>
  </si>
  <si>
    <t>http://twitter.com/Green2020Tweet/statuses/1521037005756551168</t>
  </si>
  <si>
    <t>1521036975633047553</t>
  </si>
  <si>
    <t>TLNnieuws</t>
  </si>
  <si>
    <t>Effectief onderhandelen door TLN, samen met bedrijven, heeft geleid tot een tegemoetkoming voor extra Brexit-kosten. Het is gelukt om een aantal voor de sector gunstige voorwaarden in de #Brexit Adjustment Reserve te krijgen.
➡️https://t.co/P7vdwhnDSt https://t.co/RzTWESKtYk</t>
  </si>
  <si>
    <t>Mon May 02 08:00:49 +0000 2022</t>
  </si>
  <si>
    <t>263136060</t>
  </si>
  <si>
    <t>http://pbs.twimg.com/profile_images/1204039291590103045/bXwVvdN4_normal.jpg</t>
  </si>
  <si>
    <t>Zoetermeer</t>
  </si>
  <si>
    <t>http://twitter.com/TLNnieuws/statuses/1521036975633047553</t>
  </si>
  <si>
    <t>{"hashtags":[{"text":"Brexit","indices":[187,194]}],"symbols":[],"user_mentions":[],"urls":[{"url":"https://t.co/P7vdwhnDSt","expanded_url":"https://www.tln.nl/nieuws/tegemoetkoming-voor-extra-brexit-kosten/","display_url":"tln.nl/nieuws/tegemoe…","indices":[229,252]}],"media":[{"id":1521036901607780400,"id_str":"1521036901607780354","indices":[253,276],"media_url":"http://pbs.twimg.com/media/FRvPANKXsAIpKKx.jpg","media_url_https":"https://pbs.twimg.com/media/FRvPANKXsAIpKKx.jpg","url":"https://t.co/RzTWESKtYk","display_url":"pic.twitter.com/RzTWESKtYk","expanded_url":"https://twitter.com/TLNnieuws/status/1521036975633047553/photo/1","type":"photo","sizes":{"thumb":{"w":150,"h":150,"resize":"crop"},"large":{"w":1024,"h":576,"resize":"fit"},"small":{"w":680,"h":383,"resize":"fit"},"medium":{"w":1024,"h":576,"resize":"fit"}}}]}</t>
  </si>
  <si>
    <t>1521036957245001728</t>
  </si>
  <si>
    <t>RogerXMathew</t>
  </si>
  <si>
    <t>Mon May 02 08:00:44 +0000 2022</t>
  </si>
  <si>
    <t>1601825364</t>
  </si>
  <si>
    <t>http://pbs.twimg.com/profile_images/378800000151604542/92dcfa04f14ac897b5d2a769b19dca72_normal.jpeg</t>
  </si>
  <si>
    <t>http://twitter.com/RogerXMathew/statuses/1521036957245001728</t>
  </si>
  <si>
    <t>1521036936227393536</t>
  </si>
  <si>
    <t>botbaitclick</t>
  </si>
  <si>
    <t>47 ways to maximise your wealth. #brexit #clickbait</t>
  </si>
  <si>
    <t>Mon May 02 08:00:39 +0000 2022</t>
  </si>
  <si>
    <t>933839884657352706</t>
  </si>
  <si>
    <t>&lt;a href="https://cheapbotsdonequick.com" rel="nofollow"&gt;Cheap Bots, Done Quick!&lt;/a&gt;</t>
  </si>
  <si>
    <t>http://pbs.twimg.com/profile_images/933853202524659712/BGkpaJRQ_normal.jpg</t>
  </si>
  <si>
    <t>On the web and in your mind</t>
  </si>
  <si>
    <t>http://twitter.com/botbaitclick/statuses/1521036936227393536</t>
  </si>
  <si>
    <t>{"hashtags":[{"text":"brexit","indices":[33,40]},{"text":"clickbait","indices":[41,51]}],"symbols":[],"user_mentions":[],"urls":[]}</t>
  </si>
  <si>
    <t>1521036915440553985</t>
  </si>
  <si>
    <t>csibike1</t>
  </si>
  <si>
    <t>RT @IvorFried: #Brexit is *not* the will of the people. It's the result of one vote based on a false prospectus. @BBCr4today #Remain #eu</t>
  </si>
  <si>
    <t>Mon May 02 08:00:34 +0000 2022</t>
  </si>
  <si>
    <t>69558002</t>
  </si>
  <si>
    <t>http://pbs.twimg.com/profile_images/1499866299366785032/jciGB-nF_normal.jpg</t>
  </si>
  <si>
    <t>London as yet UK, Europe</t>
  </si>
  <si>
    <t>http://twitter.com/csibike1/statuses/1521036915440553985</t>
  </si>
  <si>
    <t>{"hashtags":[{"text":"Brexit","indices":[15,22]},{"text":"Remain","indices":[125,132]},{"text":"eu","indices":[133,136]}],"symbols":[],"user_mentions":[{"screen_name":"IvorFried","name":"Ivor Fried #FBPE","id":1474726309,"id_str":"1474726309","indices":[3,13]},{"screen_name":"BBCr4today","name":"BBC Radio 4 Today","id":8170292,"id_str":"8170292","indices":[113,124]}],"urls":[]}</t>
  </si>
  <si>
    <t>1521036872385978368</t>
  </si>
  <si>
    <t>jaynehannahx</t>
  </si>
  <si>
    <t>Mon May 02 08:00:24 +0000 2022</t>
  </si>
  <si>
    <t>1143786889</t>
  </si>
  <si>
    <t>http://pbs.twimg.com/profile_images/1124054246977155075/c1cWzXsv_normal.jpg</t>
  </si>
  <si>
    <t>http://twitter.com/jaynehannahx/statuses/1521036872385978368</t>
  </si>
  <si>
    <t>1521036871064866816</t>
  </si>
  <si>
    <t>jennyranderson</t>
  </si>
  <si>
    <t>74770333</t>
  </si>
  <si>
    <t>http://pbs.twimg.com/profile_images/752107170871775232/T6nOk4qn_normal.jpg</t>
  </si>
  <si>
    <t>Cardiff, Wales</t>
  </si>
  <si>
    <t>http://twitter.com/jennyranderson/statuses/1521036871064866816</t>
  </si>
  <si>
    <t>1521036835438440448</t>
  </si>
  <si>
    <t>cedge_mbe</t>
  </si>
  <si>
    <t>Mon May 02 08:00:15 +0000 2022</t>
  </si>
  <si>
    <t>337750146</t>
  </si>
  <si>
    <t>http://pbs.twimg.com/profile_images/2428232771/image_normal.jpg</t>
  </si>
  <si>
    <t>Antrim, Northern Ireland</t>
  </si>
  <si>
    <t>http://twitter.com/cedge_mbe/statuses/1521036835438440448</t>
  </si>
  <si>
    <t>1521036832888299527</t>
  </si>
  <si>
    <t>chrisastbury19</t>
  </si>
  <si>
    <t>1944860036</t>
  </si>
  <si>
    <t>http://pbs.twimg.com/profile_images/1350458341366050821/bCR1y2AT_normal.jpg</t>
  </si>
  <si>
    <t>http://twitter.com/chrisastbury19/statuses/1521036832888299527</t>
  </si>
  <si>
    <t>1521036804832604160</t>
  </si>
  <si>
    <t>bootleian</t>
  </si>
  <si>
    <t>Mon May 02 08:00:08 +0000 2022</t>
  </si>
  <si>
    <t>124207068</t>
  </si>
  <si>
    <t>http://pbs.twimg.com/profile_images/656774694893408256/tIQJ6sBn_normal.jpg</t>
  </si>
  <si>
    <t>Plymouth, England</t>
  </si>
  <si>
    <t>http://twitter.com/bootleian/statuses/1521036804832604160</t>
  </si>
  <si>
    <t>1521036729267929088</t>
  </si>
  <si>
    <t>garyj71</t>
  </si>
  <si>
    <t>Mon May 02 07:59:50 +0000 2022</t>
  </si>
  <si>
    <t>222839192</t>
  </si>
  <si>
    <t>http://pbs.twimg.com/profile_images/1408142104941973508/dikeMPtz_normal.jpg</t>
  </si>
  <si>
    <t>http://twitter.com/garyj71/statuses/1521036729267929088</t>
  </si>
  <si>
    <t>1521036718761295872</t>
  </si>
  <si>
    <t>vittart75</t>
  </si>
  <si>
    <t>Avec le #Brexit qui restreint l'offre de main d'oeuvre à long terme et maintient les restrictions commerciales, alors que l'#inflation grimpe à un rythme soutenu, la Banque d'Angleterre n'aurait "d'autre choix que de provoquer une récession". https://t.co/jKjWtxuS9p</t>
  </si>
  <si>
    <t>Mon May 02 07:59:47 +0000 2022</t>
  </si>
  <si>
    <t>1517489832</t>
  </si>
  <si>
    <t>http://pbs.twimg.com/profile_images/1236248398338146309/ar47lf55_normal.jpg</t>
  </si>
  <si>
    <t xml:space="preserve">Brest </t>
  </si>
  <si>
    <t>http://twitter.com/vittart75/statuses/1521036718761295872</t>
  </si>
  <si>
    <t>{"hashtags":[{"text":"Brexit","indices":[8,15]},{"text":"inflation","indices":[124,134]}],"symbols":[],"user_mentions":[],"urls":[{"url":"https://t.co/jKjWtxuS9p","expanded_url":"https://www.theguardian.com/business/2022/may/01/bank-of-england-duty-bound-to-trigger-recession-to-curb-inflation?CMP=share_btn_tw","display_url":"theguardian.com/business/2022/…","indices":[243,266]}]}</t>
  </si>
  <si>
    <t>1521036635080740864</t>
  </si>
  <si>
    <t>irelandseye</t>
  </si>
  <si>
    <t>Mon May 02 07:59:27 +0000 2022</t>
  </si>
  <si>
    <t>20797544</t>
  </si>
  <si>
    <t>http://pbs.twimg.com/profile_images/1443147625465794564/QpgeO_ai_normal.jpg</t>
  </si>
  <si>
    <t xml:space="preserve">Beaconsfield, The Chilterns. </t>
  </si>
  <si>
    <t>http://twitter.com/irelandseye/statuses/1521036635080740864</t>
  </si>
  <si>
    <t>1521036622476845059</t>
  </si>
  <si>
    <t>AndreaMatyellow</t>
  </si>
  <si>
    <t>In una mattina di inizio maggio del 2022, capita di pensare come il populismo del #Movimento5Stelle in Italia, l’angloimperialismo di #Brexit e l’#Ucraina invasa dal regime nazifascista russo siano parte della stessa visione di un mondo che mira a smantellare le nostre Democrazie</t>
  </si>
  <si>
    <t>Mon May 02 07:59:24 +0000 2022</t>
  </si>
  <si>
    <t>1620517057</t>
  </si>
  <si>
    <t>http://pbs.twimg.com/profile_images/1230430710781161474/T9U91zom_normal.jpg</t>
  </si>
  <si>
    <t>http://twitter.com/AndreaMatyellow/statuses/1521036622476845059</t>
  </si>
  <si>
    <t>{"hashtags":[{"text":"Movimento5Stelle","indices":[82,99]},{"text":"Brexit","indices":[134,141]},{"text":"Ucraina","indices":[146,154]}],"symbols":[],"user_mentions":[],"urls":[]}</t>
  </si>
  <si>
    <t>1521036599231979520</t>
  </si>
  <si>
    <t>@susannareid100 @GMB The Tories were concerned about EU wealth tax regulations and protecting their first-past-the-post, right-wing voting monopoly. They made a pact with the Brexit Party and UKIP to 'Get #Brexit done', appointed BoJo the clown their leader and are now an international laughing stock</t>
  </si>
  <si>
    <t>Mon May 02 07:59:19 +0000 2022</t>
  </si>
  <si>
    <t>http://twitter.com/10_000BC/statuses/1521036599231979520</t>
  </si>
  <si>
    <t>{"hashtags":[{"text":"Brexit","indices":[205,212]}],"symbols":[],"user_mentions":[{"screen_name":"susannareid100","name":"Susanna Reid","id":19477583,"id_str":"19477583","indices":[0,15]},{"screen_name":"GMB","name":"Good Morning Britain","id":19424427,"id_str":"19424427","indices":[16,20]}],"urls":[]}</t>
  </si>
  <si>
    <t>1521036496244985856</t>
  </si>
  <si>
    <t>The Tories were concerned about EU wealth tax regulations and protecting their first-past-the-post, right-wing voting monopoly. They made a pact with the Brexit Party and UKIP to 'Get #Brexit done', appointed BoJo the clown their leader and are now an international laughing stock</t>
  </si>
  <si>
    <t>Mon May 02 07:58:54 +0000 2022</t>
  </si>
  <si>
    <t>http://twitter.com/10_000BC/statuses/1521036496244985856</t>
  </si>
  <si>
    <t>{"hashtags":[{"text":"Brexit","indices":[184,191]}],"symbols":[],"user_mentions":[],"urls":[]}</t>
  </si>
  <si>
    <t>1521036474845736960</t>
  </si>
  <si>
    <t>alliebabe57</t>
  </si>
  <si>
    <t>Mon May 02 07:58:49 +0000 2022</t>
  </si>
  <si>
    <t>274527974</t>
  </si>
  <si>
    <t>http://pbs.twimg.com/profile_images/1292716589/Alison_2_normal.jpg</t>
  </si>
  <si>
    <t>Maidstone, South East</t>
  </si>
  <si>
    <t>http://twitter.com/alliebabe57/statuses/1521036474845736960</t>
  </si>
  <si>
    <t>1521036434228006912</t>
  </si>
  <si>
    <t>ElizeBiermann</t>
  </si>
  <si>
    <t>The endless disaster of the #Brexit small-print that nobody bothered to read....
#ToriesUnfitToGovern 
#BrexitIsntWorking https://t.co/o0jIv8j4Vi</t>
  </si>
  <si>
    <t>Mon May 02 07:58:40 +0000 2022</t>
  </si>
  <si>
    <t>490196960</t>
  </si>
  <si>
    <t>http://pbs.twimg.com/profile_images/1143849900448407552/URqMVj3X_normal.jpg</t>
  </si>
  <si>
    <t>http://twitter.com/ElizeBiermann/statuses/1521036434228006912</t>
  </si>
  <si>
    <t>{"hashtags":[{"text":"Brexit","indices":[28,35]},{"text":"ToriesUnfitToGovern","indices":[81,101]},{"text":"BrexitIsntWorking","indices":[103,121]}],"symbols":[],"user_mentions":[],"urls":[{"url":"https://t.co/o0jIv8j4Vi","expanded_url":"https://twitter.com/bmay/status/1520819373048479751","display_url":"twitter.com/bmay/status/15…","indices":[122,145]}]}</t>
  </si>
  <si>
    <t>1521036395879534592</t>
  </si>
  <si>
    <t>pensioenjaren</t>
  </si>
  <si>
    <t>@NL__POLITIEK @trouw De #EU machtswellustelingen in #Brussel zie ik steeds meer als onvervalste autocraten. Denk steeds meer dat ik de Britten met hun  #Brexit beter ben ga begrijpen.</t>
  </si>
  <si>
    <t>Mon May 02 07:58:30 +0000 2022</t>
  </si>
  <si>
    <t>176808965</t>
  </si>
  <si>
    <t>NL__POLITIEK</t>
  </si>
  <si>
    <t>487538520</t>
  </si>
  <si>
    <t>1520993225380614145</t>
  </si>
  <si>
    <t>http://pbs.twimg.com/profile_images/1088310057895378944/cfOHIRLn_normal.jpg</t>
  </si>
  <si>
    <t>Rotterdam, Nederland</t>
  </si>
  <si>
    <t>http://twitter.com/pensioenjaren/statuses/1521036395879534592</t>
  </si>
  <si>
    <t>{"hashtags":[{"text":"EU","indices":[24,27]},{"text":"Brussel","indices":[52,60]},{"text":"Brexit","indices":[152,159]}],"symbols":[],"user_mentions":[{"screen_name":"NL__POLITIEK","name":"Politiek Nederland","id":176808965,"id_str":"176808965","indices":[0,13]},{"screen_name":"trouw","name":"Trouw","id":3103511,"id_str":"3103511","indices":[14,20]}],"urls":[]}</t>
  </si>
  <si>
    <t>1521036288912207872</t>
  </si>
  <si>
    <t>rubyshoes18</t>
  </si>
  <si>
    <t>RT @AlasSmithJones: @burmesecatlady @klamsdon @AngelaRayner #BackBoris #TeamBoris #BorisTrain #NeverLabour #NeverLiebour #Conservatives #LabourHypocricy #LabourSleaze #LabourLies #CaptainHindsight #HypocriteStarmer #SmarmyStarmer #StarmerLies #ScumMedia #DefundTheBBC #Brexit #ResignStarmer #ResignRayner</t>
  </si>
  <si>
    <t>Mon May 02 07:58:05 +0000 2022</t>
  </si>
  <si>
    <t>1265640405338656768</t>
  </si>
  <si>
    <t>http://pbs.twimg.com/profile_images/1322097759525179393/5zBOChKN_normal.jpg</t>
  </si>
  <si>
    <t>http://twitter.com/rubyshoes18/statuses/1521036288912207872</t>
  </si>
  <si>
    <t>{"hashtags":[{"text":"BackBoris","indices":[60,70]},{"text":"TeamBoris","indices":[71,81]},{"text":"BorisTrain","indices":[82,93]},{"text":"NeverLabour","indices":[94,106]},{"text":"NeverLiebour","indices":[107,120]},{"text":"Conservatives","indices":[121,135]}],"symbols":[],"user_mentions":[{"screen_name":"AlasSmithJones","name":"David Partington #BackBoris #ResignSturgeon","id":1488899444087177200,"id_str":"1488899444087177216","indices":[3,18]},{"screen_name":"burmesecatlady","name":"Burmesecatlady#BackBoris","id":1178741416194969600,"id_str":"1178741416194969606","indices":[20,35]},{"screen_name":"klamsdon","name":"Klammie #BackBoris","id":1330003220,"id_str":"1330003220","indices":[36,45]},{"screen_name":"AngelaRayner","name":"Angela Rayner 🌹","id":222748037,"id_str":"222748037","indices":[46,59]}],"urls":[]}</t>
  </si>
  <si>
    <t>1521036257157074944</t>
  </si>
  <si>
    <t>WoodlouseHouse</t>
  </si>
  <si>
    <t>Mon May 02 07:57:57 +0000 2022</t>
  </si>
  <si>
    <t>83198074</t>
  </si>
  <si>
    <t>http://pbs.twimg.com/profile_images/2159403450/me_normal.jpg</t>
  </si>
  <si>
    <t>http://twitter.com/WoodlouseHouse/statuses/1521036257157074944</t>
  </si>
  <si>
    <t>1521036233144688640</t>
  </si>
  <si>
    <t>grifffinsu</t>
  </si>
  <si>
    <t>Post #Brexit the UK Government promised better environmental standards than under EU rules. However the focus has been profit ahead of cleaning for privatised #sewage companies with increasingly polluted #British #beaches &amp;amp; #water for #swimmers.  https://t.co/N0g2CeXphl</t>
  </si>
  <si>
    <t>Mon May 02 07:57:52 +0000 2022</t>
  </si>
  <si>
    <t>2252449411</t>
  </si>
  <si>
    <t>http://pbs.twimg.com/profile_images/1497320756182720512/4auhrCAX_normal.jpg</t>
  </si>
  <si>
    <t>http://twitter.com/grifffinsu/statuses/1521036233144688640</t>
  </si>
  <si>
    <t>{"hashtags":[{"text":"Brexit","indices":[5,12]},{"text":"sewage","indices":[159,166]},{"text":"British","indices":[204,212]},{"text":"beaches","indices":[213,221]},{"text":"water","indices":[228,234]},{"text":"swimmers","indices":[239,248]}],"symbols":[],"user_mentions":[],"urls":[{"url":"https://t.co/N0g2CeXphl","expanded_url":"https://www.theguardian.com/environment/2022/may/02/untreated-sewage-discharge-england-coastal-bathing-waters-2021?CMP=Share_iOSApp_Other","display_url":"theguardian.com/environment/20…","indices":[251,274]}]}</t>
  </si>
  <si>
    <t>1521036221505548289</t>
  </si>
  <si>
    <t>AuSeEc2</t>
  </si>
  <si>
    <t>Mon May 02 07:57:49 +0000 2022</t>
  </si>
  <si>
    <t>1511675183765102606</t>
  </si>
  <si>
    <t>http://pbs.twimg.com/profile_images/1511715937845657603/7FYBYshA_normal.jpg</t>
  </si>
  <si>
    <t>http://twitter.com/AuSeEc2/statuses/1521036221505548289</t>
  </si>
  <si>
    <t>1521036206448033793</t>
  </si>
  <si>
    <t>BrummieGran</t>
  </si>
  <si>
    <t>Mon May 02 07:57:45 +0000 2022</t>
  </si>
  <si>
    <t>2721694781</t>
  </si>
  <si>
    <t>http://pbs.twimg.com/profile_images/491926804303970304/K7qWWAWa_normal.jpeg</t>
  </si>
  <si>
    <t>Birmingham all my life</t>
  </si>
  <si>
    <t>http://twitter.com/BrummieGran/statuses/1521036206448033793</t>
  </si>
  <si>
    <t>1521036195219791880</t>
  </si>
  <si>
    <t>RebeccaTillett1</t>
  </si>
  <si>
    <t>Mon May 02 07:57:43 +0000 2022</t>
  </si>
  <si>
    <t>329729189</t>
  </si>
  <si>
    <t>http://pbs.twimg.com/profile_images/1344996700449099777/dr0rQ1p8_normal.jpg</t>
  </si>
  <si>
    <t>University of East Anglia</t>
  </si>
  <si>
    <t>http://twitter.com/RebeccaTillett1/statuses/1521036195219791880</t>
  </si>
  <si>
    <t>1521036142874877952</t>
  </si>
  <si>
    <t>BameFor</t>
  </si>
  <si>
    <t>Mon May 02 07:57:30 +0000 2022</t>
  </si>
  <si>
    <t>1103222781536321537</t>
  </si>
  <si>
    <t>http://pbs.twimg.com/profile_images/1504840373033701384/LuiwMD1V_normal.jpg</t>
  </si>
  <si>
    <t>http://twitter.com/BameFor/statuses/1521036142874877952</t>
  </si>
  <si>
    <t>1521036121244852225</t>
  </si>
  <si>
    <t>JohnGillibrand</t>
  </si>
  <si>
    <t>Mon May 02 07:57:25 +0000 2022</t>
  </si>
  <si>
    <t>19459596</t>
  </si>
  <si>
    <t>http://pbs.twimg.com/profile_images/1354521360219955208/atBR2Nfw_normal.jpg</t>
  </si>
  <si>
    <t>http://twitter.com/JohnGillibrand/statuses/1521036121244852225</t>
  </si>
  <si>
    <t>1521036037153247234</t>
  </si>
  <si>
    <t>KarenJu62258050</t>
  </si>
  <si>
    <t>Mon May 02 07:57:05 +0000 2022</t>
  </si>
  <si>
    <t>1297940049099722752</t>
  </si>
  <si>
    <t>http://pbs.twimg.com/profile_images/1349066594551558146/RYryEavm_normal.jpg</t>
  </si>
  <si>
    <t>http://twitter.com/KarenJu62258050/statuses/1521036037153247234</t>
  </si>
  <si>
    <t>1521036029301514241</t>
  </si>
  <si>
    <t>Mon May 02 07:57:03 +0000 2022</t>
  </si>
  <si>
    <t>http://twitter.com/Izzy92651441/statuses/1521036029301514241</t>
  </si>
  <si>
    <t>1521035969817948160</t>
  </si>
  <si>
    <t>zidanesboots</t>
  </si>
  <si>
    <t>RT @gellilyfdy: @zidanesboots @KenKenph59 @KEdge23 #Brexit is #ToryFailure
The @Conservatives deliberately caused and then ruined #Brexit so as to curry favour with the Xenophobes, driving division in these Isles so they can cause poverty and further subjugate the masses
#ToryShambles</t>
  </si>
  <si>
    <t>Mon May 02 07:56:49 +0000 2022</t>
  </si>
  <si>
    <t>736659703510470656</t>
  </si>
  <si>
    <t>http://pbs.twimg.com/profile_images/740563042115723265/zuZJ4ym-_normal.jpg</t>
  </si>
  <si>
    <t>http://twitter.com/zidanesboots/statuses/1521035969817948160</t>
  </si>
  <si>
    <t>{"hashtags":[{"text":"Brexit","indices":[51,58]},{"text":"ToryFailure","indices":[62,74]},{"text":"Brexit","indices":[131,138]}],"symbols":[],"user_mentions":[{"screen_name":"gellilyfdy","name":"Gellilyfdy","id":1062604369944817700,"id_str":"1062604369944817665","indices":[3,14]},{"screen_name":"zidanesboots","name":"zizou","id":736659703510470700,"id_str":"736659703510470656","indices":[16,29]},{"screen_name":"KenKenph59","name":"ken hughes #FBPE #Rejoin🇪🇺 # Rejoiner","id":2715353151,"id_str":"2715353151","indices":[30,41]},{"screen_name":"KEdge23","name":"Kevin Edger","id":62576309,"id_str":"62576309","indices":[42,50]},{"screen_name":"Conservatives","name":"Conservatives","id":14281853,"id_str":"14281853","indices":[80,94]}],"urls":[]}</t>
  </si>
  <si>
    <t>1521035954991030273</t>
  </si>
  <si>
    <t>Tonytg806</t>
  </si>
  <si>
    <t>Mon May 02 07:56:45 +0000 2022</t>
  </si>
  <si>
    <t>1506338655224352776</t>
  </si>
  <si>
    <t>http://pbs.twimg.com/profile_images/1506338804726177795/_7wKQ7FX_normal.png</t>
  </si>
  <si>
    <t>Yorkshire and The Humber, Engl</t>
  </si>
  <si>
    <t>http://twitter.com/Tonytg806/statuses/1521035954991030273</t>
  </si>
  <si>
    <t>1521035952315154432</t>
  </si>
  <si>
    <t>SamanthaOdessa</t>
  </si>
  <si>
    <t>1792497518</t>
  </si>
  <si>
    <t>http://pbs.twimg.com/profile_images/859189618155106304/ric6uR2G_normal.jpg</t>
  </si>
  <si>
    <t>http://twitter.com/SamanthaOdessa/statuses/1521035952315154432</t>
  </si>
  <si>
    <t>1521035855766429697</t>
  </si>
  <si>
    <t>Mon May 02 07:56:22 +0000 2022</t>
  </si>
  <si>
    <t>http://twitter.com/dracuk/statuses/1521035855766429697</t>
  </si>
  <si>
    <t>1521035810526617605</t>
  </si>
  <si>
    <t>keefyclarke</t>
  </si>
  <si>
    <t>Mon May 02 07:56:11 +0000 2022</t>
  </si>
  <si>
    <t>26203878</t>
  </si>
  <si>
    <t>http://pbs.twimg.com/profile_images/1397113931789963266/Ia5-1n_c_normal.jpg</t>
  </si>
  <si>
    <t>The EU</t>
  </si>
  <si>
    <t>http://twitter.com/keefyclarke/statuses/1521035810526617605</t>
  </si>
  <si>
    <t>1521035757263200256</t>
  </si>
  <si>
    <t>penelopedarby</t>
  </si>
  <si>
    <t>Ukraine is to Johnson as Falklands was to Thatcher. Issues relating to sex, legs and porn are distracting the public from the cost of living, Brexit problems and general mishandling of the economy. Wake up Britsin! #CostOfLivingCrisis #Brexit #ToryCorruption</t>
  </si>
  <si>
    <t>Mon May 02 07:55:58 +0000 2022</t>
  </si>
  <si>
    <t>121397759</t>
  </si>
  <si>
    <t>http://pbs.twimg.com/profile_images/1066654391242027008/mID9TNie_normal.jpg</t>
  </si>
  <si>
    <t xml:space="preserve">Murcia, Spain </t>
  </si>
  <si>
    <t>http://twitter.com/penelopedarby/statuses/1521035757263200256</t>
  </si>
  <si>
    <t>{"hashtags":[{"text":"CostOfLivingCrisis","indices":[215,234]},{"text":"Brexit","indices":[235,242]},{"text":"ToryCorruption","indices":[243,258]}],"symbols":[],"user_mentions":[],"urls":[]}</t>
  </si>
  <si>
    <t>1521035741228326913</t>
  </si>
  <si>
    <t>claregrove01</t>
  </si>
  <si>
    <t>Mon May 02 07:55:54 +0000 2022</t>
  </si>
  <si>
    <t>1161312985421418498</t>
  </si>
  <si>
    <t>http://pbs.twimg.com/profile_images/1415779985202327556/Iydul9Po_normal.jpg</t>
  </si>
  <si>
    <t>http://twitter.com/claregrove01/statuses/1521035741228326913</t>
  </si>
  <si>
    <t>1521035735700283400</t>
  </si>
  <si>
    <t>ianvward</t>
  </si>
  <si>
    <t>Mon May 02 07:55:53 +0000 2022</t>
  </si>
  <si>
    <t>27901911</t>
  </si>
  <si>
    <t>http://pbs.twimg.com/profile_images/1498348134950395910/rgW3YNg6_normal.jpg</t>
  </si>
  <si>
    <t>http://twitter.com/ianvward/statuses/1521035735700283400</t>
  </si>
  <si>
    <t>1521035649331212290</t>
  </si>
  <si>
    <t>LibbyKerensky</t>
  </si>
  <si>
    <t>Mon May 02 07:55:32 +0000 2022</t>
  </si>
  <si>
    <t>2611596146</t>
  </si>
  <si>
    <t>http://pbs.twimg.com/profile_images/1511016518548529154/S55TUC4t_normal.png</t>
  </si>
  <si>
    <t>South Yorkshire</t>
  </si>
  <si>
    <t>http://twitter.com/LibbyKerensky/statuses/1521035649331212290</t>
  </si>
  <si>
    <t>1521035571958886402</t>
  </si>
  <si>
    <t>CarmelMcLough12</t>
  </si>
  <si>
    <t>Mon May 02 07:55:14 +0000 2022</t>
  </si>
  <si>
    <t>1099789181902090240</t>
  </si>
  <si>
    <t>http://pbs.twimg.com/profile_images/1504218268441194499/LdYqy0s7_normal.jpg</t>
  </si>
  <si>
    <t>http://twitter.com/CarmelMcLough12/statuses/1521035571958886402</t>
  </si>
  <si>
    <t>1521035537276149760</t>
  </si>
  <si>
    <t>PalmerTim1</t>
  </si>
  <si>
    <t>Mon May 02 07:55:06 +0000 2022</t>
  </si>
  <si>
    <t>532428834</t>
  </si>
  <si>
    <t>http://pbs.twimg.com/profile_images/805400635898261504/l-mGDlWh_normal.jpg</t>
  </si>
  <si>
    <t>http://twitter.com/PalmerTim1/statuses/1521035537276149760</t>
  </si>
  <si>
    <t>1521035516526972928</t>
  </si>
  <si>
    <t>RT @vanmaneuro: Imagine spending all that money for a failed project sold on outright lies - then abandoning it because you know it’s a complete abject failure . This is the “less red tape” they promised . #brexit  https://t.co/smnb0SVvDL</t>
  </si>
  <si>
    <t>Mon May 02 07:55:01 +0000 2022</t>
  </si>
  <si>
    <t>http://twitter.com/huxleyisland/statuses/1521035516526972928</t>
  </si>
  <si>
    <t>{"hashtags":[],"symbols":[],"user_mentions":[{"screen_name":"vanmaneuro","name":"ciaran the euro courier 🇪🇺🇮🇪","id":548289031,"id_str":"548289031","indices":[3,14]}],"urls":[]}</t>
  </si>
  <si>
    <t>1521035504950693890</t>
  </si>
  <si>
    <t>grahamwwaters</t>
  </si>
  <si>
    <t>Mon May 02 07:54:58 +0000 2022</t>
  </si>
  <si>
    <t>195493805</t>
  </si>
  <si>
    <t>http://pbs.twimg.com/profile_images/1503490865037287431/DvNlT9BT_normal.jpg</t>
  </si>
  <si>
    <t xml:space="preserve">UK </t>
  </si>
  <si>
    <t>http://twitter.com/grahamwwaters/statuses/1521035504950693890</t>
  </si>
  <si>
    <t>1521035501851090944</t>
  </si>
  <si>
    <t>mramanna</t>
  </si>
  <si>
    <t>Mon May 02 07:54:57 +0000 2022</t>
  </si>
  <si>
    <t>220081348</t>
  </si>
  <si>
    <t>http://pbs.twimg.com/profile_images/1390586326114787328/ZVec1zDP_normal.jpg</t>
  </si>
  <si>
    <t>http://twitter.com/mramanna/statuses/1521035501851090944</t>
  </si>
  <si>
    <t>1521035480200060930</t>
  </si>
  <si>
    <t>NigelBenar</t>
  </si>
  <si>
    <t>Mon May 02 07:54:52 +0000 2022</t>
  </si>
  <si>
    <t>331479899</t>
  </si>
  <si>
    <t>http://pbs.twimg.com/profile_images/1457082913703571456/m3KN7lAq_normal.jpg</t>
  </si>
  <si>
    <t>http://twitter.com/NigelBenar/statuses/1521035480200060930</t>
  </si>
  <si>
    <t>1521035468422397958</t>
  </si>
  <si>
    <t>rickglyn</t>
  </si>
  <si>
    <t>Mon May 02 07:54:49 +0000 2022</t>
  </si>
  <si>
    <t>321334854</t>
  </si>
  <si>
    <t>http://pbs.twimg.com/profile_images/1413997364/richardg2_normal.png</t>
  </si>
  <si>
    <t>Occitanie, France</t>
  </si>
  <si>
    <t>http://twitter.com/rickglyn/statuses/1521035468422397958</t>
  </si>
  <si>
    <t>1521035467445219329</t>
  </si>
  <si>
    <t>greatorexbt</t>
  </si>
  <si>
    <t>1618176122</t>
  </si>
  <si>
    <t>http://pbs.twimg.com/profile_images/1483542162222587904/u3q1pRSR_normal.jpg</t>
  </si>
  <si>
    <t xml:space="preserve">Maia Bouchier for England. </t>
  </si>
  <si>
    <t>http://twitter.com/greatorexbt/statuses/1521035467445219329</t>
  </si>
  <si>
    <t>1521035418153762817</t>
  </si>
  <si>
    <t>ClaraHa24405597</t>
  </si>
  <si>
    <t>Mon May 02 07:54:37 +0000 2022</t>
  </si>
  <si>
    <t>1135637123426586624</t>
  </si>
  <si>
    <t>http://pbs.twimg.com/profile_images/1135807008546967552/tiYyfj17_normal.jpg</t>
  </si>
  <si>
    <t>Exeter</t>
  </si>
  <si>
    <t>http://twitter.com/ClaraHa24405597/statuses/1521035418153762817</t>
  </si>
  <si>
    <t>1521035417461604353</t>
  </si>
  <si>
    <t>http://twitter.com/TaraOCo38612075/statuses/1521035417461604353</t>
  </si>
  <si>
    <t>1521035302458044416</t>
  </si>
  <si>
    <t>richardbullard2</t>
  </si>
  <si>
    <t>RT @DayEskimo: @theAndrewSharpe @xpatjock @Anna_Soubry @CHarri87 And from the Bank of England.
80% of our inflation is likely to be down to #Brexit.</t>
  </si>
  <si>
    <t>Mon May 02 07:54:10 +0000 2022</t>
  </si>
  <si>
    <t>2301913622</t>
  </si>
  <si>
    <t>http://pbs.twimg.com/profile_images/425353013960531968/TrjXldLb_normal.jpeg</t>
  </si>
  <si>
    <t>http://twitter.com/richardbullard2/statuses/1521035302458044416</t>
  </si>
  <si>
    <t>{"hashtags":[],"symbols":[],"user_mentions":[{"screen_name":"DayEskimo","name":"EskimoBlueDay 3.5% FBPA 🇬🇧🏴󠁧󠁢󠁳󠁣󠁴󠁿 🇺🇦","id":1152206108930510800,"id_str":"1152206108930510848","indices":[3,13]},{"screen_name":"theAndrewSharpe","name":"Andrew Sharpe 🏴󠁧󠁢󠁳󠁣󠁴󠁿🇪🇺 #FBPE #FBSI #FBPA","id":785387719711191000,"id_str":"785387719711191040","indices":[15,31]},{"screen_name":"xpatjock","name":"XpatJock #IStandWithUkraine 🇪🇺🇺🇦","id":71585236,"id_str":"71585236","indices":[32,41]},{"screen_name":"Anna_Soubry","name":"Anna Soubry","id":326184301,"id_str":"326184301","indices":[42,54]},{"screen_name":"CHarri87","name":"Chris Harrison","id":875431880677634000,"id_str":"875431880677634048","indices":[55,64]}],"urls":[]}</t>
  </si>
  <si>
    <t>1521035265640382465</t>
  </si>
  <si>
    <t>stevieone3</t>
  </si>
  <si>
    <t>Mon May 02 07:54:01 +0000 2022</t>
  </si>
  <si>
    <t>1429372549205569541</t>
  </si>
  <si>
    <t>http://pbs.twimg.com/profile_images/1499688926575050758/5NYjK-X6_normal.jpg</t>
  </si>
  <si>
    <t>http://twitter.com/stevieone3/statuses/1521035265640382465</t>
  </si>
  <si>
    <t>1521035259327954945</t>
  </si>
  <si>
    <t>KevPask</t>
  </si>
  <si>
    <t>RT @AlasSmithJones: @suemitch2017 #BackBoris #TeamBoris #BorisTrain #NeverLabour #NeverLiebour #Conservatives #LabourHypocricy #LabourSleaze #LabourLies #CaptainHindsight #HypocriteStarmer #SmarmyStarmer #StarmerLies #ScumMedia #DefundTheBBC #Brexit #ResignStarmer #ResignRayner #SirBeerStarmer #DurhamGate</t>
  </si>
  <si>
    <t>Mon May 02 07:53:59 +0000 2022</t>
  </si>
  <si>
    <t>76888837</t>
  </si>
  <si>
    <t>http://pbs.twimg.com/profile_images/580664681171419136/8idjQL2Z_normal.png</t>
  </si>
  <si>
    <t>http://twitter.com/KevPask/statuses/1521035259327954945</t>
  </si>
  <si>
    <t>{"hashtags":[{"text":"BackBoris","indices":[34,44]},{"text":"TeamBoris","indices":[45,55]},{"text":"BorisTrain","indices":[56,67]},{"text":"NeverLabour","indices":[68,80]},{"text":"NeverLiebour","indices":[81,94]},{"text":"Conservatives","indices":[95,109]},{"text":"LabourHypocricy","indices":[110,126]}],"symbols":[],"user_mentions":[{"screen_name":"AlasSmithJones","name":"David Partington #BackBoris #ResignSturgeon","id":1488899444087177200,"id_str":"1488899444087177216","indices":[3,18]},{"screen_name":"suemitch2017","name":"Sue Mitch","id":3220842388,"id_str":"3220842388","indices":[20,33]}],"urls":[]}</t>
  </si>
  <si>
    <t>1521035229057724419</t>
  </si>
  <si>
    <t>andysloane5</t>
  </si>
  <si>
    <t>#Brexit #SunlitUplands https://t.co/h0uciUyI1x</t>
  </si>
  <si>
    <t>Mon May 02 07:53:52 +0000 2022</t>
  </si>
  <si>
    <t>1473412292062715917</t>
  </si>
  <si>
    <t>http://pbs.twimg.com/profile_images/1498383268126896128/X7D7L7kE_normal.jpg</t>
  </si>
  <si>
    <t>http://twitter.com/andysloane5/statuses/1521035229057724419</t>
  </si>
  <si>
    <t>{"hashtags":[{"text":"Brexit","indices":[0,7]},{"text":"SunlitUplands","indices":[8,22]}],"symbols":[],"user_mentions":[],"urls":[{"url":"https://t.co/h0uciUyI1x","expanded_url":"https://twitter.com/bmay/status/1521031266988171264","display_url":"twitter.com/bmay/status/15…","indices":[23,46]}]}</t>
  </si>
  <si>
    <t>1521035222913060865</t>
  </si>
  <si>
    <t>PatYoung</t>
  </si>
  <si>
    <t>👇This thread “It’s time political leaders stopped the conspiracy of silence about the damage #Brexit has done to our country.” https://t.co/svb1r9Ruc2</t>
  </si>
  <si>
    <t>Mon May 02 07:53:51 +0000 2022</t>
  </si>
  <si>
    <t>23574334</t>
  </si>
  <si>
    <t>http://pbs.twimg.com/profile_images/1113420477287075841/ONPCvym8_normal.png</t>
  </si>
  <si>
    <t>Crawley, West Sussex. UK</t>
  </si>
  <si>
    <t>http://twitter.com/PatYoung/statuses/1521035222913060865</t>
  </si>
  <si>
    <t>{"hashtags":[{"text":"Brexit","indices":[93,100]}],"symbols":[],"user_mentions":[],"urls":[{"url":"https://t.co/svb1r9Ruc2","expanded_url":"https://twitter.com/anna_soubry/status/1520749250463866880","display_url":"twitter.com/anna_soubry/st…","indices":[127,150]}]}</t>
  </si>
  <si>
    <t>1521035214729977858</t>
  </si>
  <si>
    <t>Mon May 02 07:53:49 +0000 2022</t>
  </si>
  <si>
    <t>http://twitter.com/rickglyn/statuses/1521035214729977858</t>
  </si>
  <si>
    <t>1521035205544497153</t>
  </si>
  <si>
    <t>rooftopdennis</t>
  </si>
  <si>
    <t>Mon May 02 07:53:47 +0000 2022</t>
  </si>
  <si>
    <t>211831147</t>
  </si>
  <si>
    <t>http://pbs.twimg.com/profile_images/1455567002203049990/4Xr22e1A_normal.jpg</t>
  </si>
  <si>
    <t>Scotland, European</t>
  </si>
  <si>
    <t>http://twitter.com/rooftopdennis/statuses/1521035205544497153</t>
  </si>
  <si>
    <t>1521035187181834240</t>
  </si>
  <si>
    <t>PeteSKingston</t>
  </si>
  <si>
    <t>Mon May 02 07:53:42 +0000 2022</t>
  </si>
  <si>
    <t>2665393935</t>
  </si>
  <si>
    <t>http://pbs.twimg.com/profile_images/1167918534204084225/XhG5LXys_normal.jpg</t>
  </si>
  <si>
    <t>Exeter, England</t>
  </si>
  <si>
    <t>http://twitter.com/PeteSKingston/statuses/1521035187181834240</t>
  </si>
  <si>
    <t>1521035168823365632</t>
  </si>
  <si>
    <t>liarpolitician4</t>
  </si>
  <si>
    <t>Mon May 02 07:53:38 +0000 2022</t>
  </si>
  <si>
    <t>1493542314190557185</t>
  </si>
  <si>
    <t>http://pbs.twimg.com/profile_images/1493544717572837379/tcfHaF6m_normal.jpg</t>
  </si>
  <si>
    <t>Somewhere in corrupt UK.</t>
  </si>
  <si>
    <t>http://twitter.com/liarpolitician4/statuses/1521035168823365632</t>
  </si>
  <si>
    <t>1521035162661924865</t>
  </si>
  <si>
    <t>ChrisJenkins60</t>
  </si>
  <si>
    <t>Mon May 02 07:53:36 +0000 2022</t>
  </si>
  <si>
    <t>22904611</t>
  </si>
  <si>
    <t>http://pbs.twimg.com/profile_images/851839861845872644/mTiS9mmB_normal.jpg</t>
  </si>
  <si>
    <t>Berkshire, UK</t>
  </si>
  <si>
    <t>http://twitter.com/ChrisJenkins60/statuses/1521035162661924865</t>
  </si>
  <si>
    <t>1521035144064348165</t>
  </si>
  <si>
    <t>thefossiler</t>
  </si>
  <si>
    <t>Mon May 02 07:53:32 +0000 2022</t>
  </si>
  <si>
    <t>488646620</t>
  </si>
  <si>
    <t>http://pbs.twimg.com/profile_images/1164233638243983360/zaO6wj53_normal.jpg</t>
  </si>
  <si>
    <t>http://twitter.com/thefossiler/statuses/1521035144064348165</t>
  </si>
  <si>
    <t>1521035135071801346</t>
  </si>
  <si>
    <t>Mon May 02 07:53:30 +0000 2022</t>
  </si>
  <si>
    <t>http://twitter.com/joanna_nicolson/statuses/1521035135071801346</t>
  </si>
  <si>
    <t>1521035128033746945</t>
  </si>
  <si>
    <t>Lorelei3113</t>
  </si>
  <si>
    <t>Mon May 02 07:53:28 +0000 2022</t>
  </si>
  <si>
    <t>1479039501544701952</t>
  </si>
  <si>
    <t>http://pbs.twimg.com/profile_images/1518503077036310529/JOb4jCLA_normal.jpg</t>
  </si>
  <si>
    <t>Bordeaux, France</t>
  </si>
  <si>
    <t>http://twitter.com/Lorelei3113/statuses/1521035128033746945</t>
  </si>
  <si>
    <t>1521035122757312512</t>
  </si>
  <si>
    <t>INDalton</t>
  </si>
  <si>
    <t>Mon May 02 07:53:27 +0000 2022</t>
  </si>
  <si>
    <t>472106196</t>
  </si>
  <si>
    <t>http://pbs.twimg.com/profile_images/1483473016294100992/9rtb8DDq_normal.jpg</t>
  </si>
  <si>
    <t>http://twitter.com/INDalton/statuses/1521035122757312512</t>
  </si>
  <si>
    <t>1521035098086330370</t>
  </si>
  <si>
    <t>Mon May 02 07:53:21 +0000 2022</t>
  </si>
  <si>
    <t>http://twitter.com/thefossiler/statuses/1521035098086330370</t>
  </si>
  <si>
    <t>1521035066255761408</t>
  </si>
  <si>
    <t>holle_fraulein</t>
  </si>
  <si>
    <t>Ist die Wirtschaft von Großbritannien eigentlich schon zusammengebrochen?
Haben sich die Befürchtungen der EU bewahrheitet, dass dies nach dem #Brexit geschieht? #annewill</t>
  </si>
  <si>
    <t>Mon May 02 07:53:13 +0000 2022</t>
  </si>
  <si>
    <t>1341526292454404097</t>
  </si>
  <si>
    <t>http://pbs.twimg.com/profile_images/1341664127052361728/HF9ii4n7_normal.jpg</t>
  </si>
  <si>
    <t>http://twitter.com/holle_fraulein/statuses/1521035066255761408</t>
  </si>
  <si>
    <t>{"hashtags":[{"text":"Brexit","indices":[144,151]},{"text":"annewill","indices":[163,172]}],"symbols":[],"user_mentions":[],"urls":[]}</t>
  </si>
  <si>
    <t>1521035038711767040</t>
  </si>
  <si>
    <t>Everything about #Brexit disgusts me whether it's the arrogance, the exceptionalism, the nationalism, the racism, the outrageous deceit, or the sheer scale of ignorance.
Little wonder a choice made by a minority with such base instincts would result in calamity.
#BrexitDisaster</t>
  </si>
  <si>
    <t>Mon May 02 07:53:07 +0000 2022</t>
  </si>
  <si>
    <t>http://twitter.com/andypic/statuses/1521035038711767040</t>
  </si>
  <si>
    <t>{"hashtags":[{"text":"Brexit","indices":[17,24]},{"text":"BrexitDisaster","indices":[263,278]}],"symbols":[],"user_mentions":[],"urls":[]}</t>
  </si>
  <si>
    <t>1521034911930540032</t>
  </si>
  <si>
    <t>keabry77</t>
  </si>
  <si>
    <t>Mon May 02 07:52:37 +0000 2022</t>
  </si>
  <si>
    <t>2906768584</t>
  </si>
  <si>
    <t>http://pbs.twimg.com/profile_images/540951803396108289/gvP53Tkq_normal.jpeg</t>
  </si>
  <si>
    <t>completely up the swannie</t>
  </si>
  <si>
    <t>http://twitter.com/keabry77/statuses/1521034911930540032</t>
  </si>
  <si>
    <t>1521034904825483265</t>
  </si>
  <si>
    <t>KenKenph59</t>
  </si>
  <si>
    <t>Mon May 02 07:52:35 +0000 2022</t>
  </si>
  <si>
    <t>2715353151</t>
  </si>
  <si>
    <t>http://pbs.twimg.com/profile_images/1041663219889266688/wukEl0eR_normal.jpg</t>
  </si>
  <si>
    <t>http://twitter.com/KenKenph59/statuses/1521034904825483265</t>
  </si>
  <si>
    <t>1521034888090116096</t>
  </si>
  <si>
    <t>channstupot</t>
  </si>
  <si>
    <t>Mon May 02 07:52:31 +0000 2022</t>
  </si>
  <si>
    <t>726122939716894722</t>
  </si>
  <si>
    <t>http://pbs.twimg.com/profile_images/1477615584305156102/-BE6ojpe_normal.jpg</t>
  </si>
  <si>
    <t>http://twitter.com/channstupot/statuses/1521034888090116096</t>
  </si>
  <si>
    <t>1521034886987108353</t>
  </si>
  <si>
    <t>yorkiemoonraker</t>
  </si>
  <si>
    <t>182873904</t>
  </si>
  <si>
    <t>http://pbs.twimg.com/profile_images/2269723175/jvwqvxybq2vk1wh8uney_normal.jpeg</t>
  </si>
  <si>
    <t>Yorkshire, United Kingdom</t>
  </si>
  <si>
    <t>http://twitter.com/yorkiemoonraker/statuses/1521034886987108353</t>
  </si>
  <si>
    <t>1521034797006659586</t>
  </si>
  <si>
    <t>grim_up_north1</t>
  </si>
  <si>
    <t>Mon May 02 07:52:09 +0000 2022</t>
  </si>
  <si>
    <t>1479749258458939392</t>
  </si>
  <si>
    <t>http://twitter.com/grim_up_north1/statuses/1521034797006659586</t>
  </si>
  <si>
    <t>1521034657109889026</t>
  </si>
  <si>
    <t>richardvranch</t>
  </si>
  <si>
    <t>Mon May 02 07:51:36 +0000 2022</t>
  </si>
  <si>
    <t>17780035</t>
  </si>
  <si>
    <t>http://pbs.twimg.com/profile_images/975388012115787776/lA4TdLAB_normal.jpg</t>
  </si>
  <si>
    <t>Other odd stuff here:</t>
  </si>
  <si>
    <t>http://twitter.com/richardvranch/statuses/1521034657109889026</t>
  </si>
  <si>
    <t>1521034630362763264</t>
  </si>
  <si>
    <t>djangowinedog</t>
  </si>
  <si>
    <t>Mon May 02 07:51:29 +0000 2022</t>
  </si>
  <si>
    <t>186854449</t>
  </si>
  <si>
    <t>http://pbs.twimg.com/profile_images/920538380810752000/-tNaC83e_normal.jpg</t>
  </si>
  <si>
    <t>down man, really down</t>
  </si>
  <si>
    <t>http://twitter.com/djangowinedog/statuses/1521034630362763264</t>
  </si>
  <si>
    <t>1521034593247404033</t>
  </si>
  <si>
    <t>tim_urbancrap</t>
  </si>
  <si>
    <t>Life under the Tories. #Brexit #ToryBrexit
‘Dental deserts’ form in England as dentists quit NHS, experts warn https://t.co/YkJowkOITv</t>
  </si>
  <si>
    <t>Mon May 02 07:51:21 +0000 2022</t>
  </si>
  <si>
    <t>21007512</t>
  </si>
  <si>
    <t>http://pbs.twimg.com/profile_images/1498584754358263808/UDoVFnZt_normal.jpg</t>
  </si>
  <si>
    <t>Wirral</t>
  </si>
  <si>
    <t>http://twitter.com/tim_urbancrap/statuses/1521034593247404033</t>
  </si>
  <si>
    <t>{"hashtags":[{"text":"Brexit","indices":[23,30]},{"text":"ToryBrexit","indices":[31,42]}],"symbols":[],"user_mentions":[],"urls":[{"url":"https://t.co/YkJowkOITv","expanded_url":"https://www.theguardian.com/society/2022/may/01/dental-deserts-form-in-england-as-dentists-quit-nhs-experts-warn?CMP=share_btn_tw","display_url":"theguardian.com/society/2022/m…","indices":[112,135]}]}</t>
  </si>
  <si>
    <t>1521034559772626944</t>
  </si>
  <si>
    <t>TransInfoENG1</t>
  </si>
  <si>
    <t>Germany is to spend as much as €700 million on motorway rest areas and HGV parking facilities - a figure that dwarfs the £52.5 million the UK Government has allocated. #HGV #haulier #Brexit #haulage #roadtransport #freight #Germany #UK #motorway #lorry https://t.co/kMRy0SjwbM</t>
  </si>
  <si>
    <t>Mon May 02 07:51:13 +0000 2022</t>
  </si>
  <si>
    <t>1346828149775093761</t>
  </si>
  <si>
    <t>http://pbs.twimg.com/profile_images/1346828360845053952/gCvXb2RV_normal.jpg</t>
  </si>
  <si>
    <t>Wroclaw, Poland</t>
  </si>
  <si>
    <t>http://twitter.com/TransInfoENG1/statuses/1521034559772626944</t>
  </si>
  <si>
    <t>{"hashtags":[{"text":"HGV","indices":[168,172]},{"text":"haulier","indices":[173,181]},{"text":"Brexit","indices":[182,189]},{"text":"haulage","indices":[190,198]},{"text":"roadtransport","indices":[199,213]},{"text":"freight","indices":[214,222]},{"text":"Germany","indices":[223,231]},{"text":"UK","indices":[232,235]},{"text":"motorway","indices":[236,245]},{"text":"lorry","indices":[246,252]}],"symbols":[],"user_mentions":[],"urls":[{"url":"https://t.co/kMRy0SjwbM","expanded_url":"https://trans.info/en/hgv-parking-germany-286850","display_url":"trans.info/en/hgv-parking…","indices":[253,276]}]}</t>
  </si>
  <si>
    <t>1521034552122171394</t>
  </si>
  <si>
    <t>Pierre_Ka</t>
  </si>
  <si>
    <t>Mon May 02 07:51:11 +0000 2022</t>
  </si>
  <si>
    <t>306778929</t>
  </si>
  <si>
    <t>http://pbs.twimg.com/profile_images/1502920498757447681/ep6TCpw5_normal.jpg</t>
  </si>
  <si>
    <t>Brest</t>
  </si>
  <si>
    <t>http://twitter.com/Pierre_Ka/statuses/1521034552122171394</t>
  </si>
  <si>
    <t>1521034509357133824</t>
  </si>
  <si>
    <t>ArthurC63013634</t>
  </si>
  <si>
    <t>Mon May 02 07:51:01 +0000 2022</t>
  </si>
  <si>
    <t>1013026675284676608</t>
  </si>
  <si>
    <t>http://pbs.twimg.com/profile_images/1013028846038409217/2RXw5z1L_normal.jpg</t>
  </si>
  <si>
    <t>http://twitter.com/ArthurC63013634/statuses/1521034509357133824</t>
  </si>
  <si>
    <t>1521034466428395521</t>
  </si>
  <si>
    <t>JohnAsh94737774</t>
  </si>
  <si>
    <t>Mon May 02 07:50:50 +0000 2022</t>
  </si>
  <si>
    <t>1123488862599299072</t>
  </si>
  <si>
    <t>http://twitter.com/JohnAsh94737774/statuses/1521034466428395521</t>
  </si>
  <si>
    <t>1521034466017386496</t>
  </si>
  <si>
    <t>PJWestlake</t>
  </si>
  <si>
    <t>197558473</t>
  </si>
  <si>
    <t>http://pbs.twimg.com/profile_images/1381273718652035073/kCmSjrKl_normal.jpg</t>
  </si>
  <si>
    <t>Saffron Walden, Essex</t>
  </si>
  <si>
    <t>http://twitter.com/PJWestlake/statuses/1521034466017386496</t>
  </si>
  <si>
    <t>1521034442336309249</t>
  </si>
  <si>
    <t>StuartWeinstoc1</t>
  </si>
  <si>
    <t>@br_nning Funny how they forget about their #brexit shananigans ?
#ToryCriminalsUnfitToGovern</t>
  </si>
  <si>
    <t>Mon May 02 07:50:45 +0000 2022</t>
  </si>
  <si>
    <t>1020686023129550849</t>
  </si>
  <si>
    <t>br_nning</t>
  </si>
  <si>
    <t>736994660011376640</t>
  </si>
  <si>
    <t>1521032872165089280</t>
  </si>
  <si>
    <t>Lazio, Italy</t>
  </si>
  <si>
    <t>http://twitter.com/StuartWeinstoc1/statuses/1521034442336309249</t>
  </si>
  <si>
    <t>{"hashtags":[{"text":"brexit","indices":[44,51]},{"text":"ToryCriminalsUnfitToGovern","indices":[66,93]}],"symbols":[],"user_mentions":[{"screen_name":"br_nning","name":"Henrik 🇪🇺 #FBPE Free Ukraine. Russia:Иди на хуй!","id":1020686023129550800,"id_str":"1020686023129550849","indices":[0,9]}],"urls":[]}</t>
  </si>
  <si>
    <t>1521034426213355520</t>
  </si>
  <si>
    <t>agatha_bobb</t>
  </si>
  <si>
    <t>Mon May 02 07:50:41 +0000 2022</t>
  </si>
  <si>
    <t>815271534398939140</t>
  </si>
  <si>
    <t>http://twitter.com/agatha_bobb/statuses/1521034426213355520</t>
  </si>
  <si>
    <t>1521034405149560835</t>
  </si>
  <si>
    <t>eildons3</t>
  </si>
  <si>
    <t>Mon May 02 07:50:36 +0000 2022</t>
  </si>
  <si>
    <t>4273254214</t>
  </si>
  <si>
    <t>http://twitter.com/eildons3/statuses/1521034405149560835</t>
  </si>
  <si>
    <t>1521034404000411649</t>
  </si>
  <si>
    <t>JimmyCoats4</t>
  </si>
  <si>
    <t>1167191634435608580</t>
  </si>
  <si>
    <t>http://pbs.twimg.com/profile_images/1167191923658055680/vLgUK6Qa_normal.jpg</t>
  </si>
  <si>
    <t>Shoreham-by-Sea, England</t>
  </si>
  <si>
    <t>http://twitter.com/JimmyCoats4/statuses/1521034404000411649</t>
  </si>
  <si>
    <t>1521034401999691776</t>
  </si>
  <si>
    <t>mccandlessp</t>
  </si>
  <si>
    <t>Why doesn't the #UK report #Covid cases over the weekends? Is this another #Brexit benefit, courtesy of the #CrimeMinister?</t>
  </si>
  <si>
    <t>Mon May 02 07:50:35 +0000 2022</t>
  </si>
  <si>
    <t>1410754232</t>
  </si>
  <si>
    <t>http://pbs.twimg.com/profile_images/1365669362259091459/0LHVy4Xt_normal.jpg</t>
  </si>
  <si>
    <t>http://twitter.com/mccandlessp/statuses/1521034401999691776</t>
  </si>
  <si>
    <t>{"hashtags":[{"text":"UK","indices":[16,19]},{"text":"Covid","indices":[27,33]},{"text":"Brexit","indices":[75,82]},{"text":"CrimeMinister","indices":[108,122]}],"symbols":[],"user_mentions":[],"urls":[]}</t>
  </si>
  <si>
    <t>1521034380226924545</t>
  </si>
  <si>
    <t>mfnmelb1</t>
  </si>
  <si>
    <t>Mon May 02 07:50:30 +0000 2022</t>
  </si>
  <si>
    <t>4890976666</t>
  </si>
  <si>
    <t>http://pbs.twimg.com/profile_images/837141295042703360/SZqoVNTx_normal.jpg</t>
  </si>
  <si>
    <t>Melbourne, Victoria</t>
  </si>
  <si>
    <t>http://twitter.com/mfnmelb1/statuses/1521034380226924545</t>
  </si>
  <si>
    <t>1521034326934274048</t>
  </si>
  <si>
    <t>toadflaxmillion</t>
  </si>
  <si>
    <t>Mon May 02 07:50:17 +0000 2022</t>
  </si>
  <si>
    <t>870336150841548801</t>
  </si>
  <si>
    <t>http://pbs.twimg.com/profile_images/1519960052660158464/4kWqrHRx_normal.jpg</t>
  </si>
  <si>
    <t>http://twitter.com/toadflaxmillion/statuses/1521034326934274048</t>
  </si>
  <si>
    <t>1521034309670473729</t>
  </si>
  <si>
    <t>GeoffKPayne</t>
  </si>
  <si>
    <t>Mon May 02 07:50:13 +0000 2022</t>
  </si>
  <si>
    <t>1379167574</t>
  </si>
  <si>
    <t>http://pbs.twimg.com/profile_images/3572694934/6c2a7eebfae1f9a88117a92a3d281c68_normal.jpeg</t>
  </si>
  <si>
    <t>http://twitter.com/GeoffKPayne/statuses/1521034309670473729</t>
  </si>
  <si>
    <t>1521034262870437888</t>
  </si>
  <si>
    <t>fiercetiger103</t>
  </si>
  <si>
    <t>Mon May 02 07:50:02 +0000 2022</t>
  </si>
  <si>
    <t>1260629401357684737</t>
  </si>
  <si>
    <t>http://twitter.com/fiercetiger103/statuses/1521034262870437888</t>
  </si>
  <si>
    <t>1521034245501861888</t>
  </si>
  <si>
    <t>Mon May 02 07:49:58 +0000 2022</t>
  </si>
  <si>
    <t>http://twitter.com/GeoffKPayne/statuses/1521034245501861888</t>
  </si>
  <si>
    <t>1521034156695859200</t>
  </si>
  <si>
    <t>lucybridgers</t>
  </si>
  <si>
    <t>Mon May 02 07:49:37 +0000 2022</t>
  </si>
  <si>
    <t>96162549</t>
  </si>
  <si>
    <t>http://pbs.twimg.com/profile_images/1269248301/Lucy_corks_Twitter_pic_normal.jpg</t>
  </si>
  <si>
    <t>http://twitter.com/lucybridgers/statuses/1521034156695859200</t>
  </si>
  <si>
    <t>1521034135623589888</t>
  </si>
  <si>
    <t>Syed_A_Jaffery</t>
  </si>
  <si>
    <t>Mon May 02 07:49:32 +0000 2022</t>
  </si>
  <si>
    <t>1253327507828310018</t>
  </si>
  <si>
    <t>http://pbs.twimg.com/profile_images/1264298940767272963/Qyg0iyFX_normal.jpg</t>
  </si>
  <si>
    <t>Surrey UK</t>
  </si>
  <si>
    <t>http://twitter.com/Syed_A_Jaffery/statuses/1521034135623589888</t>
  </si>
  <si>
    <t>1521034075825393664</t>
  </si>
  <si>
    <t>alastairdick</t>
  </si>
  <si>
    <t>Mon May 02 07:49:17 +0000 2022</t>
  </si>
  <si>
    <t>2554428824</t>
  </si>
  <si>
    <t>http://pbs.twimg.com/profile_images/1322582749308399629/mTVlXpsf_normal.jpg</t>
  </si>
  <si>
    <t>http://twitter.com/alastairdick/statuses/1521034075825393664</t>
  </si>
  <si>
    <t>1521034060793004032</t>
  </si>
  <si>
    <t>CunliffeSusanna</t>
  </si>
  <si>
    <t>RT @brawday: If it wasn't for Ukraine war what excuses could Tories make for #brexit. ?</t>
  </si>
  <si>
    <t>Mon May 02 07:49:14 +0000 2022</t>
  </si>
  <si>
    <t>1484120455803977730</t>
  </si>
  <si>
    <t>http://pbs.twimg.com/profile_images/1517233123678896129/Zz-xPuT6_normal.jpg</t>
  </si>
  <si>
    <t>West Sussex</t>
  </si>
  <si>
    <t>http://twitter.com/CunliffeSusanna/statuses/1521034060793004032</t>
  </si>
  <si>
    <t>{"hashtags":[{"text":"brexit","indices":[77,84]}],"symbols":[],"user_mentions":[{"screen_name":"brawday","name":"The Lady J of Tay","id":1582533673,"id_str":"1582533673","indices":[3,11]}],"urls":[]}</t>
  </si>
  <si>
    <t>1521034057668255745</t>
  </si>
  <si>
    <t>suzeb57</t>
  </si>
  <si>
    <t>Mon May 02 07:49:13 +0000 2022</t>
  </si>
  <si>
    <t>3973321287</t>
  </si>
  <si>
    <t>http://pbs.twimg.com/profile_images/695348823518875653/AD2tTaTR_normal.jpg</t>
  </si>
  <si>
    <t>http://twitter.com/suzeb57/statuses/1521034057668255745</t>
  </si>
  <si>
    <t>1521034044921847809</t>
  </si>
  <si>
    <t>Mon May 02 07:49:10 +0000 2022</t>
  </si>
  <si>
    <t>http://twitter.com/sbh214/statuses/1521034044921847809</t>
  </si>
  <si>
    <t>1521033988235796481</t>
  </si>
  <si>
    <t>judecook_</t>
  </si>
  <si>
    <t>Mon May 02 07:48:56 +0000 2022</t>
  </si>
  <si>
    <t>401376647</t>
  </si>
  <si>
    <t>http://pbs.twimg.com/profile_images/1123308255462268931/HHyZkidV_normal.jpg</t>
  </si>
  <si>
    <t>http://twitter.com/judecook_/statuses/1521033988235796481</t>
  </si>
  <si>
    <t>1521033964747640832</t>
  </si>
  <si>
    <t>QuinlanQuinlan</t>
  </si>
  <si>
    <t>Mon May 02 07:48:51 +0000 2022</t>
  </si>
  <si>
    <t>411752020</t>
  </si>
  <si>
    <t>http://pbs.twimg.com/profile_images/1661078970/image_normal.jpg</t>
  </si>
  <si>
    <t>http://twitter.com/QuinlanQuinlan/statuses/1521033964747640832</t>
  </si>
  <si>
    <t>1521033810112135169</t>
  </si>
  <si>
    <t>hitchfan1</t>
  </si>
  <si>
    <t>I'm welling up...
#Brexit https://t.co/5Srwm8vSgG</t>
  </si>
  <si>
    <t>Mon May 02 07:48:14 +0000 2022</t>
  </si>
  <si>
    <t>243648321</t>
  </si>
  <si>
    <t>http://pbs.twimg.com/profile_images/1477591871635525633/JtzfsoJH_normal.jpg</t>
  </si>
  <si>
    <t>The Beautiful South, England</t>
  </si>
  <si>
    <t>http://twitter.com/hitchfan1/statuses/1521033810112135169</t>
  </si>
  <si>
    <t>{"hashtags":[{"text":"Brexit","indices":[18,25]}],"symbols":[],"user_mentions":[],"urls":[{"url":"https://t.co/5Srwm8vSgG","expanded_url":"https://twitter.com/TerryReintke/status/1520757923089195011","display_url":"twitter.com/TerryReintke/s…","indices":[26,49]}]}</t>
  </si>
  <si>
    <t>1521033803459960834</t>
  </si>
  <si>
    <t>jezrandall</t>
  </si>
  <si>
    <t>RT @JackHen16271194: Remember the remainers from the #MSM and pro EU propagandist organisations such as the BBC who told us Airbus operations in the UK would cease after Brexit ?
Hasn't happened, in fact the UK Airbus operation is going from strength to strength.
#Brexit 
#Airbus
#BrexitSuccess https://t.co/WD9FtYB0M2</t>
  </si>
  <si>
    <t>Mon May 02 07:48:12 +0000 2022</t>
  </si>
  <si>
    <t>23665448</t>
  </si>
  <si>
    <t>http://pbs.twimg.com/profile_images/313674532/DSC555_normal.jpg</t>
  </si>
  <si>
    <t>Brackley, England</t>
  </si>
  <si>
    <t>http://twitter.com/jezrandall/statuses/1521033803459960834</t>
  </si>
  <si>
    <t>{"hashtags":[{"text":"MSM","indices":[53,57]}],"symbols":[],"user_mentions":[{"screen_name":"JackHen16271194","name":"Jack Henry. No to extremism.","id":1364308324423004200,"id_str":"1364308324423004162","indices":[3,19]}],"urls":[]}</t>
  </si>
  <si>
    <t>1521033760359292928</t>
  </si>
  <si>
    <t>Roadwarrior29</t>
  </si>
  <si>
    <t>Mon May 02 07:48:02 +0000 2022</t>
  </si>
  <si>
    <t>336558514</t>
  </si>
  <si>
    <t>http://pbs.twimg.com/profile_images/1369223794984947712/jwfKBCRj_normal.jpg</t>
  </si>
  <si>
    <t>Atlantis.....mostly</t>
  </si>
  <si>
    <t>http://twitter.com/Roadwarrior29/statuses/1521033760359292928</t>
  </si>
  <si>
    <t>1521033755397349377</t>
  </si>
  <si>
    <t>BarbaraHunter07</t>
  </si>
  <si>
    <t>Mon May 02 07:48:01 +0000 2022</t>
  </si>
  <si>
    <t>1341773024173895684</t>
  </si>
  <si>
    <t>http://pbs.twimg.com/profile_images/1342407595991191553/0A47VSKW_normal.jpg</t>
  </si>
  <si>
    <t>http://twitter.com/BarbaraHunter07/statuses/1521033755397349377</t>
  </si>
  <si>
    <t>1521033740390129670</t>
  </si>
  <si>
    <t>jmkorhonen</t>
  </si>
  <si>
    <t>Mon May 02 07:47:57 +0000 2022</t>
  </si>
  <si>
    <t>62264590</t>
  </si>
  <si>
    <t>http://pbs.twimg.com/profile_images/672706218281074689/3-e4p7PL_normal.jpg</t>
  </si>
  <si>
    <t>http://twitter.com/jmkorhonen/statuses/1521033740390129670</t>
  </si>
  <si>
    <t>1521033740125978624</t>
  </si>
  <si>
    <t>MrCarl_RLFan</t>
  </si>
  <si>
    <t>385034628</t>
  </si>
  <si>
    <t>http://pbs.twimg.com/profile_images/892468026276278272/voaMGdVM_normal.jpg</t>
  </si>
  <si>
    <t xml:space="preserve">Greater Manchester </t>
  </si>
  <si>
    <t>http://twitter.com/MrCarl_RLFan/statuses/1521033740125978624</t>
  </si>
  <si>
    <t>1521033654625054720</t>
  </si>
  <si>
    <t>wh500w</t>
  </si>
  <si>
    <t>Mon May 02 07:47:37 +0000 2022</t>
  </si>
  <si>
    <t>306144544</t>
  </si>
  <si>
    <t>http://pbs.twimg.com/profile_images/608264423174762497/hv8R7vCc_normal.jpg</t>
  </si>
  <si>
    <t>soho</t>
  </si>
  <si>
    <t>http://twitter.com/wh500w/statuses/1521033654625054720</t>
  </si>
  <si>
    <t>1521033612266811392</t>
  </si>
  <si>
    <t>JulianHarvey17</t>
  </si>
  <si>
    <t>Mon May 02 07:47:27 +0000 2022</t>
  </si>
  <si>
    <t>806666760946597892</t>
  </si>
  <si>
    <t>http://twitter.com/JulianHarvey17/statuses/1521033612266811392</t>
  </si>
  <si>
    <t>1521033598744285184</t>
  </si>
  <si>
    <t>flora_heather</t>
  </si>
  <si>
    <t>Mon May 02 07:47:24 +0000 2022</t>
  </si>
  <si>
    <t>3194181850</t>
  </si>
  <si>
    <t>http://pbs.twimg.com/profile_images/599527660398620672/skZ-cEoT_normal.jpg</t>
  </si>
  <si>
    <t>http://twitter.com/flora_heather/statuses/1521033598744285184</t>
  </si>
  <si>
    <t>1521033547649363969</t>
  </si>
  <si>
    <t>SimonFoxWriter</t>
  </si>
  <si>
    <t>The #Boris-hater's personality/cultural profile: hates Boris; hates #Brexit; hates the #UK; hates working-class people; hates #FreeSpeech; hates the #North; loves the #EU; loves being #rich; claims to care about the #Earth but loves flying to distant, exotic holiday destinations.</t>
  </si>
  <si>
    <t>Mon May 02 07:47:11 +0000 2022</t>
  </si>
  <si>
    <t>71008115</t>
  </si>
  <si>
    <t>http://pbs.twimg.com/profile_images/423908882/si4small_normal.JPG</t>
  </si>
  <si>
    <t>Lincoln, England</t>
  </si>
  <si>
    <t>http://twitter.com/SimonFoxWriter/statuses/1521033547649363969</t>
  </si>
  <si>
    <t>{"hashtags":[{"text":"Boris","indices":[4,10]},{"text":"Brexit","indices":[68,75]},{"text":"UK","indices":[87,90]},{"text":"FreeSpeech","indices":[126,137]},{"text":"North","indices":[149,155]},{"text":"EU","indices":[167,170]},{"text":"rich","indices":[184,189]},{"text":"Earth","indices":[216,222]}],"symbols":[],"user_mentions":[],"urls":[]}</t>
  </si>
  <si>
    <t>1521033511511154689</t>
  </si>
  <si>
    <t>art__bart</t>
  </si>
  <si>
    <t>Mon May 02 07:47:03 +0000 2022</t>
  </si>
  <si>
    <t>134132931</t>
  </si>
  <si>
    <t>http://pbs.twimg.com/profile_images/1414943764049715206/loowOrMt_normal.jpg</t>
  </si>
  <si>
    <t>"Citizen of Nowhere" 😳</t>
  </si>
  <si>
    <t>http://twitter.com/art__bart/statuses/1521033511511154689</t>
  </si>
  <si>
    <t>1521033501889507328</t>
  </si>
  <si>
    <t>joao_kay</t>
  </si>
  <si>
    <t>Mon May 02 07:47:00 +0000 2022</t>
  </si>
  <si>
    <t>3266245188</t>
  </si>
  <si>
    <t>http://pbs.twimg.com/profile_images/1500265126968057858/A95WKa7B_normal.jpg</t>
  </si>
  <si>
    <t xml:space="preserve">Fife Scotland </t>
  </si>
  <si>
    <t>http://twitter.com/joao_kay/statuses/1521033501889507328</t>
  </si>
  <si>
    <t>1521033361128579073</t>
  </si>
  <si>
    <t>richardcalhoun</t>
  </si>
  <si>
    <t>Mon May 02 07:46:27 +0000 2022</t>
  </si>
  <si>
    <t>7349062</t>
  </si>
  <si>
    <t>http://pbs.twimg.com/profile_images/929696103884144640/-NogAn3x_normal.jpg</t>
  </si>
  <si>
    <t xml:space="preserve">England </t>
  </si>
  <si>
    <t>http://twitter.com/richardcalhoun/statuses/1521033361128579073</t>
  </si>
  <si>
    <t>1521033255423778816</t>
  </si>
  <si>
    <t>danohagan</t>
  </si>
  <si>
    <t>Mon May 02 07:46:02 +0000 2022</t>
  </si>
  <si>
    <t>20538964</t>
  </si>
  <si>
    <t>http://pbs.twimg.com/profile_images/1515070357706792960/WdLZhi6x_normal.jpg</t>
  </si>
  <si>
    <t>London. Europe. 🇪🇺🇮🇪🇺🇦</t>
  </si>
  <si>
    <t>http://twitter.com/danohagan/statuses/1521033255423778816</t>
  </si>
  <si>
    <t>1521033242270392326</t>
  </si>
  <si>
    <t>IanGreenwood6</t>
  </si>
  <si>
    <t>Mon May 02 07:45:59 +0000 2022</t>
  </si>
  <si>
    <t>712196480</t>
  </si>
  <si>
    <t>http://pbs.twimg.com/profile_images/592049282833854464/5TRz97JN_normal.jpg</t>
  </si>
  <si>
    <t>http://twitter.com/IanGreenwood6/statuses/1521033242270392326</t>
  </si>
  <si>
    <t>1521033226973761536</t>
  </si>
  <si>
    <t>ARobinova</t>
  </si>
  <si>
    <t>Mon May 02 07:45:55 +0000 2022</t>
  </si>
  <si>
    <t>1244603517270097922</t>
  </si>
  <si>
    <t>http://pbs.twimg.com/profile_images/1244604227923652608/izgDy0-H_normal.jpg</t>
  </si>
  <si>
    <t>http://twitter.com/ARobinova/statuses/1521033226973761536</t>
  </si>
  <si>
    <t>1521033208405630976</t>
  </si>
  <si>
    <t>Mon May 02 07:45:50 +0000 2022</t>
  </si>
  <si>
    <t>http://twitter.com/IanGreenwood6/statuses/1521033208405630976</t>
  </si>
  <si>
    <t>1521033144572563462</t>
  </si>
  <si>
    <t>AnnetteSilvest3</t>
  </si>
  <si>
    <t>Mon May 02 07:45:35 +0000 2022</t>
  </si>
  <si>
    <t>873291636838674434</t>
  </si>
  <si>
    <t>http://pbs.twimg.com/profile_images/1360317845255634951/d8kseJQQ_normal.jpg</t>
  </si>
  <si>
    <t>http://twitter.com/AnnetteSilvest3/statuses/1521033144572563462</t>
  </si>
  <si>
    <t>1521033110003011584</t>
  </si>
  <si>
    <t>RTomDavies1</t>
  </si>
  <si>
    <t>RT @HereBeProof: @LauraPh27961838 @irishagreement @econoclast_j @hayward_katy @BrigidLaffan @mdouganlpool @pimlicat @OxfordDiplomat @odonnell @freyamcc An admission by the perpetra(i)tors of #Brexit that all Leave voters need to read and then read again...
and then remember it the next time they are asked to vote either in local elections or to elect an MP...
@KimSJ @StillShielding @michaelgove @BrexitRage @LizWebsterLD @51TJK</t>
  </si>
  <si>
    <t>Mon May 02 07:45:27 +0000 2022</t>
  </si>
  <si>
    <t>1388870934073856001</t>
  </si>
  <si>
    <t>http://pbs.twimg.com/profile_images/1494256073280208898/gic9IqKt_normal.jpg</t>
  </si>
  <si>
    <t>Swansea</t>
  </si>
  <si>
    <t>http://twitter.com/RTomDavies1/statuses/1521033110003011584</t>
  </si>
  <si>
    <t>{"hashtags":[],"symbols":[],"user_mentions":[{"screen_name":"HereBeProof","name":"Proof in the Putting","id":3110077936,"id_str":"3110077936","indices":[3,15]},{"screen_name":"LauraPh27961838","name":"Laura Phelan","id":1159917887857057800,"id_str":"1159917887857057794","indices":[17,33]},{"screen_name":"irishagreement","name":"Irish Agreement","id":875390164834693100,"id_str":"875390164834693120","indices":[34,49]},{"screen_name":"econoclast_j","name":"Jonathan Harris","id":818246442,"id_str":"818246442","indices":[50,63]},{"screen_name":"hayward_katy","name":"Katy Hayward","id":2761942125,"id_str":"2761942125","indices":[64,77]},{"screen_name":"BrigidLaffan","name":"Brigid Laffan","id":803911917161054200,"id_str":"803911917161054208","indices":[78,91]},{"screen_name":"mdouganlpool","name":"Michael Dougan","id":1169278342543097900,"id_str":"1169278342543097856","indices":[92,105]},{"screen_name":"pimlicat","name":"Naomi Smith","id":19491239,"id_str":"19491239","indices":[106,115]},{"screen_name":"OxfordDiplomat","name":"Dr. Jennifer Cassidy","id":1962626484,"id_str":"1962626484","indices":[116,131]}],"urls":[]}</t>
  </si>
  <si>
    <t>1521033070022782976</t>
  </si>
  <si>
    <t>Mon May 02 07:45:17 +0000 2022</t>
  </si>
  <si>
    <t>http://twitter.com/IanGreenwood6/statuses/1521033070022782976</t>
  </si>
  <si>
    <t>1521033067099471872</t>
  </si>
  <si>
    <t>CatherineHedle2</t>
  </si>
  <si>
    <t>1292781276873863171</t>
  </si>
  <si>
    <t>http://pbs.twimg.com/profile_images/1466448946906157067/t7S_P4vx_normal.jpg</t>
  </si>
  <si>
    <t>http://twitter.com/CatherineHedle2/statuses/1521033067099471872</t>
  </si>
  <si>
    <t>1521033063559483392</t>
  </si>
  <si>
    <t>JillWhisker</t>
  </si>
  <si>
    <t>Mon May 02 07:45:16 +0000 2022</t>
  </si>
  <si>
    <t>1108820286013689856</t>
  </si>
  <si>
    <t>http://twitter.com/JillWhisker/statuses/1521033063559483392</t>
  </si>
  <si>
    <t>1521033055414243328</t>
  </si>
  <si>
    <t>commonsenseden</t>
  </si>
  <si>
    <t>Mon May 02 07:45:14 +0000 2022</t>
  </si>
  <si>
    <t>255530861</t>
  </si>
  <si>
    <t>http://pbs.twimg.com/profile_images/681458255546155008/sMhVGe61_normal.jpg</t>
  </si>
  <si>
    <t>http://twitter.com/commonsenseden/statuses/1521033055414243328</t>
  </si>
  <si>
    <t>1521033008194756609</t>
  </si>
  <si>
    <t>JimCam73</t>
  </si>
  <si>
    <t>Mon May 02 07:45:03 +0000 2022</t>
  </si>
  <si>
    <t>620005425</t>
  </si>
  <si>
    <t>http://pbs.twimg.com/profile_images/1480157726974038016/tssgMPqP_normal.jpg</t>
  </si>
  <si>
    <t>http://twitter.com/JimCam73/statuses/1521033008194756609</t>
  </si>
  <si>
    <t>1521033007397842947</t>
  </si>
  <si>
    <t>SandraDunn1955</t>
  </si>
  <si>
    <t>4264297743</t>
  </si>
  <si>
    <t>http://pbs.twimg.com/profile_images/1497860817852772353/gszflyW2_normal.jpg</t>
  </si>
  <si>
    <t xml:space="preserve">Alcatraz </t>
  </si>
  <si>
    <t>http://twitter.com/SandraDunn1955/statuses/1521033007397842947</t>
  </si>
  <si>
    <t>1521032975428853760</t>
  </si>
  <si>
    <t>farquar</t>
  </si>
  <si>
    <t>Aside from being an interesting thread per se, this also highlights may of the problems with referenda in general. 
#Brexit forever illustrated the shortcomings of referenda as a political tool, particularly in a post-truth age. https://t.co/14v0hAkaoQ</t>
  </si>
  <si>
    <t>Mon May 02 07:44:55 +0000 2022</t>
  </si>
  <si>
    <t>16022604</t>
  </si>
  <si>
    <t>http://pbs.twimg.com/profile_images/1012404377/iFrog_normal.png</t>
  </si>
  <si>
    <t>http://twitter.com/farquar/statuses/1521032975428853760</t>
  </si>
  <si>
    <t>{"hashtags":[{"text":"Brexit","indices":[116,123]}],"symbols":[],"user_mentions":[],"urls":[{"url":"https://t.co/14v0hAkaoQ","expanded_url":"https://twitter.com/jmkorhonen/status/1521017423733968896","display_url":"twitter.com/jmkorhonen/sta…","indices":[229,252]}]}</t>
  </si>
  <si>
    <t>1521032910400376832</t>
  </si>
  <si>
    <t>JasonHazeley</t>
  </si>
  <si>
    <t>Mon May 02 07:44:39 +0000 2022</t>
  </si>
  <si>
    <t>2270446934</t>
  </si>
  <si>
    <t>http://pbs.twimg.com/profile_images/418030184143388672/JHmnboD0_normal.png</t>
  </si>
  <si>
    <t>http://twitter.com/JasonHazeley/statuses/1521032910400376832</t>
  </si>
  <si>
    <t>1521032898584924160</t>
  </si>
  <si>
    <t>jane63c</t>
  </si>
  <si>
    <t>Mon May 02 07:44:37 +0000 2022</t>
  </si>
  <si>
    <t>18737609</t>
  </si>
  <si>
    <t>http://pbs.twimg.com/profile_images/1323342203415105536/scyTPxiD_normal.jpg</t>
  </si>
  <si>
    <t>Lincoln</t>
  </si>
  <si>
    <t>http://twitter.com/jane63c/statuses/1521032898584924160</t>
  </si>
  <si>
    <t>1521032818977288192</t>
  </si>
  <si>
    <t>hundredknots</t>
  </si>
  <si>
    <t>If Indians don't have transit/regular Schengen visa, they'll be denied boarding at the origin in India on European Union (EU) carriers.
https://t.co/lUJe4eyxzS
#brexit #eu #uk #europeanunion #airlines #india #airtravel #schengenvisa #transit #visa #avgeek #aviationindustry</t>
  </si>
  <si>
    <t>Mon May 02 07:44:18 +0000 2022</t>
  </si>
  <si>
    <t>1419185993983266819</t>
  </si>
  <si>
    <t>http://pbs.twimg.com/profile_images/1419189713378840576/JjZ1IQGL_normal.jpg</t>
  </si>
  <si>
    <t>India</t>
  </si>
  <si>
    <t>http://twitter.com/hundredknots/statuses/1521032818977288192</t>
  </si>
  <si>
    <t>{"hashtags":[{"text":"brexit","indices":[162,169]},{"text":"eu","indices":[170,173]},{"text":"uk","indices":[174,177]},{"text":"europeanunion","indices":[178,192]},{"text":"airlines","indices":[193,202]},{"text":"india","indices":[203,209]},{"text":"airtravel","indices":[210,220]},{"text":"schengenvisa","indices":[221,234]},{"text":"transit","indices":[235,243]},{"text":"visa","indices":[244,249]},{"text":"avgeek","indices":[250,257]},{"text":"aviationindustry","indices":[258,275]}],"symbols":[],"user_mentions":[],"urls":[{"url":"https://t.co/lUJe4eyxzS","expanded_url":"https://lnkd.in/eWCMcmJd","display_url":"lnkd.in/eWCMcmJd","indices":[137,160]}]}</t>
  </si>
  <si>
    <t>1521032808449331202</t>
  </si>
  <si>
    <t>HusseyMartin</t>
  </si>
  <si>
    <t>Mon May 02 07:44:15 +0000 2022</t>
  </si>
  <si>
    <t>455015681</t>
  </si>
  <si>
    <t>http://pbs.twimg.com/profile_images/1149331828320477184/er53KPIs_normal.jpg</t>
  </si>
  <si>
    <t>http://twitter.com/HusseyMartin/statuses/1521032808449331202</t>
  </si>
  <si>
    <t>1521032769660407809</t>
  </si>
  <si>
    <t>JueChi1</t>
  </si>
  <si>
    <t>Mon May 02 07:44:06 +0000 2022</t>
  </si>
  <si>
    <t>1265289395189547009</t>
  </si>
  <si>
    <t>http://pbs.twimg.com/profile_images/1305827051555954692/Km_PEfZV_normal.jpg</t>
  </si>
  <si>
    <t>http://twitter.com/JueChi1/statuses/1521032769660407809</t>
  </si>
  <si>
    <t>1521032696964788224</t>
  </si>
  <si>
    <t>welshwitch57</t>
  </si>
  <si>
    <t>Mon May 02 07:43:49 +0000 2022</t>
  </si>
  <si>
    <t>1003970719288582150</t>
  </si>
  <si>
    <t>http://pbs.twimg.com/profile_images/1003971217345347584/Zm-tVepf_normal.jpg</t>
  </si>
  <si>
    <t>Blackburn, England</t>
  </si>
  <si>
    <t>http://twitter.com/welshwitch57/statuses/1521032696964788224</t>
  </si>
  <si>
    <t>1521032663972392960</t>
  </si>
  <si>
    <t>stitwit</t>
  </si>
  <si>
    <t>@NicolaSturgeon just made clear @BBCBreakfast that self-government and membership of the EU are not incompatible. So why did the English vote for #Brexit, which has brought no benefit and done plenty of damage? Let’s have Scotland and NI freed and little England encircled by EU.</t>
  </si>
  <si>
    <t>Mon May 02 07:43:41 +0000 2022</t>
  </si>
  <si>
    <t>160952087</t>
  </si>
  <si>
    <t>NicolaSturgeon</t>
  </si>
  <si>
    <t>2420473363</t>
  </si>
  <si>
    <t>http://pbs.twimg.com/profile_images/450616103253721088/ZGOYEWQm_normal.jpeg</t>
  </si>
  <si>
    <t>http://twitter.com/stitwit/statuses/1521032663972392960</t>
  </si>
  <si>
    <t>{"hashtags":[{"text":"Brexit","indices":[146,153]}],"symbols":[],"user_mentions":[{"screen_name":"NicolaSturgeon","name":"Nicola Sturgeon","id":160952087,"id_str":"160952087","indices":[0,15]},{"screen_name":"BBCBreakfast","name":"BBC Breakfast","id":143415291,"id_str":"143415291","indices":[32,45]}],"urls":[]}</t>
  </si>
  <si>
    <t>1521032630740865025</t>
  </si>
  <si>
    <t>Mon May 02 07:43:33 +0000 2022</t>
  </si>
  <si>
    <t>http://twitter.com/welshwitch57/statuses/1521032630740865025</t>
  </si>
  <si>
    <t>1521032610792845312</t>
  </si>
  <si>
    <t>GusLogic</t>
  </si>
  <si>
    <t>Mon May 02 07:43:28 +0000 2022</t>
  </si>
  <si>
    <t>883673175636291587</t>
  </si>
  <si>
    <t>http://twitter.com/GusLogic/statuses/1521032610792845312</t>
  </si>
  <si>
    <t>1521032578672775170</t>
  </si>
  <si>
    <t>Mon May 02 07:43:20 +0000 2022</t>
  </si>
  <si>
    <t>http://twitter.com/welshwitch57/statuses/1521032578672775170</t>
  </si>
  <si>
    <t>1521032568124157952</t>
  </si>
  <si>
    <t>art_iculate</t>
  </si>
  <si>
    <t>Mon May 02 07:43:18 +0000 2022</t>
  </si>
  <si>
    <t>2710395796</t>
  </si>
  <si>
    <t>http://pbs.twimg.com/profile_images/1289871377139404800/-aTnYHGQ_normal.jpg</t>
  </si>
  <si>
    <t>utopia</t>
  </si>
  <si>
    <t>http://twitter.com/art_iculate/statuses/1521032568124157952</t>
  </si>
  <si>
    <t>1521032524268462083</t>
  </si>
  <si>
    <t>Mon May 02 07:43:07 +0000 2022</t>
  </si>
  <si>
    <t>http://twitter.com/welshwitch57/statuses/1521032524268462083</t>
  </si>
  <si>
    <t>1521032483671789568</t>
  </si>
  <si>
    <t>Mon May 02 07:42:58 +0000 2022</t>
  </si>
  <si>
    <t>http://twitter.com/welshwitch57/statuses/1521032483671789568</t>
  </si>
  <si>
    <t>1521032397185245185</t>
  </si>
  <si>
    <t>Mon May 02 07:42:37 +0000 2022</t>
  </si>
  <si>
    <t>http://twitter.com/joanna_nicolson/statuses/1521032397185245185</t>
  </si>
  <si>
    <t>1521032374015991809</t>
  </si>
  <si>
    <t>Mon May 02 07:42:32 +0000 2022</t>
  </si>
  <si>
    <t>http://twitter.com/joanna_nicolson/statuses/1521032374015991809</t>
  </si>
  <si>
    <t>1521032365979713536</t>
  </si>
  <si>
    <t>Mon May 02 07:42:30 +0000 2022</t>
  </si>
  <si>
    <t>http://twitter.com/rickglyn/statuses/1521032365979713536</t>
  </si>
  <si>
    <t>1521032363488256001</t>
  </si>
  <si>
    <t>Mon May 02 07:42:29 +0000 2022</t>
  </si>
  <si>
    <t>http://twitter.com/joanna_nicolson/statuses/1521032363488256001</t>
  </si>
  <si>
    <t>1521032331536048129</t>
  </si>
  <si>
    <t>SurreyHeathLDs</t>
  </si>
  <si>
    <t>Mon May 02 07:42:21 +0000 2022</t>
  </si>
  <si>
    <t>808411840590086144</t>
  </si>
  <si>
    <t>http://pbs.twimg.com/profile_images/1460170972791820292/56yXuhu0_normal.jpg</t>
  </si>
  <si>
    <t>Surrey Heath, Surrey, UK</t>
  </si>
  <si>
    <t>http://twitter.com/SurreyHeathLDs/statuses/1521032331536048129</t>
  </si>
  <si>
    <t>1521032329430507523</t>
  </si>
  <si>
    <t>@PickardJE A colony of British Homer Simpsons. #Brexit</t>
  </si>
  <si>
    <t>69080476</t>
  </si>
  <si>
    <t>PickardJE</t>
  </si>
  <si>
    <t>1520850660132106240</t>
  </si>
  <si>
    <t>http://twitter.com/DavidHeadViews/statuses/1521032329430507523</t>
  </si>
  <si>
    <t>{"hashtags":[{"text":"Brexit","indices":[47,54]}],"symbols":[],"user_mentions":[{"screen_name":"PickardJE","name":"Jim Pickard","id":69080476,"id_str":"69080476","indices":[0,10]}],"urls":[]}</t>
  </si>
  <si>
    <t>1521032290461261824</t>
  </si>
  <si>
    <t>vickijohnson151</t>
  </si>
  <si>
    <t>Mon May 02 07:42:12 +0000 2022</t>
  </si>
  <si>
    <t>263221326</t>
  </si>
  <si>
    <t>http://pbs.twimg.com/profile_images/1267865826209792000/F3PQCunp_normal.jpg</t>
  </si>
  <si>
    <t>http://twitter.com/vickijohnson151/statuses/1521032290461261824</t>
  </si>
  <si>
    <t>1521032284232683520</t>
  </si>
  <si>
    <t>Mon May 02 07:42:10 +0000 2022</t>
  </si>
  <si>
    <t>http://twitter.com/rickglyn/statuses/1521032284232683520</t>
  </si>
  <si>
    <t>1521032268705415168</t>
  </si>
  <si>
    <t>Permanentcuriou</t>
  </si>
  <si>
    <t>Mon May 02 07:42:06 +0000 2022</t>
  </si>
  <si>
    <t>598330520</t>
  </si>
  <si>
    <t>http://pbs.twimg.com/profile_images/834355616596496384/1H93LKCY_normal.jpg</t>
  </si>
  <si>
    <t>http://twitter.com/Permanentcuriou/statuses/1521032268705415168</t>
  </si>
  <si>
    <t>1521032239521411072</t>
  </si>
  <si>
    <t>mihali_ileana</t>
  </si>
  <si>
    <t>Mon May 02 07:41:59 +0000 2022</t>
  </si>
  <si>
    <t>1199819154796302336</t>
  </si>
  <si>
    <t>http://pbs.twimg.com/profile_images/1202711713394692101/hzQRvbys_normal.jpg</t>
  </si>
  <si>
    <t>http://twitter.com/mihali_ileana/statuses/1521032239521411072</t>
  </si>
  <si>
    <t>1521032191341436929</t>
  </si>
  <si>
    <t>Mon May 02 07:41:48 +0000 2022</t>
  </si>
  <si>
    <t>http://twitter.com/rickglyn/statuses/1521032191341436929</t>
  </si>
  <si>
    <t>1521032190900985856</t>
  </si>
  <si>
    <t>RTaylor_LibDem</t>
  </si>
  <si>
    <t>@realJavedBashir sshhhh it would be really funny to watch him attempt to defend his dreadful #Brexit deal* to angry former #Tory voting farmers &amp;amp; then lose 😉
*I'm guessing Frost has studiously avoided meeting anyone done over by Brexit</t>
  </si>
  <si>
    <t>786074065853349888</t>
  </si>
  <si>
    <t>realJavedBashir</t>
  </si>
  <si>
    <t>522501686</t>
  </si>
  <si>
    <t>1521026236818108417</t>
  </si>
  <si>
    <t>http://pbs.twimg.com/profile_images/1264544735533903873/GooqCZV-_normal.jpg</t>
  </si>
  <si>
    <t>London/Yorkshire</t>
  </si>
  <si>
    <t>http://twitter.com/RTaylor_LibDem/statuses/1521032190900985856</t>
  </si>
  <si>
    <t>{"hashtags":[{"text":"Brexit","indices":[93,100]},{"text":"Tory","indices":[123,128]}],"symbols":[],"user_mentions":[{"screen_name":"realJavedBashir","name":"Javed Bashir🔶LibDem Parliamentary Spokesperson🔶","id":786074065853349900,"id_str":"786074065853349888","indices":[0,16]}],"urls":[]}</t>
  </si>
  <si>
    <t>1521032183615574019</t>
  </si>
  <si>
    <t>Steve_Tomlin</t>
  </si>
  <si>
    <t>Mon May 02 07:41:46 +0000 2022</t>
  </si>
  <si>
    <t>306159147</t>
  </si>
  <si>
    <t>http://pbs.twimg.com/profile_images/661939916822200320/u42kDERp_normal.jpg</t>
  </si>
  <si>
    <t>cotswold</t>
  </si>
  <si>
    <t>http://twitter.com/Steve_Tomlin/statuses/1521032183615574019</t>
  </si>
  <si>
    <t>1521032172051836928</t>
  </si>
  <si>
    <t>SimonWattsHull</t>
  </si>
  <si>
    <t>Mon May 02 07:41:43 +0000 2022</t>
  </si>
  <si>
    <t>576432034</t>
  </si>
  <si>
    <t>http://pbs.twimg.com/profile_images/1358496340603453440/Y9UbmpMV_normal.jpg</t>
  </si>
  <si>
    <t>Hull, Yorkshire, Gods Country</t>
  </si>
  <si>
    <t>http://twitter.com/SimonWattsHull/statuses/1521032172051836928</t>
  </si>
  <si>
    <t>1521032140590399490</t>
  </si>
  <si>
    <t>@rockchic666 @SkyNews GHIC is not a direct replacement for EHIC.
Like all things #Brexit, GHIC is close enough to EHIC fool the same people who were fooled by a red bus, but doesn’t offer the same coverage across Europe and for all pre-existing medical conditions.
#BrexitReality</t>
  </si>
  <si>
    <t>Mon May 02 07:41:36 +0000 2022</t>
  </si>
  <si>
    <t>65896928</t>
  </si>
  <si>
    <t>rockchic666</t>
  </si>
  <si>
    <t>1521025785729064960</t>
  </si>
  <si>
    <t>http://twitter.com/NuncTempus/statuses/1521032140590399490</t>
  </si>
  <si>
    <t>{"hashtags":[{"text":"Brexit","indices":[82,89]},{"text":"BrexitReality","indices":[267,281]}],"symbols":[],"user_mentions":[{"screen_name":"rockchic666","name":"Alison Arrundale","id":65896928,"id_str":"65896928","indices":[0,12]},{"screen_name":"SkyNews","name":"Sky News","id":7587032,"id_str":"7587032","indices":[13,21]}],"urls":[]}</t>
  </si>
  <si>
    <t>1521032111062454272</t>
  </si>
  <si>
    <t>HarrisonJan</t>
  </si>
  <si>
    <t>Mon May 02 07:41:29 +0000 2022</t>
  </si>
  <si>
    <t>360495720</t>
  </si>
  <si>
    <t>http://pbs.twimg.com/profile_images/725387831951110144/L8EUld-__normal.jpg</t>
  </si>
  <si>
    <t>http://twitter.com/HarrisonJan/statuses/1521032111062454272</t>
  </si>
  <si>
    <t>1521032092796297216</t>
  </si>
  <si>
    <t>@zidanesboots @KenKenph59 @KEdge23 #Brexit is #ToryFailure
The @Conservatives deliberately caused and then ruined #Brexit so as to curry favour with the Xenophobes, driving division in these Isles so they can cause poverty and further subjugate the masses
#ToryShambles</t>
  </si>
  <si>
    <t>Mon May 02 07:41:24 +0000 2022</t>
  </si>
  <si>
    <t>1521026998348533761</t>
  </si>
  <si>
    <t>http://twitter.com/gellilyfdy/statuses/1521032092796297216</t>
  </si>
  <si>
    <t>{"hashtags":[{"text":"Brexit","indices":[35,42]},{"text":"ToryFailure","indices":[46,58]},{"text":"Brexit","indices":[115,122]},{"text":"ToryShambles","indices":[258,271]}],"symbols":[],"user_mentions":[{"screen_name":"zidanesboots","name":"zizou","id":736659703510470700,"id_str":"736659703510470656","indices":[0,13]},{"screen_name":"KenKenph59","name":"ken hughes #FBPE #Rejoin🇪🇺 # Rejoiner","id":2715353151,"id_str":"2715353151","indices":[14,25]},{"screen_name":"KEdge23","name":"Kevin Edger","id":62576309,"id_str":"62576309","indices":[26,34]},{"screen_name":"Conservatives","name":"Conservatives","id":14281853,"id_str":"14281853","indices":[64,78]}],"urls":[]}</t>
  </si>
  <si>
    <t>1521032064308547585</t>
  </si>
  <si>
    <t>@justinbellinger @RoseVickers1 Is there a poll of how #UK would vote if electorate believed every vote would count as under #PR? (Guessing that previous MEP elections not really representative as too small a turnout/skewed by #Brexit). @BritainElects #FPTP #bbcnews #r4today</t>
  </si>
  <si>
    <t>Mon May 02 07:41:18 +0000 2022</t>
  </si>
  <si>
    <t>17805296</t>
  </si>
  <si>
    <t>justinbellinger</t>
  </si>
  <si>
    <t>1520698471510073344</t>
  </si>
  <si>
    <t>http://twitter.com/VerityKalcev/statuses/1521032064308547585</t>
  </si>
  <si>
    <t>{"hashtags":[{"text":"UK","indices":[54,57]},{"text":"PR","indices":[124,127]},{"text":"Brexit","indices":[226,233]},{"text":"FPTP","indices":[251,256]},{"text":"bbcnews","indices":[257,265]},{"text":"r4today","indices":[266,274]}],"symbols":[],"user_mentions":[{"screen_name":"justinbellinger","name":"Justin Bellinger","id":17805296,"id_str":"17805296","indices":[0,16]},{"screen_name":"RoseVickers1","name":"Sir Rose Vickers","id":594672201,"id_str":"594672201","indices":[17,30]},{"screen_name":"BritainElects","name":"Britain Elects","id":1541364193,"id_str":"1541364193","indices":[236,250]}],"urls":[]}</t>
  </si>
  <si>
    <t>1521032062307901440</t>
  </si>
  <si>
    <t>Mon May 02 07:41:17 +0000 2022</t>
  </si>
  <si>
    <t>http://twitter.com/rickglyn/statuses/1521032062307901440</t>
  </si>
  <si>
    <t>1521032048810549249</t>
  </si>
  <si>
    <t>juliadolan1</t>
  </si>
  <si>
    <t>Mon May 02 07:41:14 +0000 2022</t>
  </si>
  <si>
    <t>103034397</t>
  </si>
  <si>
    <t>http://pbs.twimg.com/profile_images/3056688665/a0d76912a652e3cdd5a86d131bbbc8cb_normal.jpeg</t>
  </si>
  <si>
    <t>http://twitter.com/juliadolan1/statuses/1521032048810549249</t>
  </si>
  <si>
    <t>1521032001377214470</t>
  </si>
  <si>
    <t>@Nigel_Farage @GBNEWS Another mis-sold #brexit promise, if you think it was a particular problem to begin with</t>
  </si>
  <si>
    <t>Mon May 02 07:41:03 +0000 2022</t>
  </si>
  <si>
    <t>1521013662844178432</t>
  </si>
  <si>
    <t>http://twitter.com/AndrewJamesMM/statuses/1521032001377214470</t>
  </si>
  <si>
    <t>{"hashtags":[{"text":"brexit","indices":[39,46]}],"symbols":[],"user_mentions":[{"screen_name":"Nigel_Farage","name":"Nigel Farage","id":19017675,"id_str":"19017675","indices":[0,13]},{"screen_name":"GBNEWS","name":"GB News","id":1339166129110065200,"id_str":"1339166129110065152","indices":[14,21]}],"urls":[]}</t>
  </si>
  <si>
    <t>1521031993965879296</t>
  </si>
  <si>
    <t>Horselessjane</t>
  </si>
  <si>
    <t>Mon May 02 07:41:01 +0000 2022</t>
  </si>
  <si>
    <t>2363242744</t>
  </si>
  <si>
    <t>http://pbs.twimg.com/profile_images/1244137814515687425/0Nwg6FJY_normal.jpg</t>
  </si>
  <si>
    <t>Purbeck</t>
  </si>
  <si>
    <t>http://twitter.com/Horselessjane/statuses/1521031993965879296</t>
  </si>
  <si>
    <t>1521031986583941120</t>
  </si>
  <si>
    <t>Mon May 02 07:40:59 +0000 2022</t>
  </si>
  <si>
    <t>http://twitter.com/juliadolan1/statuses/1521031986583941120</t>
  </si>
  <si>
    <t>1521031984566448130</t>
  </si>
  <si>
    <t>2niteNetwork</t>
  </si>
  <si>
    <t>"#brexit in #down updated 33 minutes ago" https://t.co/VrpAKfj7N4 #tonight, #2nite #in2nite #inin #out2nite #outout</t>
  </si>
  <si>
    <t>1647739200</t>
  </si>
  <si>
    <t>&lt;a href="https://ifttt.com" rel="nofollow"&gt;IFTTT&lt;/a&gt;</t>
  </si>
  <si>
    <t>http://pbs.twimg.com/profile_images/378800000314543447/c23c786d42f1c1ab57d673f35d2d0539_normal.png</t>
  </si>
  <si>
    <t>http://twitter.com/2niteNetwork/statuses/1521031984566448130</t>
  </si>
  <si>
    <t>{"hashtags":[{"text":"brexit","indices":[1,8]},{"text":"down","indices":[12,17]},{"text":"tonight","indices":[66,74]},{"text":"2nite","indices":[76,82]},{"text":"in2nite","indices":[83,91]},{"text":"inin","indices":[92,97]},{"text":"out2nite","indices":[98,107]},{"text":"outout","indices":[108,115]}],"symbols":[],"user_mentions":[],"urls":[{"url":"https://t.co/VrpAKfj7N4","expanded_url":"https://bit.ly/3OPDveG","display_url":"bit.ly/3OPDveG","indices":[42,65]}]}</t>
  </si>
  <si>
    <t>1521031971606040580</t>
  </si>
  <si>
    <t>Mon May 02 07:40:56 +0000 2022</t>
  </si>
  <si>
    <t>http://twitter.com/rickglyn/statuses/1521031971606040580</t>
  </si>
  <si>
    <t>1521031932586377216</t>
  </si>
  <si>
    <t>nbrooks1984</t>
  </si>
  <si>
    <t>I can look at these delicious cheeses🧀, but I can’t buy one and take it home. Another gift from #brexit that keeps giving. 😕 https://t.co/G8Eq4ZqPyO</t>
  </si>
  <si>
    <t>Mon May 02 07:40:46 +0000 2022</t>
  </si>
  <si>
    <t>1604500308</t>
  </si>
  <si>
    <t>http://pbs.twimg.com/profile_images/1235485133899264000/0hywwL0T_normal.jpg</t>
  </si>
  <si>
    <t>http://twitter.com/nbrooks1984/statuses/1521031932586377216</t>
  </si>
  <si>
    <t>{"hashtags":[{"text":"brexit","indices":[96,103]}],"symbols":[],"user_mentions":[],"urls":[],"media":[{"id":1521031921651921000,"id_str":"1521031921651920898","indices":[125,148],"media_url":"http://pbs.twimg.com/media/FRvKeVYXsAIgxBJ.jpg","media_url_https":"https://pbs.twimg.com/media/FRvKeVYXsAIgxBJ.jpg","url":"https://t.co/G8Eq4ZqPyO","display_url":"pic.twitter.com/G8Eq4ZqPyO","expanded_url":"https://twitter.com/nbrooks1984/status/1521031932586377216/photo/1","type":"photo","sizes":{"thumb":{"w":150,"h":150,"resize":"crop"},"small":{"w":680,"h":510,"resize":"fit"},"large":{"w":2048,"h":1536,"resize":"fit"},"medium":{"w":1200,"h":900,"resize":"fit"}}}]}</t>
  </si>
  <si>
    <t>1521031922994057217</t>
  </si>
  <si>
    <t>XaviPortales</t>
  </si>
  <si>
    <t>@__Ilich__ #BREXIT 😎🇬🇧 we will rock you 🙌🏻</t>
  </si>
  <si>
    <t>Mon May 02 07:40:44 +0000 2022</t>
  </si>
  <si>
    <t>4264198216</t>
  </si>
  <si>
    <t>__Ilich__</t>
  </si>
  <si>
    <t>123216018</t>
  </si>
  <si>
    <t>1521031415902711808</t>
  </si>
  <si>
    <t>http://pbs.twimg.com/profile_images/1410132480909320192/JhIhUFIy_normal.jpg</t>
  </si>
  <si>
    <t>Groenlandia</t>
  </si>
  <si>
    <t>http://twitter.com/XaviPortales/statuses/1521031922994057217</t>
  </si>
  <si>
    <t>{"hashtags":[{"text":"BREXIT","indices":[11,18]}],"symbols":[],"user_mentions":[{"screen_name":"__Ilich__","name":"Pàvel","id":4264198216,"id_str":"4264198216","indices":[0,10]}],"urls":[]}</t>
  </si>
  <si>
    <t>1521031837660897281</t>
  </si>
  <si>
    <t>judith1marshall</t>
  </si>
  <si>
    <t>Mon May 02 07:40:24 +0000 2022</t>
  </si>
  <si>
    <t>1256701531</t>
  </si>
  <si>
    <t>http://pbs.twimg.com/profile_images/1479746524041170946/-CzOz2qP_normal.jpg</t>
  </si>
  <si>
    <t>http://twitter.com/judith1marshall/statuses/1521031837660897281</t>
  </si>
  <si>
    <t>1521031805176098817</t>
  </si>
  <si>
    <t>stuindy</t>
  </si>
  <si>
    <t>Mon May 02 07:40:16 +0000 2022</t>
  </si>
  <si>
    <t>2560368501</t>
  </si>
  <si>
    <t>http://pbs.twimg.com/profile_images/1500393998644510721/HVmNI_2A_normal.png</t>
  </si>
  <si>
    <t xml:space="preserve"> Scotland (843AD)</t>
  </si>
  <si>
    <t>http://twitter.com/stuindy/statuses/1521031805176098817</t>
  </si>
  <si>
    <t>1521031771613286402</t>
  </si>
  <si>
    <t>liberallance</t>
  </si>
  <si>
    <t>Mon May 02 07:40:08 +0000 2022</t>
  </si>
  <si>
    <t>1052836560</t>
  </si>
  <si>
    <t>http://pbs.twimg.com/profile_images/964805367606759425/oh0vLofX_normal.jpg</t>
  </si>
  <si>
    <t>GU24 8AP</t>
  </si>
  <si>
    <t>http://twitter.com/liberallance/statuses/1521031771613286402</t>
  </si>
  <si>
    <t>1521031728479019008</t>
  </si>
  <si>
    <t>RavInDaGarage</t>
  </si>
  <si>
    <t>Mon May 02 07:39:58 +0000 2022</t>
  </si>
  <si>
    <t>1510865376237740036</t>
  </si>
  <si>
    <t>http://pbs.twimg.com/profile_images/1510883917905158146/z51S2KEm_normal.jpg</t>
  </si>
  <si>
    <t>http://twitter.com/RavInDaGarage/statuses/1521031728479019008</t>
  </si>
  <si>
    <t>1521031721705218048</t>
  </si>
  <si>
    <t>tanita_tikaram</t>
  </si>
  <si>
    <t>Mon May 02 07:39:56 +0000 2022</t>
  </si>
  <si>
    <t>153420950</t>
  </si>
  <si>
    <t>http://pbs.twimg.com/profile_images/1171781617095991297/2XjNea9M_normal.jpg</t>
  </si>
  <si>
    <t>http://twitter.com/tanita_tikaram/statuses/1521031721705218048</t>
  </si>
  <si>
    <t>1521031671776219137</t>
  </si>
  <si>
    <t>BlondePrefers</t>
  </si>
  <si>
    <t>Mon May 02 07:39:44 +0000 2022</t>
  </si>
  <si>
    <t>18606826</t>
  </si>
  <si>
    <t>http://pbs.twimg.com/profile_images/1155448762262839298/-h3DcWMH_normal.jpg</t>
  </si>
  <si>
    <t>http://twitter.com/BlondePrefers/statuses/1521031671776219137</t>
  </si>
  <si>
    <t>1521031622111469568</t>
  </si>
  <si>
    <t>CurlyChronic</t>
  </si>
  <si>
    <t>@susannareid100 @GMB Ask him why he is denying they knew about asymptomatic transmission. Ask him to name a single #Brexit benefit. Ask him about the police raid on Michelle Mone for the resale of unusable PPE. Ask him why he’s still PM when his government have been found to have acted unlawfully.</t>
  </si>
  <si>
    <t>Mon May 02 07:39:32 +0000 2022</t>
  </si>
  <si>
    <t>20819326</t>
  </si>
  <si>
    <t>http://pbs.twimg.com/profile_images/1345704651103080448/scEI6SXR_normal.jpg</t>
  </si>
  <si>
    <t>Birmingham, UK</t>
  </si>
  <si>
    <t>http://twitter.com/CurlyChronic/statuses/1521031622111469568</t>
  </si>
  <si>
    <t>{"hashtags":[{"text":"Brexit","indices":[115,122]}],"symbols":[],"user_mentions":[{"screen_name":"susannareid100","name":"Susanna Reid","id":19477583,"id_str":"19477583","indices":[0,15]},{"screen_name":"GMB","name":"Good Morning Britain","id":19424427,"id_str":"19424427","indices":[16,20]}],"urls":[]}</t>
  </si>
  <si>
    <t>1521031526313512962</t>
  </si>
  <si>
    <t>sarahhw65</t>
  </si>
  <si>
    <t>RT @NH4Europe: British expats face driving ban in Spain after #Brexit delays.
UK nationals who have lived in Spain for more than six months will no longer be able to use their DVLA-issued licences temporarily.
Telegraph - 1st May 2022</t>
  </si>
  <si>
    <t>Mon May 02 07:39:09 +0000 2022</t>
  </si>
  <si>
    <t>2983960203</t>
  </si>
  <si>
    <t>http://pbs.twimg.com/profile_images/1114490162162098176/TgvnA8GP_normal.jpg</t>
  </si>
  <si>
    <t>http://twitter.com/sarahhw65/statuses/1521031526313512962</t>
  </si>
  <si>
    <t>{"hashtags":[{"text":"Brexit","indices":[62,69]}],"symbols":[],"user_mentions":[{"screen_name":"NH4Europe","name":"North Herts for Europe #FBPE 🇬🇧🇪🇺🇺🇦","id":1106128820816490500,"id_str":"1106128820816490496","indices":[3,13]}],"urls":[]}</t>
  </si>
  <si>
    <t>1521031510572380161</t>
  </si>
  <si>
    <t>BtaD42255016</t>
  </si>
  <si>
    <t>Mon May 02 07:39:06 +0000 2022</t>
  </si>
  <si>
    <t>1142754157721468928</t>
  </si>
  <si>
    <t>http://pbs.twimg.com/profile_images/1155099521975803904/_xd-4Lre_normal.jpg</t>
  </si>
  <si>
    <t>http://twitter.com/BtaD42255016/statuses/1521031510572380161</t>
  </si>
  <si>
    <t>1521031401738489856</t>
  </si>
  <si>
    <t>farfield79</t>
  </si>
  <si>
    <t>Mon May 02 07:38:40 +0000 2022</t>
  </si>
  <si>
    <t>2837334526</t>
  </si>
  <si>
    <t>http://pbs.twimg.com/profile_images/1478296974705184773/seTAb9av_normal.jpg</t>
  </si>
  <si>
    <t>Yorkshire.</t>
  </si>
  <si>
    <t>http://twitter.com/farfield79/statuses/1521031401738489856</t>
  </si>
  <si>
    <t>1521031368104419330</t>
  </si>
  <si>
    <t>Markll_revive</t>
  </si>
  <si>
    <t>Mon May 02 07:38:32 +0000 2022</t>
  </si>
  <si>
    <t>407690064</t>
  </si>
  <si>
    <t>http://pbs.twimg.com/profile_images/1400135276689768451/DHelawOY_normal.jpg</t>
  </si>
  <si>
    <t>rugby</t>
  </si>
  <si>
    <t>http://twitter.com/Markll_revive/statuses/1521031368104419330</t>
  </si>
  <si>
    <t>1521031356913963008</t>
  </si>
  <si>
    <t>AndyLippok</t>
  </si>
  <si>
    <t>Mon May 02 07:38:29 +0000 2022</t>
  </si>
  <si>
    <t>1221709213</t>
  </si>
  <si>
    <t>http://pbs.twimg.com/profile_images/579230882868830208/x3Z_T97l_normal.jpg</t>
  </si>
  <si>
    <t>http://twitter.com/AndyLippok/statuses/1521031356913963008</t>
  </si>
  <si>
    <t>1521031325377081345</t>
  </si>
  <si>
    <t>tottaylor1</t>
  </si>
  <si>
    <t>‘BREXIT’ has officially failed - economically and politically - ‘been a disaster - says EU Economic body in the Hague - #brexitfailure since the British people voted for it l on ersuaded by the lump of lard #JohnsonOut #brexit https://t.co/x5tDMSLmJZ</t>
  </si>
  <si>
    <t>Mon May 02 07:38:22 +0000 2022</t>
  </si>
  <si>
    <t>1217967391</t>
  </si>
  <si>
    <t>http://pbs.twimg.com/profile_images/1437833029557366788/xKnWFFWn_normal.jpg</t>
  </si>
  <si>
    <t>@RoughTrade for vinyl</t>
  </si>
  <si>
    <t>http://twitter.com/tottaylor1/statuses/1521031325377081345</t>
  </si>
  <si>
    <t>{"hashtags":[{"text":"brexitfailure","indices":[120,134]},{"text":"JohnsonOut","indices":[207,218]},{"text":"brexit","indices":[219,226]}],"symbols":[],"user_mentions":[],"urls":[{"url":"https://t.co/x5tDMSLmJZ","expanded_url":"https://twitter.com/tottaylor1/status/1520724977925988352","display_url":"twitter.com/tottaylor1/sta…","indices":[227,250]}]}</t>
  </si>
  <si>
    <t>1521031322898247680</t>
  </si>
  <si>
    <t>NicCWells</t>
  </si>
  <si>
    <t>Our daily reminder of the disaster that is #brexit.  https://t.co/k8uetUSQwi</t>
  </si>
  <si>
    <t>Mon May 02 07:38:21 +0000 2022</t>
  </si>
  <si>
    <t>325702720</t>
  </si>
  <si>
    <t>http://pbs.twimg.com/profile_images/1209514493560139776/2aX0Hj-F_normal.jpg</t>
  </si>
  <si>
    <t>St. Ives, Cambs.</t>
  </si>
  <si>
    <t>http://twitter.com/NicCWells/statuses/1521031322898247680</t>
  </si>
  <si>
    <t>{"hashtags":[{"text":"brexit","indices":[43,50]}],"symbols":[],"user_mentions":[],"urls":[{"url":"https://t.co/k8uetUSQwi","expanded_url":"https://www.theguardian.com/business/2022/may/01/bank-of-england-duty-bound-to-trigger-recession-to-curb-inflation?CMP=Share_iOSApp_Other","display_url":"theguardian.com/business/2022/…","indices":[53,76]}]}</t>
  </si>
  <si>
    <t>1521031302731993089</t>
  </si>
  <si>
    <t>@Benjani84 @SkyNews Oh brother.  Keep digging.
EHIC has been phased out since #Brexit.  That’s a fact which you suggested was wrong. 
You Tweeted an image stating GHIC, which was sold as a replacement of CHiC.
Do keep up with your own Tweets.  Embarrassing.</t>
  </si>
  <si>
    <t>Mon May 02 07:38:16 +0000 2022</t>
  </si>
  <si>
    <t>63764194</t>
  </si>
  <si>
    <t>Benjani84</t>
  </si>
  <si>
    <t>1521022292020666369</t>
  </si>
  <si>
    <t>http://twitter.com/NuncTempus/statuses/1521031302731993089</t>
  </si>
  <si>
    <t>{"hashtags":[{"text":"Brexit","indices":[79,86]}],"symbols":[],"user_mentions":[{"screen_name":"Benjani84","name":"Benjamin","id":63764194,"id_str":"63764194","indices":[0,10]},{"screen_name":"SkyNews","name":"Sky News","id":7587032,"id_str":"7587032","indices":[11,19]}],"urls":[]}</t>
  </si>
  <si>
    <t>1521031279273201665</t>
  </si>
  <si>
    <t>oly_pics</t>
  </si>
  <si>
    <t>Mon May 02 07:38:11 +0000 2022</t>
  </si>
  <si>
    <t>376728139</t>
  </si>
  <si>
    <t>http://pbs.twimg.com/profile_images/1508182600246083588/m1GfjxEE_normal.jpg</t>
  </si>
  <si>
    <t>Porto, Bremen, and London</t>
  </si>
  <si>
    <t>http://twitter.com/oly_pics/statuses/1521031279273201665</t>
  </si>
  <si>
    <t>1521031275888488451</t>
  </si>
  <si>
    <t>mit1953</t>
  </si>
  <si>
    <t>Mon May 02 07:38:10 +0000 2022</t>
  </si>
  <si>
    <t>4027091295</t>
  </si>
  <si>
    <t>http://twitter.com/mit1953/statuses/1521031275888488451</t>
  </si>
  <si>
    <t>1521031249657274369</t>
  </si>
  <si>
    <t>Mon May 02 07:38:03 +0000 2022</t>
  </si>
  <si>
    <t>http://twitter.com/farfield79/statuses/1521031249657274369</t>
  </si>
  <si>
    <t>1521031243978129409</t>
  </si>
  <si>
    <t>lucapavel</t>
  </si>
  <si>
    <t>#Brexit #BrexitDisaster #ToryLiars #nigelfaragetraitor https://t.co/nW3nYTiXvU https://t.co/FCAjR8AYE5</t>
  </si>
  <si>
    <t>Mon May 02 07:38:02 +0000 2022</t>
  </si>
  <si>
    <t>117798721</t>
  </si>
  <si>
    <t>http://pbs.twimg.com/profile_images/1303383541020078088/8GyrWOSV_normal.jpg</t>
  </si>
  <si>
    <t xml:space="preserve">Bedfordshire </t>
  </si>
  <si>
    <t>http://twitter.com/lucapavel/statuses/1521031243978129409</t>
  </si>
  <si>
    <t>{"hashtags":[{"text":"Brexit","indices":[0,7]},{"text":"BrexitDisaster","indices":[8,23]},{"text":"ToryLiars","indices":[24,34]},{"text":"nigelfaragetraitor","indices":[35,54]}],"symbols":[],"user_mentions":[],"urls":[{"url":"https://t.co/nW3nYTiXvU","expanded_url":"https://twitter.com/uk_domain_names/status/1520967547415408641","display_url":"twitter.com/uk_domain_name…","indices":[55,78]}],"media":[{"id":1521031241692332000,"id_str":"1521031241692332032","indices":[79,102],"media_url":"http://pbs.twimg.com/media/FRvJ2wVXwAA0xLa.jpg","media_url_https":"https://pbs.twimg.com/media/FRvJ2wVXwAA0xLa.jpg","url":"https://t.co/FCAjR8AYE5","display_url":"pic.twitter.com/FCAjR8AYE5","expanded_url":"https://twitter.com/lucapavel/status/1521031243978129409/photo/1","type":"photo","sizes":{"thumb":{"w":150,"h":150,"resize":"crop"},"medium":{"w":900,"h":537,"resize":"fit"},"large":{"w":900,"h":537,"resize":"fit"},"small":{"w":680,"h":406,"resize":"fit"}}}]}</t>
  </si>
  <si>
    <t>1521031192862248962</t>
  </si>
  <si>
    <t>AnnaBatchelor</t>
  </si>
  <si>
    <t>Mon May 02 07:37:50 +0000 2022</t>
  </si>
  <si>
    <t>313983284</t>
  </si>
  <si>
    <t>http://pbs.twimg.com/profile_images/1249192127298404352/x-mBE_2K_normal.jpg</t>
  </si>
  <si>
    <t>Newcastle UK</t>
  </si>
  <si>
    <t>http://twitter.com/AnnaBatchelor/statuses/1521031192862248962</t>
  </si>
  <si>
    <t>1521031176668033025</t>
  </si>
  <si>
    <t>saltyliquorice</t>
  </si>
  <si>
    <t>Dear people of Britain, the mask is dropping. Higher costs &amp;amp; taxes, no affordable homes. The #Tories don’t give a sh** about people less well off. Forriners didn’t take your jobs -#Brexit did. The EU didn’t remove your workers’ rights - #Brexit did. #ToryCriminals #ToriesOut https://t.co/ViKGwYqRcN</t>
  </si>
  <si>
    <t>Mon May 02 07:37:46 +0000 2022</t>
  </si>
  <si>
    <t>102334976</t>
  </si>
  <si>
    <t>http://pbs.twimg.com/profile_images/1302158341204971520/6WhzniLy_normal.jpg</t>
  </si>
  <si>
    <t xml:space="preserve">Wherever </t>
  </si>
  <si>
    <t>http://twitter.com/saltyliquorice/statuses/1521031176668033025</t>
  </si>
  <si>
    <t>{"hashtags":[{"text":"Tories","indices":[97,104]},{"text":"Brexit","indices":[184,191]},{"text":"Brexit","indices":[241,248]},{"text":"ToryCriminals","indices":[254,268]},{"text":"ToriesOut","indices":[269,279]}],"symbols":[],"user_mentions":[],"urls":[{"url":"https://t.co/ViKGwYqRcN","expanded_url":"https://twitter.com/johnwest_jaws/status/1520795185029943296","display_url":"twitter.com/johnwest_jaws/…","indices":[280,303]}]}</t>
  </si>
  <si>
    <t>1521031061202944002</t>
  </si>
  <si>
    <t>olynpuss</t>
  </si>
  <si>
    <t>Mon May 02 07:37:19 +0000 2022</t>
  </si>
  <si>
    <t>1248351519730290688</t>
  </si>
  <si>
    <t>http://pbs.twimg.com/profile_images/1504066643718193153/BOCWafXY_normal.jpg</t>
  </si>
  <si>
    <t>http://twitter.com/olynpuss/statuses/1521031061202944002</t>
  </si>
  <si>
    <t>1521030985114177541</t>
  </si>
  <si>
    <t>FloGallien</t>
  </si>
  <si>
    <t>Mon May 02 07:37:00 +0000 2022</t>
  </si>
  <si>
    <t>4595344531</t>
  </si>
  <si>
    <t>http://pbs.twimg.com/profile_images/1154766346288336896/cCkGJS39_normal.jpg</t>
  </si>
  <si>
    <t>Winchester</t>
  </si>
  <si>
    <t>http://twitter.com/FloGallien/statuses/1521030985114177541</t>
  </si>
  <si>
    <t>1521030976041897986</t>
  </si>
  <si>
    <t>AlPinkerton</t>
  </si>
  <si>
    <t>“You run a trade war against yourself, bad things happen” #brexit
#CostOfLivingCrisis 
https://t.co/l8KZJB5Liz</t>
  </si>
  <si>
    <t>Mon May 02 07:36:58 +0000 2022</t>
  </si>
  <si>
    <t>56338737</t>
  </si>
  <si>
    <t>http://pbs.twimg.com/profile_images/1191120478993371136/XXkePZrR_normal.jpg</t>
  </si>
  <si>
    <t>Surrey Heath</t>
  </si>
  <si>
    <t>http://twitter.com/AlPinkerton/statuses/1521030976041897986</t>
  </si>
  <si>
    <t>{"hashtags":[{"text":"brexit","indices":[58,65]},{"text":"CostOfLivingCrisis","indices":[66,85]}],"symbols":[],"user_mentions":[],"urls":[{"url":"https://t.co/l8KZJB5Liz","expanded_url":"https://www.bloomberg.com/news/articles/2022-04-27/brexit-explains-80-of-u-k-inflation-former-boe-official-says","display_url":"bloomberg.com/news/articles/…","indices":[88,111]}]}</t>
  </si>
  <si>
    <t>1521030896383672321</t>
  </si>
  <si>
    <t>joe_conere</t>
  </si>
  <si>
    <t>Mon May 02 07:36:39 +0000 2022</t>
  </si>
  <si>
    <t>3600111617</t>
  </si>
  <si>
    <t>http://pbs.twimg.com/profile_images/641926487336206336/3velFgjZ_normal.jpg</t>
  </si>
  <si>
    <t>http://twitter.com/joe_conere/statuses/1521030896383672321</t>
  </si>
  <si>
    <t>1521030850149769217</t>
  </si>
  <si>
    <t>HarleyEbe</t>
  </si>
  <si>
    <t>Mon May 02 07:36:28 +0000 2022</t>
  </si>
  <si>
    <t>42862377</t>
  </si>
  <si>
    <t>http://pbs.twimg.com/profile_images/1514589258450939910/UlyJ4qVT_normal.jpg</t>
  </si>
  <si>
    <t>Bonnie Scotland</t>
  </si>
  <si>
    <t>http://twitter.com/HarleyEbe/statuses/1521030850149769217</t>
  </si>
  <si>
    <t>1521030688828502016</t>
  </si>
  <si>
    <t>Amanda_4d</t>
  </si>
  <si>
    <t>Mon May 02 07:35:50 +0000 2022</t>
  </si>
  <si>
    <t>1047848860838760449</t>
  </si>
  <si>
    <t>http://pbs.twimg.com/profile_images/1358177501890158595/-UErAJRG_normal.jpg</t>
  </si>
  <si>
    <t>http://twitter.com/Amanda_4d/statuses/1521030688828502016</t>
  </si>
  <si>
    <t>1521030638631010304</t>
  </si>
  <si>
    <t>@Stephen38281367 @SkyNews Partially wrong ?  😂😂😂
It’s 100% factual that mobile roaming charges have been reintroduced since #Brexit.  And for companies like Vodafone, that cost is £2 / day / contract.
More #Brexit lies. https://t.co/3tkQ7qZF6e</t>
  </si>
  <si>
    <t>Mon May 02 07:35:38 +0000 2022</t>
  </si>
  <si>
    <t>1238557842153639939</t>
  </si>
  <si>
    <t>Stephen38281367</t>
  </si>
  <si>
    <t>1521028230022680577</t>
  </si>
  <si>
    <t>http://twitter.com/NuncTempus/statuses/1521030638631010304</t>
  </si>
  <si>
    <t>{"hashtags":[{"text":"Brexit","indices":[125,132]},{"text":"Brexit","indices":[208,215]}],"symbols":[],"user_mentions":[{"screen_name":"Stephen38281367","name":"The Ponderer","id":1238557842153640000,"id_str":"1238557842153639939","indices":[0,16]},{"screen_name":"SkyNews","name":"Sky News","id":7587032,"id_str":"7587032","indices":[17,25]}],"urls":[],"media":[{"id":1521030633904128000,"id_str":"1521030633904128000","indices":[222,245],"media_url":"http://pbs.twimg.com/media/FRvJTYJXwAAj86A.jpg","media_url_https":"https://pbs.twimg.com/media/FRvJTYJXwAAj86A.jpg","url":"https://t.co/3tkQ7qZF6e","display_url":"pic.twitter.com/3tkQ7qZF6e","expanded_url":"https://twitter.com/NuncTempus/status/1521030638631010304/photo/1","type":"photo","sizes":{"thumb":{"w":150,"h":150,"resize":"crop"},"large":{"w":602,"h":472,"resize":"fit"},"small":{"w":602,"h":472,"resize":"fit"},"medium":{"w":602,"h":472,"resize":"fit"}}}]}</t>
  </si>
  <si>
    <t>1521030637200814081</t>
  </si>
  <si>
    <t>Wicksylax</t>
  </si>
  <si>
    <t>Mon May 02 07:35:37 +0000 2022</t>
  </si>
  <si>
    <t>2677933872</t>
  </si>
  <si>
    <t>http://pbs.twimg.com/profile_images/1378752237527269377/3MZf6h4N_normal.jpg</t>
  </si>
  <si>
    <t>http://twitter.com/Wicksylax/statuses/1521030637200814081</t>
  </si>
  <si>
    <t>1521030630422855681</t>
  </si>
  <si>
    <t>RT @AlasSmithJones: @LadyRebecca_1 @Tracey68979327 @DurhamPolice Well said! #BackBoris #TeamBoris #BorisTrain #NeverLabour #NeverLiebour #Conservatives #LabourHypocricy #LabourSleaze #LabourLies #CaptainHindsight #HypocriteStarmer #SmarmyStarmer #StarmerLies #ScumMedia #DefundTheBBC #Brexit #ResignStarmer #ResignRayner #SirBeerStarmer</t>
  </si>
  <si>
    <t>Mon May 02 07:35:36 +0000 2022</t>
  </si>
  <si>
    <t>http://twitter.com/rubyshoes18/statuses/1521030630422855681</t>
  </si>
  <si>
    <t>{"hashtags":[{"text":"BackBoris","indices":[76,86]},{"text":"TeamBoris","indices":[87,97]},{"text":"BorisTrain","indices":[98,109]},{"text":"NeverLabour","indices":[110,122]},{"text":"NeverLiebour","indices":[123,136]}],"symbols":[],"user_mentions":[{"screen_name":"AlasSmithJones","name":"David Partington #BackBoris #ResignSturgeon","id":1488899444087177200,"id_str":"1488899444087177216","indices":[3,18]},{"screen_name":"LadyRebecca_1","name":"Lady Rebecca 💃🍸 🇬🇧 • #TeamBoris • 🇬🇧","id":1248364473066369000,"id_str":"1248364473066369026","indices":[20,34]},{"screen_name":"Tracey68979327","name":"Tracey #BackBoris.","id":270043644,"id_str":"270043644","indices":[35,50]},{"screen_name":"DurhamPolice","name":"Durham Constabulary","id":58878529,"id_str":"58878529","indices":[51,64]}],"urls":[]}</t>
  </si>
  <si>
    <t>1521030531487522816</t>
  </si>
  <si>
    <t>Mon May 02 07:35:12 +0000 2022</t>
  </si>
  <si>
    <t>http://twitter.com/Wicksylax/statuses/1521030531487522816</t>
  </si>
  <si>
    <t>1521030496238637056</t>
  </si>
  <si>
    <t>Mon May 02 07:35:04 +0000 2022</t>
  </si>
  <si>
    <t>http://twitter.com/ianvward/statuses/1521030496238637056</t>
  </si>
  <si>
    <t>1521030486625300480</t>
  </si>
  <si>
    <t>loyden60</t>
  </si>
  <si>
    <t>Mon May 02 07:35:02 +0000 2022</t>
  </si>
  <si>
    <t>2337669881</t>
  </si>
  <si>
    <t>http://twitter.com/loyden60/statuses/1521030486625300480</t>
  </si>
  <si>
    <t>1521030463967662080</t>
  </si>
  <si>
    <t>geoffh33</t>
  </si>
  <si>
    <t>@GyllKing Well I’m shocked! 
That’s definitely not what Michael Gove told the ‘Question Time’ audience in June 2016.
But then #BorisJohnson and the #Tories needed votes for #Brexit so I guess Gove lied.
‘The Party of Law &amp;amp; Order.’ https://t.co/39UGJEQpDb</t>
  </si>
  <si>
    <t>Mon May 02 07:34:56 +0000 2022</t>
  </si>
  <si>
    <t>1292863282165026817</t>
  </si>
  <si>
    <t>GyllKing</t>
  </si>
  <si>
    <t>2548402543</t>
  </si>
  <si>
    <t>1520644709106200576</t>
  </si>
  <si>
    <t>http://pbs.twimg.com/profile_images/474615452094562304/P7YfxN7X_normal.jpeg</t>
  </si>
  <si>
    <t>Where I go, that's where I am</t>
  </si>
  <si>
    <t>http://twitter.com/geoffh33/statuses/1521030463967662080</t>
  </si>
  <si>
    <t>{"hashtags":[{"text":"BorisJohnson","indices":[128,141]},{"text":"Tories","indices":[150,157]},{"text":"Brexit","indices":[175,182]}],"symbols":[],"user_mentions":[{"screen_name":"GyllKing","name":"Lady Sir Gyll King","id":1292863282165026800,"id_str":"1292863282165026817","indices":[0,9]}],"urls":[],"media":[{"id":1521030458942922800,"id_str":"1521030458942922757","indices":[238,261],"media_url":"http://pbs.twimg.com/media/FRvJJMXXoAUuDVm.jpg","media_url_https":"https://pbs.twimg.com/media/FRvJJMXXoAUuDVm.jpg","url":"https://t.co/39UGJEQpDb","display_url":"pic.twitter.com/39UGJEQpDb","expanded_url":"https://twitter.com/geoffh33/status/1521030463967662080/photo/1","type":"photo","sizes":{"large":{"w":750,"h":1052,"resize":"fit"},"thumb":{"w":150,"h":150,"resize":"crop"},"medium":{"w":750,"h":1052,"resize":"fit"},"small":{"w":485,"h":680,"resize":"fit"}}}]}</t>
  </si>
  <si>
    <t>1521030405385822208</t>
  </si>
  <si>
    <t>Mon May 02 07:34:42 +0000 2022</t>
  </si>
  <si>
    <t>http://twitter.com/BtaD42255016/statuses/1521030405385822208</t>
  </si>
  <si>
    <t>1521030395738869761</t>
  </si>
  <si>
    <t>schulzee3</t>
  </si>
  <si>
    <t>Mon May 02 07:34:40 +0000 2022</t>
  </si>
  <si>
    <t>295900497</t>
  </si>
  <si>
    <t>http://pbs.twimg.com/profile_images/1265960487650570245/NXHcJZVm_normal.jpg</t>
  </si>
  <si>
    <t>Hackney, London</t>
  </si>
  <si>
    <t>http://twitter.com/schulzee3/statuses/1521030395738869761</t>
  </si>
  <si>
    <t>1521030369398644738</t>
  </si>
  <si>
    <t>rudadu57</t>
  </si>
  <si>
    <t>Mon May 02 07:34:34 +0000 2022</t>
  </si>
  <si>
    <t>2466274790</t>
  </si>
  <si>
    <t>http://pbs.twimg.com/profile_images/1376466498089271297/ktndoNjw_normal.jpg</t>
  </si>
  <si>
    <t>Fife, Scotland</t>
  </si>
  <si>
    <t>http://twitter.com/rudadu57/statuses/1521030369398644738</t>
  </si>
  <si>
    <t>1521030207834046464</t>
  </si>
  <si>
    <t>shopinitis</t>
  </si>
  <si>
    <t>Mon May 02 07:33:55 +0000 2022</t>
  </si>
  <si>
    <t>20548879</t>
  </si>
  <si>
    <t>http://pbs.twimg.com/profile_images/989595905761464320/fnPT8SI6_normal.jpg</t>
  </si>
  <si>
    <t>Lancashire</t>
  </si>
  <si>
    <t>http://twitter.com/shopinitis/statuses/1521030207834046464</t>
  </si>
  <si>
    <t>1521030199646863361</t>
  </si>
  <si>
    <t>neilehoward1962</t>
  </si>
  <si>
    <t>All hail the Minister for the Department of Delusion.
#ToriesOut 
#Brexit 
#BrexitDisaster https://t.co/Wpl7rxMII2</t>
  </si>
  <si>
    <t>Mon May 02 07:33:53 +0000 2022</t>
  </si>
  <si>
    <t>2337573863</t>
  </si>
  <si>
    <t>http://pbs.twimg.com/profile_images/1409799097423368193/wnxbY8sQ_normal.jpg</t>
  </si>
  <si>
    <t>http://twitter.com/neilehoward1962/statuses/1521030199646863361</t>
  </si>
  <si>
    <t>{"hashtags":[{"text":"ToriesOut","indices":[54,64]},{"text":"Brexit","indices":[66,73]},{"text":"BrexitDisaster","indices":[75,90]}],"symbols":[],"user_mentions":[],"urls":[],"media":[{"id":1521030198011076600,"id_str":"1521030198011076608","indices":[91,114],"media_url":"http://pbs.twimg.com/media/FRvI6AUXoAAHYKl.jpg","media_url_https":"https://pbs.twimg.com/media/FRvI6AUXoAAHYKl.jpg","url":"https://t.co/Wpl7rxMII2","display_url":"pic.twitter.com/Wpl7rxMII2","expanded_url":"https://twitter.com/neilehoward1962/status/1521030199646863361/photo/1","type":"photo","sizes":{"large":{"w":808,"h":441,"resize":"fit"},"thumb":{"w":150,"h":150,"resize":"crop"},"medium":{"w":808,"h":441,"resize":"fit"},"small":{"w":680,"h":371,"resize":"fit"}}}]}</t>
  </si>
  <si>
    <t>1521030194198458368</t>
  </si>
  <si>
    <t>SeanScannell</t>
  </si>
  <si>
    <t>Mon May 02 07:33:52 +0000 2022</t>
  </si>
  <si>
    <t>10382022</t>
  </si>
  <si>
    <t>http://pbs.twimg.com/profile_images/713799231/LBRBCrop1_normal.jpg</t>
  </si>
  <si>
    <t>http://twitter.com/SeanScannell/statuses/1521030194198458368</t>
  </si>
  <si>
    <t>1521030180667539457</t>
  </si>
  <si>
    <t>GreenKnight60</t>
  </si>
  <si>
    <t>Mon May 02 07:33:49 +0000 2022</t>
  </si>
  <si>
    <t>344040211</t>
  </si>
  <si>
    <t>http://pbs.twimg.com/profile_images/1264567070739640320/id9Xhnep_normal.jpg</t>
  </si>
  <si>
    <t>http://twitter.com/GreenKnight60/statuses/1521030180667539457</t>
  </si>
  <si>
    <t>1521030145724796928</t>
  </si>
  <si>
    <t>FionaGreenfield</t>
  </si>
  <si>
    <t>@cllr_aston @labour_history Labour delivered results; #Tories - I’m still waiting to see anything they’ve promised to deliver. Oh, they did deliver #Brexit  😬 #ToriesOut5thMay</t>
  </si>
  <si>
    <t>Mon May 02 07:33:40 +0000 2022</t>
  </si>
  <si>
    <t>747285061</t>
  </si>
  <si>
    <t>cllr_aston</t>
  </si>
  <si>
    <t>2978582699</t>
  </si>
  <si>
    <t>1520715300915789825</t>
  </si>
  <si>
    <t>http://pbs.twimg.com/profile_images/1497689152925667328/kdr7ly3K_normal.jpg</t>
  </si>
  <si>
    <t>Lincolnshire</t>
  </si>
  <si>
    <t>http://twitter.com/FionaGreenfield/statuses/1521030145724796928</t>
  </si>
  <si>
    <t>{"hashtags":[{"text":"Tories","indices":[54,61]},{"text":"Brexit","indices":[148,155]},{"text":"ToriesOut5thMay","indices":[159,175]}],"symbols":[],"user_mentions":[{"screen_name":"cllr_aston","name":"Adam Aston 🌹🚑","id":747285061,"id_str":"747285061","indices":[0,11]},{"screen_name":"labour_history","name":"Tides of History","id":799126609915584500,"id_str":"799126609915584512","indices":[12,27]}],"urls":[]}</t>
  </si>
  <si>
    <t>1521029965650800640</t>
  </si>
  <si>
    <t>Kirikou_for_PM</t>
  </si>
  <si>
    <t>Mon May 02 07:32:57 +0000 2022</t>
  </si>
  <si>
    <t>1105599482094342148</t>
  </si>
  <si>
    <t>http://pbs.twimg.com/profile_images/1109750773045432321/Xi0D2YKH_normal.png</t>
  </si>
  <si>
    <t>http://twitter.com/Kirikou_for_PM/statuses/1521029965650800640</t>
  </si>
  <si>
    <t>1521029962886782976</t>
  </si>
  <si>
    <t>http://twitter.com/ianvward/statuses/1521029962886782976</t>
  </si>
  <si>
    <t>1521029940564709377</t>
  </si>
  <si>
    <t>Scunner666</t>
  </si>
  <si>
    <t>Mon May 02 07:32:51 +0000 2022</t>
  </si>
  <si>
    <t>49609777</t>
  </si>
  <si>
    <t>http://pbs.twimg.com/profile_images/1352298241338052608/X-0hRYdB_normal.jpg</t>
  </si>
  <si>
    <t>http://twitter.com/Scunner666/statuses/1521029940564709377</t>
  </si>
  <si>
    <t>1521029937087631360</t>
  </si>
  <si>
    <t>prestwichpig</t>
  </si>
  <si>
    <t>2977706207</t>
  </si>
  <si>
    <t>http://pbs.twimg.com/profile_images/578452387440041984/4yJDQAn-_normal.jpeg</t>
  </si>
  <si>
    <t>Macclesfield ex Prestwich</t>
  </si>
  <si>
    <t>http://twitter.com/prestwichpig/statuses/1521029937087631360</t>
  </si>
  <si>
    <t>1521029922428534784</t>
  </si>
  <si>
    <t>Mon May 02 07:32:47 +0000 2022</t>
  </si>
  <si>
    <t>http://twitter.com/RTaylor_LibDem/statuses/1521029922428534784</t>
  </si>
  <si>
    <t>1521029913213640704</t>
  </si>
  <si>
    <t>Mon May 02 07:32:45 +0000 2022</t>
  </si>
  <si>
    <t>http://twitter.com/prestwichpig/statuses/1521029913213640704</t>
  </si>
  <si>
    <t>1521029872331669506</t>
  </si>
  <si>
    <t>Mon May 02 07:32:35 +0000 2022</t>
  </si>
  <si>
    <t>http://twitter.com/prestwichpig/statuses/1521029872331669506</t>
  </si>
  <si>
    <t>1521029864484220928</t>
  </si>
  <si>
    <t>frog_bum</t>
  </si>
  <si>
    <t>Another #AntiBritish piece from the #BBC Not 
https://t.co/uifaUrPdD6
It’s all about the hurt feelings of the Argentinians and how the British public ‘don’t care’ about the “#Malvinas”. ‘Britain needs to improve South American relationships’ because of #Brexit.</t>
  </si>
  <si>
    <t>Mon May 02 07:32:33 +0000 2022</t>
  </si>
  <si>
    <t>1347872829103071232</t>
  </si>
  <si>
    <t>http://pbs.twimg.com/profile_images/1348194595469991937/jbWNlblA_normal.jpg</t>
  </si>
  <si>
    <t>Downing Street. Maybe, one day</t>
  </si>
  <si>
    <t>http://twitter.com/frog_bum/statuses/1521029864484220928</t>
  </si>
  <si>
    <t>{"hashtags":[{"text":"AntiBritish","indices":[8,20]},{"text":"BBC","indices":[36,40]},{"text":"Malvinas","indices":[176,185]},{"text":"Brexit","indices":[255,262]}],"symbols":[],"user_mentions":[],"urls":[{"url":"https://t.co/uifaUrPdD6","expanded_url":"https://www.bbc.co.uk/news/uk-61294958","display_url":"bbc.co.uk/news/uk-612949…","indices":[47,70]}]}</t>
  </si>
  <si>
    <t>1521029817042452480</t>
  </si>
  <si>
    <t>2xDutch31</t>
  </si>
  <si>
    <t>If I remember rightly, Lord Ashcroft predicted Remain to win the #Brexit Referendum... https://t.co/ORXL9ftH3b</t>
  </si>
  <si>
    <t>Mon May 02 07:32:22 +0000 2022</t>
  </si>
  <si>
    <t>923959620141449216</t>
  </si>
  <si>
    <t>http://pbs.twimg.com/profile_images/937607586555326465/VXHH6Yus_normal.jpg</t>
  </si>
  <si>
    <t>http://twitter.com/2xDutch31/statuses/1521029817042452480</t>
  </si>
  <si>
    <t>{"hashtags":[{"text":"Brexit","indices":[65,72]}],"symbols":[],"user_mentions":[],"urls":[{"url":"https://t.co/ORXL9ftH3b","expanded_url":"https://twitter.com/geoffreyMyers1/status/1520690819749064704","display_url":"twitter.com/geoffreyMyers1…","indices":[87,110]}]}</t>
  </si>
  <si>
    <t>1521029771488108545</t>
  </si>
  <si>
    <t>RosStewart1</t>
  </si>
  <si>
    <t>Mon May 02 07:32:11 +0000 2022</t>
  </si>
  <si>
    <t>346679187</t>
  </si>
  <si>
    <t>http://pbs.twimg.com/profile_images/1193147824298434560/RwDv5bJm_normal.jpg</t>
  </si>
  <si>
    <t>http://twitter.com/RosStewart1/statuses/1521029771488108545</t>
  </si>
  <si>
    <t>1521029708795756544</t>
  </si>
  <si>
    <t>BlackGloves</t>
  </si>
  <si>
    <t>Mon May 02 07:31:56 +0000 2022</t>
  </si>
  <si>
    <t>62582415</t>
  </si>
  <si>
    <t>http://pbs.twimg.com/profile_images/805398090064756736/_c4rsRBV_normal.jpg</t>
  </si>
  <si>
    <t>Hereford, England</t>
  </si>
  <si>
    <t>http://twitter.com/BlackGloves/statuses/1521029708795756544</t>
  </si>
  <si>
    <t>1521029673391689729</t>
  </si>
  <si>
    <t>knut_krohn</t>
  </si>
  <si>
    <t>Und noch ein #Brexit-Erfolg! Viele britische Rentner haben sich in Spanien niedergelassen. Dort dürfen sie bald wohl nicht mehr mit dem Auto fahren, da ihr Führerschein in der #EU nicht mehr gültig ist. https://t.co/VEAq0oGWrG</t>
  </si>
  <si>
    <t>Mon May 02 07:31:48 +0000 2022</t>
  </si>
  <si>
    <t>291751573</t>
  </si>
  <si>
    <t>http://pbs.twimg.com/profile_images/1183060960199753728/9LKiHzUF_normal.jpg</t>
  </si>
  <si>
    <t>Paris</t>
  </si>
  <si>
    <t>http://twitter.com/knut_krohn/statuses/1521029673391689729</t>
  </si>
  <si>
    <t>{"hashtags":[{"text":"Brexit","indices":[13,20]},{"text":"EU","indices":[176,179]}],"symbols":[],"user_mentions":[],"urls":[{"url":"https://t.co/VEAq0oGWrG","expanded_url":"https://twitter.com/business/status/1520758959493337089","display_url":"twitter.com/business/statu…","indices":[203,226]}]}</t>
  </si>
  <si>
    <t>1521029595637723142</t>
  </si>
  <si>
    <t>luke_cassidy</t>
  </si>
  <si>
    <t>Mon May 02 07:31:29 +0000 2022</t>
  </si>
  <si>
    <t>241075802</t>
  </si>
  <si>
    <t>http://pbs.twimg.com/profile_images/1350323311/luke_normal.jpg</t>
  </si>
  <si>
    <t>Walton-on-Thames, UK</t>
  </si>
  <si>
    <t>http://twitter.com/luke_cassidy/statuses/1521029595637723142</t>
  </si>
  <si>
    <t>1521029574586515456</t>
  </si>
  <si>
    <t>RT @emhkcf: Brexit has been disastrous for EU-UK trade, but one beneficiary is the port of Antwerp which has seen its share of UK trade increase on the back of a transition away from rail shipping. Another #Brexit winner is Ireland. #BrexitHasFailed for the Uk
 https://t.co/9RkzlTNvTJ</t>
  </si>
  <si>
    <t>Mon May 02 07:31:24 +0000 2022</t>
  </si>
  <si>
    <t>http://twitter.com/BtaD42255016/statuses/1521029574586515456</t>
  </si>
  <si>
    <t>{"hashtags":[],"symbols":[],"user_mentions":[{"screen_name":"emhkcf","name":"European Movement West London","id":924257264470458400,"id_str":"924257264470458368","indices":[3,10]}],"urls":[]}</t>
  </si>
  <si>
    <t>1521029569775644674</t>
  </si>
  <si>
    <t>salima_yenbou</t>
  </si>
  <si>
    <t>« Désobéir à certaines règles européennes  » ceux qui l’ont fait ce sont les #anglais et l’étape suivante a été le #Brexit !
 #EELV s’est vendue pour un plat de lentilles. 
Où sont passés ces militants verts fédéralistes européens ? #legislatives2022 @UEF_France @MouvEuropeen_Fr https://t.co/6Dtsl2WDhm</t>
  </si>
  <si>
    <t>Mon May 02 07:31:23 +0000 2022</t>
  </si>
  <si>
    <t>714914764</t>
  </si>
  <si>
    <t>http://pbs.twimg.com/profile_images/1516764959342010371/KuzAsOIO_normal.jpg</t>
  </si>
  <si>
    <t xml:space="preserve">Bruxelles - Strasbourg </t>
  </si>
  <si>
    <t>http://twitter.com/salima_yenbou/statuses/1521029569775644674</t>
  </si>
  <si>
    <t>{"hashtags":[{"text":"anglais","indices":[77,85]},{"text":"Brexit","indices":[115,122]},{"text":"EELV","indices":[126,131]},{"text":"legislatives2022","indices":[233,250]}],"symbols":[],"user_mentions":[{"screen_name":"UEF_France","name":"Union des Fédéralistes Européens 🇫🇷 🇪🇺🇺🇦","id":105744275,"id_str":"105744275","indices":[251,262]},{"screen_name":"MouvEuropeen_Fr","name":"Mouvement Européen - France","id":331017713,"id_str":"331017713","indices":[263,279]}],"urls":[{"url":"https://t.co/6Dtsl2WDhm","expanded_url":"https://twitter.com/franceinter/status/1521011334938337281","display_url":"twitter.com/franceinter/st…","indices":[280,303]}]}</t>
  </si>
  <si>
    <t>1521029561932210176</t>
  </si>
  <si>
    <t>polytwonk</t>
  </si>
  <si>
    <t>Mon May 02 07:31:21 +0000 2022</t>
  </si>
  <si>
    <t>1080173484771328004</t>
  </si>
  <si>
    <t>&lt;a href="https://dawsonhome.org" rel="nofollow"&gt;PolyTwonkBot&lt;/a&gt;</t>
  </si>
  <si>
    <t>http://pbs.twimg.com/profile_images/1200014473001623553/3YgN014a_normal.jpg</t>
  </si>
  <si>
    <t>Englandshire</t>
  </si>
  <si>
    <t>http://twitter.com/polytwonk/statuses/1521029561932210176</t>
  </si>
  <si>
    <t>1521029559596068865</t>
  </si>
  <si>
    <t>LittleGravitas</t>
  </si>
  <si>
    <t>1106209087</t>
  </si>
  <si>
    <t>http://pbs.twimg.com/profile_images/882004291837472768/awOJGPFB_normal.jpg</t>
  </si>
  <si>
    <t>http://twitter.com/LittleGravitas/statuses/1521029559596068865</t>
  </si>
  <si>
    <t>1521029506827489280</t>
  </si>
  <si>
    <t>Is there a poll of how #UK would vote if electorate believed every vote would count as under #PR? (Guessing that previous MEP elections not really representative as too small a turnout/skewed by #Brexit). @BritainElects #FPTP #bbcnews #r4today</t>
  </si>
  <si>
    <t>Mon May 02 07:31:08 +0000 2022</t>
  </si>
  <si>
    <t>http://twitter.com/VerityKalcev/statuses/1521029506827489280</t>
  </si>
  <si>
    <t>{"hashtags":[{"text":"UK","indices":[23,26]},{"text":"PR","indices":[93,96]},{"text":"Brexit","indices":[195,202]},{"text":"FPTP","indices":[220,225]},{"text":"bbcnews","indices":[226,234]},{"text":"r4today","indices":[235,243]}],"symbols":[],"user_mentions":[{"screen_name":"BritainElects","name":"Britain Elects","id":1541364193,"id_str":"1541364193","indices":[205,219]}],"urls":[]}</t>
  </si>
  <si>
    <t>1521029491493064704</t>
  </si>
  <si>
    <t>Patrici10534981</t>
  </si>
  <si>
    <t>Mon May 02 07:31:04 +0000 2022</t>
  </si>
  <si>
    <t>1346212028701171714</t>
  </si>
  <si>
    <t>http://twitter.com/Patrici10534981/statuses/1521029491493064704</t>
  </si>
  <si>
    <t>1521029440985309184</t>
  </si>
  <si>
    <t>BPelluet</t>
  </si>
  <si>
    <t>RT @Ad__vitam_44: ⏹pensez-vous que la commission européenne soit sous l’influence des USA 🇺🇸 ?
▶️votez et partager svp merci 🙏 
🗳⬇️ #UE #EtatsUnis #OTAN #ONU  #commissioneuropeenne #UkraineRussiaWar #Ukraine️ #Russie #France #vonderleyen #Biden #Macron #BorisJohnson #Frexit #Brexit 🔊🃏</t>
  </si>
  <si>
    <t>Mon May 02 07:30:52 +0000 2022</t>
  </si>
  <si>
    <t>2220291312</t>
  </si>
  <si>
    <t>http://pbs.twimg.com/profile_images/1493629693324664843/Fbz0e9_4_normal.jpg</t>
  </si>
  <si>
    <t>Calvados, Basse-Normandie</t>
  </si>
  <si>
    <t>http://twitter.com/BPelluet/statuses/1521029440985309184</t>
  </si>
  <si>
    <t>{"hashtags":[{"text":"UE","indices":[134,137]}],"symbols":[],"user_mentions":[{"screen_name":"Ad__vitam_44","name":"☥♰🅰️🅳⚜️🆅🅸🆃🅰️🅼☥♰","id":1204866898736943000,"id_str":"1204866898736943104","indices":[3,16]}],"urls":[]}</t>
  </si>
  <si>
    <t>1521029428695949312</t>
  </si>
  <si>
    <t>chrissiros</t>
  </si>
  <si>
    <t>Mon May 02 07:30:49 +0000 2022</t>
  </si>
  <si>
    <t>424951707</t>
  </si>
  <si>
    <t>http://pbs.twimg.com/profile_images/2577023726/zwse0q618lcprs0fplmn_normal.jpeg</t>
  </si>
  <si>
    <t>http://twitter.com/chrissiros/statuses/1521029428695949312</t>
  </si>
  <si>
    <t>1521029421452378112</t>
  </si>
  <si>
    <t>Cormorant100</t>
  </si>
  <si>
    <t>@markjenkinsonmp Can you not see that chaos of 12 years of Tory corruption, incompetence+deceit.He wrote 2 articles about #Brexit and went with what politically was best for him ... despite the evidence+ consequences. We live in global World not the Tory fascist fantasy of  a UK in bygone years</t>
  </si>
  <si>
    <t>Mon May 02 07:30:48 +0000 2022</t>
  </si>
  <si>
    <t>141925914</t>
  </si>
  <si>
    <t>The Highlands - Scotland</t>
  </si>
  <si>
    <t>http://twitter.com/Cormorant100/statuses/1521029421452378112</t>
  </si>
  <si>
    <t>{"hashtags":[{"text":"Brexit","indices":[122,129]}],"symbols":[],"user_mentions":[{"screen_name":"markjenkinsonmp","name":"Mark Jenkinson MP","id":116228328,"id_str":"116228328","indices":[0,16]}],"urls":[]}</t>
  </si>
  <si>
    <t>1521029347628523522</t>
  </si>
  <si>
    <t>SBurton63883172</t>
  </si>
  <si>
    <t>Mon May 02 07:30:30 +0000 2022</t>
  </si>
  <si>
    <t>1482099975286931466</t>
  </si>
  <si>
    <t>http://pbs.twimg.com/profile_images/1498651623903698949/MDmQNMfw_normal.jpg</t>
  </si>
  <si>
    <t>http://twitter.com/SBurton63883172/statuses/1521029347628523522</t>
  </si>
  <si>
    <t>1521029254095552513</t>
  </si>
  <si>
    <t>ConnexionFrance</t>
  </si>
  <si>
    <t>British #second-home owners in #France say the UK government is not doing enough to push the #EU to recognise a British #petpassport - #Brexit has left them paying 'more for less' when taking #pets to France
#petstoFrance #lifeinfrance #petpassportfrance
https://t.co/z3Q1QbOmBB</t>
  </si>
  <si>
    <t>Mon May 02 07:30:08 +0000 2022</t>
  </si>
  <si>
    <t>53781633</t>
  </si>
  <si>
    <t>&lt;a href="https://www.hootsuite.com" rel="nofollow"&gt;Hootsuite Inc.&lt;/a&gt;</t>
  </si>
  <si>
    <t>http://pbs.twimg.com/profile_images/695634411665100804/Bn3TERzI_normal.jpg</t>
  </si>
  <si>
    <t>http://twitter.com/ConnexionFrance/statuses/1521029254095552513</t>
  </si>
  <si>
    <t>{"hashtags":[{"text":"second","indices":[8,15]},{"text":"France","indices":[31,38]},{"text":"EU","indices":[93,96]},{"text":"petpassport","indices":[120,132]},{"text":"Brexit","indices":[135,142]},{"text":"pets","indices":[192,197]},{"text":"petstoFrance","indices":[208,221]},{"text":"lifeinfrance","indices":[222,235]},{"text":"petpassportfrance","indices":[236,254]}],"symbols":[],"user_mentions":[],"urls":[{"url":"https://t.co/z3Q1QbOmBB","expanded_url":"http://ow.ly/QitV50IVkow","display_url":"ow.ly/QitV50IVkow","indices":[256,279]}]}</t>
  </si>
  <si>
    <t>1521029243509125121</t>
  </si>
  <si>
    <t>lindadixon80</t>
  </si>
  <si>
    <t>Mon May 02 07:30:05 +0000 2022</t>
  </si>
  <si>
    <t>2416228371</t>
  </si>
  <si>
    <t>http://pbs.twimg.com/profile_images/1419582932117819392/-jYP_O_-_normal.jpg</t>
  </si>
  <si>
    <t>Dumfries 🏴󠁧󠁢󠁳󠁣󠁴󠁿</t>
  </si>
  <si>
    <t>http://twitter.com/lindadixon80/statuses/1521029243509125121</t>
  </si>
  <si>
    <t>1521029225695924224</t>
  </si>
  <si>
    <t>leodbarnard</t>
  </si>
  <si>
    <t>Mon May 02 07:30:01 +0000 2022</t>
  </si>
  <si>
    <t>3526848795</t>
  </si>
  <si>
    <t>http://twitter.com/leodbarnard/statuses/1521029225695924224</t>
  </si>
  <si>
    <t>1521029204246155265</t>
  </si>
  <si>
    <t>SZeitblom</t>
  </si>
  <si>
    <t>I agree with @Anna_Soubry. #Brexit pervades every aspect of the UK’s failing politics, but there is silence. 
And let’s not forget how complicit @Keir_Starmer and @UKLabour are in that conspiracy of silence. The phrase “make #Brexit work” is an act of gross moral appeasement. https://t.co/PPGU7R3Lrc</t>
  </si>
  <si>
    <t>Mon May 02 07:29:56 +0000 2022</t>
  </si>
  <si>
    <t>109191054</t>
  </si>
  <si>
    <t>http://pbs.twimg.com/profile_images/1497849623817375746/PaOsnuu6_normal.jpg</t>
  </si>
  <si>
    <t>Treganna, Caerdydd</t>
  </si>
  <si>
    <t>http://twitter.com/SZeitblom/statuses/1521029204246155265</t>
  </si>
  <si>
    <t>{"hashtags":[{"text":"Brexit","indices":[27,34]},{"text":"Brexit","indices":[226,233]}],"symbols":[],"user_mentions":[{"screen_name":"Anna_Soubry","name":"Anna Soubry","id":326184301,"id_str":"326184301","indices":[13,25]},{"screen_name":"Keir_Starmer","name":"Keir Starmer","id":2425571623,"id_str":"2425571623","indices":[146,159]},{"screen_name":"UKLabour","name":"The Labour Party","id":14291684,"id_str":"14291684","indices":[164,173]}],"urls":[{"url":"https://t.co/PPGU7R3Lrc","expanded_url":"https://twitter.com/anna_soubry/status/1520749250463866880","display_url":"twitter.com/anna_soubry/st…","indices":[278,301]}]}</t>
  </si>
  <si>
    <t>1521029163049795584</t>
  </si>
  <si>
    <t>FionaMc90085949</t>
  </si>
  <si>
    <t>RT @PGuppy: #bbcbrexit doing a bit about HRT medication shortage without mentioning #Brexit</t>
  </si>
  <si>
    <t>Mon May 02 07:29:46 +0000 2022</t>
  </si>
  <si>
    <t>1056286911956946952</t>
  </si>
  <si>
    <t>http://twitter.com/FionaMc90085949/statuses/1521029163049795584</t>
  </si>
  <si>
    <t>{"hashtags":[{"text":"bbcbrexit","indices":[12,22]},{"text":"Brexit","indices":[84,91]}],"symbols":[],"user_mentions":[{"screen_name":"PGuppy","name":"Paul Guppy Esq., #FBPE","id":561368563,"id_str":"561368563","indices":[3,10]}],"urls":[]}</t>
  </si>
  <si>
    <t>1521029090194735107</t>
  </si>
  <si>
    <t>lyn_ambrose</t>
  </si>
  <si>
    <t>Mon May 02 07:29:29 +0000 2022</t>
  </si>
  <si>
    <t>1201881445389799424</t>
  </si>
  <si>
    <t>http://pbs.twimg.com/profile_images/1205757087067889666/N7dXZwEQ_normal.jpg</t>
  </si>
  <si>
    <t>http://twitter.com/lyn_ambrose/statuses/1521029090194735107</t>
  </si>
  <si>
    <t>1521029070645088256</t>
  </si>
  <si>
    <t>muttleyarsenal9</t>
  </si>
  <si>
    <t>RT @derekjames150: The ignorance of #Brexit supporters is incredible! https://t.co/2yNTCcLGPm</t>
  </si>
  <si>
    <t>Mon May 02 07:29:24 +0000 2022</t>
  </si>
  <si>
    <t>1291996901546627072</t>
  </si>
  <si>
    <t>http://pbs.twimg.com/profile_images/1298565607856766977/xpB3D7DY_normal.jpg</t>
  </si>
  <si>
    <t>http://twitter.com/muttleyarsenal9/statuses/1521029070645088256</t>
  </si>
  <si>
    <t>{"hashtags":[{"text":"Brexit","indices":[36,43]}],"symbols":[],"user_mentions":[{"screen_name":"derekjames150","name":"Derek James #StandWithUkraine 🇺🇦 #RejoinEU 🇪🇺","id":2783875490,"id_str":"2783875490","indices":[3,17]}],"urls":[]}</t>
  </si>
  <si>
    <t>1521029056682156038</t>
  </si>
  <si>
    <t>BuxtonSue</t>
  </si>
  <si>
    <t>Mon May 02 07:29:21 +0000 2022</t>
  </si>
  <si>
    <t>561148918</t>
  </si>
  <si>
    <t>http://twitter.com/BuxtonSue/statuses/1521029056682156038</t>
  </si>
  <si>
    <t>1521029027091394560</t>
  </si>
  <si>
    <t>MissPopperama</t>
  </si>
  <si>
    <t>RT @pmdfoster: 🚨🇬🇧🇪🇺🇮🇪🚨 @DavidGHFrost intervened on the NI Protocol this week, but there was a less-noted but v.powerful intervention by Andrew McCormick @AGMcCormick, the retd NI official who was #Brexit lead for executive. He asked for "honesty"...but why? 1/thread
https://t.co/Lxtzuv91ZQ</t>
  </si>
  <si>
    <t>Mon May 02 07:29:14 +0000 2022</t>
  </si>
  <si>
    <t>2507997320</t>
  </si>
  <si>
    <t>http://pbs.twimg.com/profile_images/1068629372117155840/iZGn--VK_normal.jpg</t>
  </si>
  <si>
    <t>http://twitter.com/MissPopperama/statuses/1521029027091394560</t>
  </si>
  <si>
    <t>{"hashtags":[],"symbols":[],"user_mentions":[{"screen_name":"pmdfoster","name":"Peter Foster","id":23563830,"id_str":"23563830","indices":[3,13]},{"screen_name":"DavidGHFrost","name":"David Frost","id":967900364,"id_str":"967900364","indices":[24,37]}],"urls":[]}</t>
  </si>
  <si>
    <t>1521028934690877440</t>
  </si>
  <si>
    <t>HeatherMassey2</t>
  </si>
  <si>
    <t>Mon May 02 07:28:52 +0000 2022</t>
  </si>
  <si>
    <t>434999815</t>
  </si>
  <si>
    <t>http://pbs.twimg.com/profile_images/687304458854895616/KgidQkko_normal.jpg</t>
  </si>
  <si>
    <t>Sussex, UK</t>
  </si>
  <si>
    <t>http://twitter.com/HeatherMassey2/statuses/1521028934690877440</t>
  </si>
  <si>
    <t>1521028924007927808</t>
  </si>
  <si>
    <t>UH60Andy</t>
  </si>
  <si>
    <t>Mon May 02 07:28:49 +0000 2022</t>
  </si>
  <si>
    <t>1937664564</t>
  </si>
  <si>
    <t>http://pbs.twimg.com/profile_images/1455301639640920070/k7RLHO88_normal.jpg</t>
  </si>
  <si>
    <t>http://twitter.com/UH60Andy/statuses/1521028924007927808</t>
  </si>
  <si>
    <t>1521028909151801345</t>
  </si>
  <si>
    <t>NissanEVuk</t>
  </si>
  <si>
    <t>RT @VanDutchmanXXX: @ultimate_os @NissanEVuk @EarlTheLeaf @QuentinWillson @FullyChargedShw @NissanUK As long as Sunderland can make their own batteries, otherwise EU Rules of Origin can shut them down. #Brexit
https://t.co/9GBrOoMdoX</t>
  </si>
  <si>
    <t>Mon May 02 07:28:45 +0000 2022</t>
  </si>
  <si>
    <t>1252597333784698880</t>
  </si>
  <si>
    <t>http://pbs.twimg.com/profile_images/1372429679450333185/wE8KVmke_normal.jpg</t>
  </si>
  <si>
    <t>http://twitter.com/NissanEVuk/statuses/1521028909151801345</t>
  </si>
  <si>
    <t>{"hashtags":[],"symbols":[],"user_mentions":[{"screen_name":"VanDutchmanXXX","name":"Wandering Dutchman 🇪🇺🌳✊","id":780875862,"id_str":"780875862","indices":[3,18]},{"screen_name":"ultimate_os","name":"Oliver","id":1220306309452566500,"id_str":"1220306309452566530","indices":[20,32]},{"screen_name":"NissanEVuk","name":"Nissan LEAF UK News &amp; Information 🇬🇧","id":1252597333784699000,"id_str":"1252597333784698880","indices":[33,44]},{"screen_name":"EarlTheLeaf","name":"OSCAR the LEAF 🇬🇧","id":781725921027952600,"id_str":"781725921027952640","indices":[45,57]},{"screen_name":"QuentinWillson","name":"Quentin Willson","id":194084833,"id_str":"194084833","indices":[58,73]},{"screen_name":"FullyChargedShw","name":"Fully Charged Show","id":770933216870076400,"id_str":"770933216870076416","indices":[74,90]},{"screen_name":"NissanUK","name":"NissanUK","id":198596515,"id_str":"198596515","indices":[91,100]}],"urls":[]}</t>
  </si>
  <si>
    <t>1521028770722992128</t>
  </si>
  <si>
    <t>Mon May 02 07:28:12 +0000 2022</t>
  </si>
  <si>
    <t>http://twitter.com/muttleyarsenal9/statuses/1521028770722992128</t>
  </si>
  <si>
    <t>1521028762669879298</t>
  </si>
  <si>
    <t>AudreyCowling</t>
  </si>
  <si>
    <t>RT @RichardHewison: Happy #Sunday all!
A quick non-scientific poll of @UKLabour voters ONLY please.
What would you like to see Labour promoting on its policy towards the EU? (#RejoinEU /Keep #Brexit)
And it’s view on #PR move to #MakeVotesMatter or stick with #FPTP ?</t>
  </si>
  <si>
    <t>Mon May 02 07:28:11 +0000 2022</t>
  </si>
  <si>
    <t>1093919631344091138</t>
  </si>
  <si>
    <t>http://pbs.twimg.com/profile_images/1492589573012176896/TE8NVtgv_normal.jpg</t>
  </si>
  <si>
    <t>http://twitter.com/AudreyCowling/statuses/1521028762669879298</t>
  </si>
  <si>
    <t>{"hashtags":[{"text":"Sunday","indices":[26,33]}],"symbols":[],"user_mentions":[{"screen_name":"RichardHewison","name":"Richard Hewison","id":1381836553467613200,"id_str":"1381836553467613186","indices":[3,18]},{"screen_name":"UKLabour","name":"The Labour Party","id":14291684,"id_str":"14291684","indices":[71,80]}],"urls":[]}</t>
  </si>
  <si>
    <t>1521028762359508997</t>
  </si>
  <si>
    <t>Mon May 02 07:28:10 +0000 2022</t>
  </si>
  <si>
    <t>http://twitter.com/lyn_ambrose/statuses/1521028762359508997</t>
  </si>
  <si>
    <t>1521028742499426304</t>
  </si>
  <si>
    <t>RichardHewison</t>
  </si>
  <si>
    <t>@NeilR40772524 @piersmorgan @BorisJohnson No need to - there’s no intellectual power to anyone on the #brexit side of the debate as you demonstrate daily luv!</t>
  </si>
  <si>
    <t>Mon May 02 07:28:06 +0000 2022</t>
  </si>
  <si>
    <t>1408004223229440009</t>
  </si>
  <si>
    <t>NeilR40772524</t>
  </si>
  <si>
    <t>1381836553467613186</t>
  </si>
  <si>
    <t>1521028411212324864</t>
  </si>
  <si>
    <t>http://pbs.twimg.com/profile_images/1384141550251221002/B4dkaZIS_normal.jpg</t>
  </si>
  <si>
    <t>http://twitter.com/RichardHewison/statuses/1521028742499426304</t>
  </si>
  <si>
    <t>{"hashtags":[{"text":"brexit","indices":[102,109]}],"symbols":[],"user_mentions":[{"screen_name":"NeilR40772524","name":"Reginald Bowcat","id":1408004223229440000,"id_str":"1408004223229440009","indices":[0,14]},{"screen_name":"piersmorgan","name":"Piers Morgan","id":216299334,"id_str":"216299334","indices":[15,27]},{"screen_name":"BorisJohnson","name":"Boris Johnson","id":3131144855,"id_str":"3131144855","indices":[28,41]}],"urls":[]}</t>
  </si>
  <si>
    <t>1521028742495277058</t>
  </si>
  <si>
    <t>ThanGenghisKhan</t>
  </si>
  <si>
    <t>2569438730</t>
  </si>
  <si>
    <t>http://pbs.twimg.com/profile_images/790963143207968768/XAgAT8vO_normal.jpg</t>
  </si>
  <si>
    <t>http://twitter.com/ThanGenghisKhan/statuses/1521028742495277058</t>
  </si>
  <si>
    <t>1521028687038136322</t>
  </si>
  <si>
    <t>johnrobertforde</t>
  </si>
  <si>
    <t>Mon May 02 07:27:52 +0000 2022</t>
  </si>
  <si>
    <t>362590473</t>
  </si>
  <si>
    <t>http://pbs.twimg.com/profile_images/729973754940542976/lGFQeKOe_normal.jpg</t>
  </si>
  <si>
    <t>http://twitter.com/johnrobertforde/statuses/1521028687038136322</t>
  </si>
  <si>
    <t>1521028666674892801</t>
  </si>
  <si>
    <t>jamdodger4</t>
  </si>
  <si>
    <t>Mon May 02 07:27:48 +0000 2022</t>
  </si>
  <si>
    <t>4838140174</t>
  </si>
  <si>
    <t>http://pbs.twimg.com/profile_images/1121757785497190400/kJvbFzTy_normal.jpg</t>
  </si>
  <si>
    <t>South Lakes, north-west England</t>
  </si>
  <si>
    <t>http://twitter.com/jamdodger4/statuses/1521028666674892801</t>
  </si>
  <si>
    <t>1521028653097918465</t>
  </si>
  <si>
    <t>Mon May 02 07:27:44 +0000 2022</t>
  </si>
  <si>
    <t>http://twitter.com/jamdodger4/statuses/1521028653097918465</t>
  </si>
  <si>
    <t>1521028651080458240</t>
  </si>
  <si>
    <t>@audouin1b @kate_degerdon @affleckquine @UKLabour Don't underestimate Tory survival instincts. It may be they'll pass on the next GE, to let Starmer deprive Lab of power for the next 12 years, by failing to manage a #Brexit damaged economy but they're equally likely to reinvent themselves.</t>
  </si>
  <si>
    <t>1521026557803905026</t>
  </si>
  <si>
    <t>http://twitter.com/philiparrogers/statuses/1521028651080458240</t>
  </si>
  <si>
    <t>{"hashtags":[{"text":"Brexit","indices":[216,223]}],"symbols":[],"user_mentions":[{"screen_name":"audouin1b","name":"David Wright#FBPE#FBPA#antibrexit#facciamorete💙","id":527674798,"id_str":"527674798","indices":[0,10]},{"screen_name":"kate_degerdon","name":"Kate Degerdon - anti Tory, anti Brexit, pro EU","id":806168094624415700,"id_str":"806168094624415744","indices":[11,25]},{"screen_name":"affleckquine","name":"Kate","id":1023999750218100700,"id_str":"1023999750218100736","indices":[26,39]},{"screen_name":"UKLabour","name":"The Labour Party","id":14291684,"id_str":"14291684","indices":[40,49]}],"urls":[]}</t>
  </si>
  <si>
    <t>1521028626489257984</t>
  </si>
  <si>
    <t>ACrowdedPlanet</t>
  </si>
  <si>
    <t>@snb19692 In the fashion industry it's known as—
"The #RejoinEU #FBPE look."
#BrexitBritain #BrexitDisaster #BrexitReality #BrexitShambles #Brexit #BrexitLies #BrexitTruth #ProEU #FBproEU #FBPA #FBPPR #FBPR #FBPRR #Brexitbonus #BrexitCarnage #BrexitHasFailed #BrexitIsNotWorking #gammon https://t.co/oRUrwr7Wi8</t>
  </si>
  <si>
    <t>Mon May 02 07:27:38 +0000 2022</t>
  </si>
  <si>
    <t>2698422738</t>
  </si>
  <si>
    <t>snb19692</t>
  </si>
  <si>
    <t>832249908300230656</t>
  </si>
  <si>
    <t>1469782236035616771</t>
  </si>
  <si>
    <t>http://pbs.twimg.com/profile_images/876430608230166528/KFzjFfsZ_normal.jpg</t>
  </si>
  <si>
    <t>Locus of Inconvenient Truths</t>
  </si>
  <si>
    <t>http://twitter.com/ACrowdedPlanet/statuses/1521028626489257984</t>
  </si>
  <si>
    <t>{"hashtags":[{"text":"RejoinEU","indices":[55,64]},{"text":"FBPE","indices":[65,70]},{"text":"BrexitBritain","indices":[79,93]},{"text":"BrexitDisaster","indices":[94,109]},{"text":"BrexitReality","indices":[110,124]},{"text":"BrexitShambles","indices":[125,140]},{"text":"Brexit","indices":[141,148]},{"text":"BrexitLies","indices":[149,160]},{"text":"BrexitTruth","indices":[161,173]},{"text":"ProEU","indices":[174,180]},{"text":"FBproEU","indices":[181,189]},{"text":"FBPA","indices":[190,195]},{"text":"FBPPR","indices":[196,202]},{"text":"FBPR","indices":[203,208]},{"text":"FBPRR","indices":[209,215]},{"text":"Brexitbonus","indices":[216,228]},{"text":"BrexitCarnage","indices":[229,243]},{"text":"BrexitHasFailed","indices":[244,260]},{"text":"BrexitIsNotWorking","indices":[261,280]},{"text":"gammon","indices":[281,288]}],"symbols":[],"user_mentions":[{"screen_name":"snb19692","name":"Steve Bray Activist Against Brexit +Corrupt Tories","id":2698422738,"id_str":"2698422738","indices":[0,9]}],"urls":[],"media":[{"id":1521028624048132000,"id_str":"1521028624048132097","indices":[289,312],"media_url":"http://pbs.twimg.com/media/FRvHeY2XEAE5gyx.jpg","media_url_https":"https://pbs.twimg.com/media/FRvHeY2XEAE5gyx.jpg","url":"https://t.co/oRUrwr7Wi8","display_url":"pic.twitter.com/oRUrwr7Wi8","expanded_url":"https://twitter.com/ACrowdedPlanet/status/1521028626489257984/photo/1","type":"photo","sizes":{"thumb":{"w":150,"h":150,"resize":"crop"},"medium":{"w":900,"h":1200,"resize":"fit"},"small":{"w":510,"h":680,"resize":"fit"},"large":{"w":1080,"h":1440,"resize":"fit"}}}]}</t>
  </si>
  <si>
    <t>1521028594872561664</t>
  </si>
  <si>
    <t>thetakappa73</t>
  </si>
  <si>
    <t>Mon May 02 07:27:31 +0000 2022</t>
  </si>
  <si>
    <t>2221840593</t>
  </si>
  <si>
    <t>http://pbs.twimg.com/profile_images/1515102450381959176/5z5ifCGz_normal.jpg</t>
  </si>
  <si>
    <t xml:space="preserve">Scotland </t>
  </si>
  <si>
    <t>http://twitter.com/thetakappa73/statuses/1521028594872561664</t>
  </si>
  <si>
    <t>1521028556633133058</t>
  </si>
  <si>
    <t>angela44610707</t>
  </si>
  <si>
    <t>Mon May 02 07:27:21 +0000 2022</t>
  </si>
  <si>
    <t>1185477290869874689</t>
  </si>
  <si>
    <t>http://pbs.twimg.com/profile_images/1325120822458060801/Skm14rg0_normal.jpg</t>
  </si>
  <si>
    <t>http://twitter.com/angela44610707/statuses/1521028556633133058</t>
  </si>
  <si>
    <t>1521028513289154562</t>
  </si>
  <si>
    <t>fishface58</t>
  </si>
  <si>
    <t>Mon May 02 07:27:11 +0000 2022</t>
  </si>
  <si>
    <t>859990045</t>
  </si>
  <si>
    <t>http://pbs.twimg.com/profile_images/422411617452969986/WfHYNEPI_normal.jpeg</t>
  </si>
  <si>
    <t>Hull</t>
  </si>
  <si>
    <t>http://twitter.com/fishface58/statuses/1521028513289154562</t>
  </si>
  <si>
    <t>1521028506242670593</t>
  </si>
  <si>
    <t>EUtopean</t>
  </si>
  <si>
    <t>Mon May 02 07:27:09 +0000 2022</t>
  </si>
  <si>
    <t>753461283442323456</t>
  </si>
  <si>
    <t>http://pbs.twimg.com/profile_images/852045493202853893/2_sLx76n_normal.jpg</t>
  </si>
  <si>
    <t>Stoke Newington, Hackney</t>
  </si>
  <si>
    <t>http://twitter.com/EUtopean/statuses/1521028506242670593</t>
  </si>
  <si>
    <t>1521028450835914753</t>
  </si>
  <si>
    <t>WNethercott</t>
  </si>
  <si>
    <t>Accurate! Tory propaganda sheets instead of newspapers yet millions actually pay to buy them. Is it any wonder that criminal politicians get elected, #Brexit happens &amp;amp; real needs of the UK electorate are ignored in favour of tax breaks for the rich &amp;amp; turning away immigrants? https://t.co/LjrtXNBOBh</t>
  </si>
  <si>
    <t>Mon May 02 07:26:56 +0000 2022</t>
  </si>
  <si>
    <t>635238202</t>
  </si>
  <si>
    <t>http://pbs.twimg.com/profile_images/866903768377565185/UgkGZ6Bb_normal.jpg</t>
  </si>
  <si>
    <t>http://twitter.com/WNethercott/statuses/1521028450835914753</t>
  </si>
  <si>
    <t>{"hashtags":[{"text":"Brexit","indices":[150,157]}],"symbols":[],"user_mentions":[],"urls":[{"url":"https://t.co/LjrtXNBOBh","expanded_url":"https://twitter.com/RedJohnBounds/status/1520865096863526912","display_url":"twitter.com/RedJohnBounds/…","indices":[284,307]}]}</t>
  </si>
  <si>
    <t>1521028430665555970</t>
  </si>
  <si>
    <t>MutliRaceMan</t>
  </si>
  <si>
    <t>@davesumnersmith I hope not, but it is seeming much more likely. Unpicking the financial ties between Scotland, Wales, NI &amp;amp; England will be a thousand times more complicated than leaving EU which has been a disaster by any standards. As with #Brexit there will be no winners among ordinary people.</t>
  </si>
  <si>
    <t>Mon May 02 07:26:51 +0000 2022</t>
  </si>
  <si>
    <t>272683720</t>
  </si>
  <si>
    <t>http://pbs.twimg.com/profile_images/1497495479596290048/h7Sx2QTN_normal.jpg</t>
  </si>
  <si>
    <t>http://twitter.com/MutliRaceMan/statuses/1521028430665555970</t>
  </si>
  <si>
    <t>{"hashtags":[{"text":"Brexit","indices":[246,253]}],"symbols":[],"user_mentions":[{"screen_name":"davesumnersmith","name":"Dave Sumner Smith","id":13340732,"id_str":"13340732","indices":[0,16]}],"urls":[]}</t>
  </si>
  <si>
    <t>1521028381969629184</t>
  </si>
  <si>
    <t>Mon May 02 07:26:40 +0000 2022</t>
  </si>
  <si>
    <t>http://twitter.com/fiercetiger103/statuses/1521028381969629184</t>
  </si>
  <si>
    <t>1521028332057411584</t>
  </si>
  <si>
    <t>EMSouthCheshire</t>
  </si>
  <si>
    <t>Mon May 02 07:26:28 +0000 2022</t>
  </si>
  <si>
    <t>1024395565323497472</t>
  </si>
  <si>
    <t>http://pbs.twimg.com/profile_images/1024397459471122432/zUA9-eJg_normal.jpg</t>
  </si>
  <si>
    <t xml:space="preserve">South Cheshire, UK, Europe </t>
  </si>
  <si>
    <t>http://twitter.com/EMSouthCheshire/statuses/1521028332057411584</t>
  </si>
  <si>
    <t>1521028194152947714</t>
  </si>
  <si>
    <t>LucyBauduin</t>
  </si>
  <si>
    <t>Mon May 02 07:25:55 +0000 2022</t>
  </si>
  <si>
    <t>1507054044346519552</t>
  </si>
  <si>
    <t>http://pbs.twimg.com/profile_images/1507054220897366020/FoofqqkK_normal.jpg</t>
  </si>
  <si>
    <t>Bed</t>
  </si>
  <si>
    <t>http://twitter.com/LucyBauduin/statuses/1521028194152947714</t>
  </si>
  <si>
    <t>1521028174842322944</t>
  </si>
  <si>
    <t>roger_hash</t>
  </si>
  <si>
    <t>Mon May 02 07:25:50 +0000 2022</t>
  </si>
  <si>
    <t>1514188888918605824</t>
  </si>
  <si>
    <t>http://pbs.twimg.com/profile_images/1517479735772782592/xNVPg4jb_normal.jpg</t>
  </si>
  <si>
    <t>http://twitter.com/roger_hash/statuses/1521028174842322944</t>
  </si>
  <si>
    <t>1521028169112997889</t>
  </si>
  <si>
    <t>Hendrik_Senn</t>
  </si>
  <si>
    <t>Mon May 02 07:25:49 +0000 2022</t>
  </si>
  <si>
    <t>915569740818632706</t>
  </si>
  <si>
    <t>http://pbs.twimg.com/profile_images/1194230296486563840/iCQhr9fs_normal.jpg</t>
  </si>
  <si>
    <t>somewhere south of north</t>
  </si>
  <si>
    <t>http://twitter.com/Hendrik_Senn/statuses/1521028169112997889</t>
  </si>
  <si>
    <t>1521028088854986754</t>
  </si>
  <si>
    <t>DeeMadi54819377</t>
  </si>
  <si>
    <t>RT @AlasSmithJones: @AddictScrabble Agree! #BackBoris #TeamBoris #BorisTrain #NeverLabour #NeverLiebour #Conservatives #LabourHypocricy #LabourSleaze #LabourLies #CaptainHindsight #HypocriteStarmer #SmarmyStarmer #StarmerLies #ScumMedia #DefundTheBBC #Brexit #ResignStarmer #ResignRayner #SirBeerStarmer #DurhamGate</t>
  </si>
  <si>
    <t>Mon May 02 07:25:30 +0000 2022</t>
  </si>
  <si>
    <t>1370640976482607104</t>
  </si>
  <si>
    <t>http://pbs.twimg.com/profile_images/1492884235383939075/uI6Wz4lx_normal.jpg</t>
  </si>
  <si>
    <t>http://twitter.com/DeeMadi54819377/statuses/1521028088854986754</t>
  </si>
  <si>
    <t>{"hashtags":[{"text":"BackBoris","indices":[43,53]},{"text":"TeamBoris","indices":[54,64]},{"text":"BorisTrain","indices":[65,76]},{"text":"NeverLabour","indices":[77,89]},{"text":"NeverLiebour","indices":[90,103]},{"text":"Conservatives","indices":[104,118]},{"text":"LabourHypocricy","indices":[119,135]}],"symbols":[],"user_mentions":[{"screen_name":"AlasSmithJones","name":"David Partington #BackBoris #ResignSturgeon","id":1488899444087177200,"id_str":"1488899444087177216","indices":[3,18]},{"screen_name":"AddictScrabble","name":"Sandy. Conservative. Back Boris 🇬🇧 🇮🇱 🇺🇦","id":1149704408768364500,"id_str":"1149704408768364544","indices":[20,35]}],"urls":[]}</t>
  </si>
  <si>
    <t>1521028058010030081</t>
  </si>
  <si>
    <t>Mon May 02 07:25:23 +0000 2022</t>
  </si>
  <si>
    <t>http://twitter.com/SandraDunn1955/statuses/1521028058010030081</t>
  </si>
  <si>
    <t>1521028030109556736</t>
  </si>
  <si>
    <t>BellaBeeBeeMe</t>
  </si>
  <si>
    <t>Mon May 02 07:25:16 +0000 2022</t>
  </si>
  <si>
    <t>350438859</t>
  </si>
  <si>
    <t>http://pbs.twimg.com/profile_images/1431323649554927621/r4W8vDQk_normal.jpg</t>
  </si>
  <si>
    <t>South Bucks</t>
  </si>
  <si>
    <t>http://twitter.com/BellaBeeBeeMe/statuses/1521028030109556736</t>
  </si>
  <si>
    <t>1521028003811184640</t>
  </si>
  <si>
    <t>BritsAgainst</t>
  </si>
  <si>
    <t>Mon May 02 07:25:10 +0000 2022</t>
  </si>
  <si>
    <t>854406838586155008</t>
  </si>
  <si>
    <t>http://pbs.twimg.com/profile_images/854761881176870913/7_7sQqr1_normal.jpg</t>
  </si>
  <si>
    <t>UK😠 &amp; Austria-5630😁</t>
  </si>
  <si>
    <t>http://twitter.com/BritsAgainst/statuses/1521028003811184640</t>
  </si>
  <si>
    <t>1521027929605656576</t>
  </si>
  <si>
    <t>mad_cyclist</t>
  </si>
  <si>
    <t>Mon May 02 07:24:52 +0000 2022</t>
  </si>
  <si>
    <t>21095378</t>
  </si>
  <si>
    <t>http://pbs.twimg.com/profile_images/119950825/PennyFarthing_normal.jpg</t>
  </si>
  <si>
    <t>London, Europe</t>
  </si>
  <si>
    <t>http://twitter.com/mad_cyclist/statuses/1521027929605656576</t>
  </si>
  <si>
    <t>1521027813905776641</t>
  </si>
  <si>
    <t>meganthirlaway</t>
  </si>
  <si>
    <t>Mon May 02 07:24:24 +0000 2022</t>
  </si>
  <si>
    <t>1192888016</t>
  </si>
  <si>
    <t>http://pbs.twimg.com/profile_images/3273682265/ac078e9a791efb4a35f5fac81935a15e_normal.jpeg</t>
  </si>
  <si>
    <t>http://twitter.com/meganthirlaway/statuses/1521027813905776641</t>
  </si>
  <si>
    <t>1521027751456747521</t>
  </si>
  <si>
    <t>Mon May 02 07:24:09 +0000 2022</t>
  </si>
  <si>
    <t>http://twitter.com/GreenKnight60/statuses/1521027751456747521</t>
  </si>
  <si>
    <t>1521027731118563328</t>
  </si>
  <si>
    <t>Paultomlin8</t>
  </si>
  <si>
    <t>Mon May 02 07:24:05 +0000 2022</t>
  </si>
  <si>
    <t>4874471386</t>
  </si>
  <si>
    <t>http://pbs.twimg.com/profile_images/695161343402500097/SkvDI2cs_normal.jpg</t>
  </si>
  <si>
    <t>http://twitter.com/Paultomlin8/statuses/1521027731118563328</t>
  </si>
  <si>
    <t>1521027678291308546</t>
  </si>
  <si>
    <t>Nj99625368</t>
  </si>
  <si>
    <t>Dear @CatrionaLaing1 you spoke about respecting the will of people when they voted for #Brexit so why do you think that you can dictates for #Biafrans on what their choices should be. HYPOCRITES? OIL, Oil, Oil
#BiafraHeroesDay2022
#BiafraReferendumNow
 👇
https://t.co/wyER4lpADO</t>
  </si>
  <si>
    <t>Mon May 02 07:23:52 +0000 2022</t>
  </si>
  <si>
    <t>1246885891282354177</t>
  </si>
  <si>
    <t>http://pbs.twimg.com/profile_images/1477412611138465793/6PeqwAn4_normal.jpg</t>
  </si>
  <si>
    <t>Planet</t>
  </si>
  <si>
    <t>http://twitter.com/Nj99625368/statuses/1521027678291308546</t>
  </si>
  <si>
    <t>{"hashtags":[{"text":"Brexit","indices":[87,94]},{"text":"Biafrans","indices":[141,150]},{"text":"BiafraHeroesDay2022","indices":[211,231]},{"text":"BiafraReferendumNow","indices":[232,252]}],"symbols":[],"user_mentions":[{"screen_name":"CatrionaLaing1","name":"Catriona Laing","id":535088290,"id_str":"535088290","indices":[5,20]}],"urls":[{"url":"https://t.co/wyER4lpADO","expanded_url":"https://youtu.be/WeKBr6XiMbE","display_url":"youtu.be/WeKBr6XiMbE","indices":[256,279]}]}</t>
  </si>
  <si>
    <t>1521027540567183361</t>
  </si>
  <si>
    <t>Mon May 02 07:23:19 +0000 2022</t>
  </si>
  <si>
    <t>http://twitter.com/EMSouthCheshire/statuses/1521027540567183361</t>
  </si>
  <si>
    <t>1521027427979468801</t>
  </si>
  <si>
    <t>LadBrixton</t>
  </si>
  <si>
    <t>Mon May 02 07:22:52 +0000 2022</t>
  </si>
  <si>
    <t>3028833161</t>
  </si>
  <si>
    <t>http://pbs.twimg.com/profile_images/1015261462267420673/EBuJ0Uds_normal.jpg</t>
  </si>
  <si>
    <t>Lambeth, London</t>
  </si>
  <si>
    <t>http://twitter.com/LadBrixton/statuses/1521027427979468801</t>
  </si>
  <si>
    <t>1521027409721581568</t>
  </si>
  <si>
    <t>Ben63</t>
  </si>
  <si>
    <t>Mon May 02 07:22:48 +0000 2022</t>
  </si>
  <si>
    <t>15621075</t>
  </si>
  <si>
    <t>http://pbs.twimg.com/profile_images/1674080911/IMG_3082_normal.JPG</t>
  </si>
  <si>
    <t>iPhone: 53.836765,-1.935858</t>
  </si>
  <si>
    <t>http://twitter.com/Ben63/statuses/1521027409721581568</t>
  </si>
  <si>
    <t>1521027361331949569</t>
  </si>
  <si>
    <t>PGuppy</t>
  </si>
  <si>
    <t>#bbcbrexit doing a bit about HRT medication shortage without mentioning #Brexit</t>
  </si>
  <si>
    <t>Mon May 02 07:22:36 +0000 2022</t>
  </si>
  <si>
    <t>561368563</t>
  </si>
  <si>
    <t>http://pbs.twimg.com/profile_images/956960106104676354/tVZWza17_normal.jpg</t>
  </si>
  <si>
    <t>Braintree, East</t>
  </si>
  <si>
    <t>http://twitter.com/PGuppy/statuses/1521027361331949569</t>
  </si>
  <si>
    <t>{"hashtags":[{"text":"bbcbrexit","indices":[0,10]},{"text":"Brexit","indices":[72,79]}],"symbols":[],"user_mentions":[],"urls":[]}</t>
  </si>
  <si>
    <t>1521027279832420352</t>
  </si>
  <si>
    <t>YvonnecWhelan</t>
  </si>
  <si>
    <t>Mon May 02 07:22:17 +0000 2022</t>
  </si>
  <si>
    <t>214528302</t>
  </si>
  <si>
    <t>http://pbs.twimg.com/profile_images/1269381814797447169/LeoStJaN_normal.jpg</t>
  </si>
  <si>
    <t xml:space="preserve">linkedin link here </t>
  </si>
  <si>
    <t>http://twitter.com/YvonnecWhelan/statuses/1521027279832420352</t>
  </si>
  <si>
    <t>1521027248408641537</t>
  </si>
  <si>
    <t>NYLonGirl</t>
  </si>
  <si>
    <t>Mon May 02 07:22:09 +0000 2022</t>
  </si>
  <si>
    <t>22387682</t>
  </si>
  <si>
    <t>http://pbs.twimg.com/profile_images/1497819662515687424/pw1TAgU8_normal.jpg</t>
  </si>
  <si>
    <t>London, when not in New York.</t>
  </si>
  <si>
    <t>http://twitter.com/NYLonGirl/statuses/1521027248408641537</t>
  </si>
  <si>
    <t>1521027188304265217</t>
  </si>
  <si>
    <t>ExasperatedTory</t>
  </si>
  <si>
    <t>Mon May 02 07:21:55 +0000 2022</t>
  </si>
  <si>
    <t>765494949886488578</t>
  </si>
  <si>
    <t>http://pbs.twimg.com/profile_images/1328192899276820481/kJRCPYQq_normal.jpg</t>
  </si>
  <si>
    <t>UK now BUT NOT FOREVER!!!!</t>
  </si>
  <si>
    <t>http://twitter.com/ExasperatedTory/statuses/1521027188304265217</t>
  </si>
  <si>
    <t>1521027160563015680</t>
  </si>
  <si>
    <t>TheLoganIndia</t>
  </si>
  <si>
    <t>RT @anonHaak: Who are you?
Are you responsible for the Loot of Indian tax payers by giving illegal housing in lieu of fake VoterIDs to illegal migrants
then giving special aid to the world's largest Muslim population to secure those fake VoterIDs
This is WHY #BREXIT 
#HindusUnderAttackInIndia https://t.co/Js25eugWvW</t>
  </si>
  <si>
    <t>Mon May 02 07:21:49 +0000 2022</t>
  </si>
  <si>
    <t>2914906490</t>
  </si>
  <si>
    <t>http://pbs.twimg.com/profile_images/1518933263544307712/0wTQ63J3_normal.jpg</t>
  </si>
  <si>
    <t>आर्यावर्त</t>
  </si>
  <si>
    <t>http://twitter.com/TheLoganIndia/statuses/1521027160563015680</t>
  </si>
  <si>
    <t>{"hashtags":[],"symbols":[],"user_mentions":[{"screen_name":"anonHaak","name":"NeverForget 🇮🇳🇺🇲🇯🇵🇮🇱🇷🇺","id":63655381,"id_str":"63655381","indices":[3,12]}],"urls":[]}</t>
  </si>
  <si>
    <t>1521027097505849344</t>
  </si>
  <si>
    <t>enya92037321</t>
  </si>
  <si>
    <t>Kindly join our whatsapp group to get free live signals in bitcoin..
https://t.co/CNHxJc3UAE
#MarkZuckerberg #cryptocurrecy #Bitcoin #SAFEMOON #Cardano #Brexit #Japan #Apple #Dogecoin
#ForexPoland #ForexDenmark #ForexSpain #ForexCroatia #ForexSwitzerland #ForexBelgium #Forex https://t.co/VXPPVMj6ff</t>
  </si>
  <si>
    <t>Mon May 02 07:21:34 +0000 2022</t>
  </si>
  <si>
    <t>1452553109578792961</t>
  </si>
  <si>
    <t>http://pbs.twimg.com/profile_images/1520004580255612928/B9CNn_z8_normal.jpg</t>
  </si>
  <si>
    <t>singapore</t>
  </si>
  <si>
    <t>http://twitter.com/enya92037321/statuses/1521027097505849344</t>
  </si>
  <si>
    <t>{"hashtags":[{"text":"MarkZuckerberg","indices":[95,110]},{"text":"cryptocurrecy","indices":[111,125]},{"text":"Bitcoin","indices":[126,134]},{"text":"SAFEMOON","indices":[135,144]},{"text":"Cardano","indices":[145,153]},{"text":"Brexit","indices":[154,161]},{"text":"Japan","indices":[162,168]},{"text":"Apple","indices":[169,175]},{"text":"Dogecoin","indices":[176,185]},{"text":"ForexPoland","indices":[186,198]},{"text":"ForexDenmark","indices":[199,212]},{"text":"ForexSpain","indices":[213,224]},{"text":"ForexCroatia","indices":[225,238]},{"text":"ForexSwitzerland","indices":[239,256]},{"text":"ForexBelgium","indices":[257,270]},{"text":"Forex","indices":[271,277]}],"symbols":[],"user_mentions":[],"urls":[{"url":"https://t.co/CNHxJc3UAE","expanded_url":"https://chat.whatsapp.com/GNrWn9o7v18BzMZUGPlIVC","display_url":"chat.whatsapp.com/GNrWn9o7v18BzM…","indices":[70,93]}],"media":[{"id":1521027056137834500,"id_str":"1521027056137834496","indices":[278,301],"media_url":"http://pbs.twimg.com/media/FRvGDH7akAAggQd.jpg","media_url_https":"https://pbs.twimg.com/media/FRvGDH7akAAggQd.jpg","url":"https://t.co/VXPPVMj6ff","display_url":"pic.twitter.com/VXPPVMj6ff","expanded_url":"https://twitter.com/enya92037321/status/1521027097505849344/photo/1","type":"photo","sizes":{"thumb":{"w":150,"h":150,"resize":"crop"},"medium":{"w":1080,"h":1080,"resize":"fit"},"large":{"w":1080,"h":1080,"resize":"fit"},"small":{"w":680,"h":680,"resize":"fit"}}}]}</t>
  </si>
  <si>
    <t>1521027034083909632</t>
  </si>
  <si>
    <t>spaghjunc</t>
  </si>
  <si>
    <t>#Brexit is a failure. #BorisJohnson is a failure. The English Nationalist #Tory Party are a failure. What have these people done to improve our lives? They are self-serving. They and the right-wing sewer press should be seen as the enemy of truth and decency in public life. https://t.co/MK1USw3O44</t>
  </si>
  <si>
    <t>Mon May 02 07:21:18 +0000 2022</t>
  </si>
  <si>
    <t>3911904197</t>
  </si>
  <si>
    <t>http://pbs.twimg.com/profile_images/753990939690033152/QMEAMj8t_normal.jpg</t>
  </si>
  <si>
    <t>http://twitter.com/spaghjunc/statuses/1521027034083909632</t>
  </si>
  <si>
    <t>{"hashtags":[{"text":"Brexit","indices":[0,7]},{"text":"BorisJohnson","indices":[22,35]},{"text":"Tory","indices":[74,79]}],"symbols":[],"user_mentions":[],"urls":[{"url":"https://t.co/MK1USw3O44","expanded_url":"https://twitter.com/bmay/status/1520819373048479751","display_url":"twitter.com/bmay/status/15…","indices":[275,298]}]}</t>
  </si>
  <si>
    <t>1521027001619992576</t>
  </si>
  <si>
    <t>WNB50</t>
  </si>
  <si>
    <t>Mon May 02 07:21:11 +0000 2022</t>
  </si>
  <si>
    <t>465875146</t>
  </si>
  <si>
    <t>bristol uk</t>
  </si>
  <si>
    <t>http://twitter.com/WNB50/statuses/1521027001619992576</t>
  </si>
  <si>
    <t>1521026985060876288</t>
  </si>
  <si>
    <t>jdportes</t>
  </si>
  <si>
    <t>Mon May 02 07:21:07 +0000 2022</t>
  </si>
  <si>
    <t>246459126</t>
  </si>
  <si>
    <t>http://pbs.twimg.com/profile_images/1132064597693870080/JlGuTeQt_normal.png</t>
  </si>
  <si>
    <t>http://twitter.com/jdportes/statuses/1521026985060876288</t>
  </si>
  <si>
    <t>1521026972977147904</t>
  </si>
  <si>
    <t>bethgwen</t>
  </si>
  <si>
    <t>Mon May 02 07:21:04 +0000 2022</t>
  </si>
  <si>
    <t>58853105</t>
  </si>
  <si>
    <t>http://pbs.twimg.com/profile_images/1650805942/Me3_normal.png</t>
  </si>
  <si>
    <t>Gweriniaeth Cymru</t>
  </si>
  <si>
    <t>http://twitter.com/bethgwen/statuses/1521026972977147904</t>
  </si>
  <si>
    <t>1521026961086337024</t>
  </si>
  <si>
    <t>AlportTaylor</t>
  </si>
  <si>
    <t>Mon May 02 07:21:01 +0000 2022</t>
  </si>
  <si>
    <t>1045632943656509440</t>
  </si>
  <si>
    <t>http://pbs.twimg.com/profile_images/1060223656847200258/v-Zx2YnM_normal.jpg</t>
  </si>
  <si>
    <t>http://twitter.com/AlportTaylor/statuses/1521026961086337024</t>
  </si>
  <si>
    <t>1521026956808044545</t>
  </si>
  <si>
    <t>ABsworld5</t>
  </si>
  <si>
    <t>Mon May 02 07:21:00 +0000 2022</t>
  </si>
  <si>
    <t>1260892011021950976</t>
  </si>
  <si>
    <t>http://pbs.twimg.com/profile_images/1345821799997702151/t-4cg2Tg_normal.jpg</t>
  </si>
  <si>
    <t>http://twitter.com/ABsworld5/statuses/1521026956808044545</t>
  </si>
  <si>
    <t>1521026915464847361</t>
  </si>
  <si>
    <t>barbara_farneti</t>
  </si>
  <si>
    <t>Mon May 02 07:20:50 +0000 2022</t>
  </si>
  <si>
    <t>746685777204154368</t>
  </si>
  <si>
    <t>http://twitter.com/barbara_farneti/statuses/1521026915464847361</t>
  </si>
  <si>
    <t>1521026865879732226</t>
  </si>
  <si>
    <t>MarkC33548991</t>
  </si>
  <si>
    <t>Mon May 02 07:20:38 +0000 2022</t>
  </si>
  <si>
    <t>1259831639045267458</t>
  </si>
  <si>
    <t>http://pbs.twimg.com/profile_images/1259832923106299904/4fahHtVO_normal.jpg</t>
  </si>
  <si>
    <t>http://twitter.com/MarkC33548991/statuses/1521026865879732226</t>
  </si>
  <si>
    <t>1521026820082077696</t>
  </si>
  <si>
    <t>Yvonne49788239</t>
  </si>
  <si>
    <t>Mon May 02 07:20:27 +0000 2022</t>
  </si>
  <si>
    <t>1287135082042535937</t>
  </si>
  <si>
    <t>http://pbs.twimg.com/profile_images/1349638371027648516/O4lJEuOI_normal.jpg</t>
  </si>
  <si>
    <t>http://twitter.com/Yvonne49788239/statuses/1521026820082077696</t>
  </si>
  <si>
    <t>1521026785831526400</t>
  </si>
  <si>
    <t>annacandr</t>
  </si>
  <si>
    <t>Mon May 02 07:20:19 +0000 2022</t>
  </si>
  <si>
    <t>1486033727671181317</t>
  </si>
  <si>
    <t>http://pbs.twimg.com/profile_images/1486034050045337609/UKcvExOC_normal.png</t>
  </si>
  <si>
    <t>http://twitter.com/annacandr/statuses/1521026785831526400</t>
  </si>
  <si>
    <t>1521026778428551168</t>
  </si>
  <si>
    <t>Northern21a</t>
  </si>
  <si>
    <t>Mon May 02 07:20:17 +0000 2022</t>
  </si>
  <si>
    <t>3122077463</t>
  </si>
  <si>
    <t>http://pbs.twimg.com/profile_images/584637324929138688/wWCJhfOk_normal.jpg</t>
  </si>
  <si>
    <t>http://twitter.com/Northern21a/statuses/1521026778428551168</t>
  </si>
  <si>
    <t>1521026713144147970</t>
  </si>
  <si>
    <t>Gcw25Wood</t>
  </si>
  <si>
    <t>Mon May 02 07:20:02 +0000 2022</t>
  </si>
  <si>
    <t>3369656146</t>
  </si>
  <si>
    <t>http://pbs.twimg.com/profile_images/619600466759041025/xtg_1NP1_normal.jpg</t>
  </si>
  <si>
    <t>http://twitter.com/Gcw25Wood/statuses/1521026713144147970</t>
  </si>
  <si>
    <t>1521026710250172416</t>
  </si>
  <si>
    <t>giselle97</t>
  </si>
  <si>
    <t>Mon May 02 07:20:01 +0000 2022</t>
  </si>
  <si>
    <t>30700854</t>
  </si>
  <si>
    <t>http://pbs.twimg.com/profile_images/1341211966690521090/IwCyQj4o_normal.png</t>
  </si>
  <si>
    <t>England for now.</t>
  </si>
  <si>
    <t>http://twitter.com/giselle97/statuses/1521026710250172416</t>
  </si>
  <si>
    <t>1521026707372793857</t>
  </si>
  <si>
    <t>8enoit</t>
  </si>
  <si>
    <t>RT @yokko_mars: Lorsque Thierry Breton, interrogé sur le choix d'une entreprise UK pour gérer les communication confidentielles des nations européennes, 
nous donne l'impression de nous prendre pour des sous-cons...
#bt #UE #Brexit https://t.co/8MEa1T3sNC</t>
  </si>
  <si>
    <t>436733030</t>
  </si>
  <si>
    <t>http://pbs.twimg.com/profile_images/2048170491/image_normal.jpg</t>
  </si>
  <si>
    <t>Absurdie (Belgique)</t>
  </si>
  <si>
    <t>http://twitter.com/8enoit/statuses/1521026707372793857</t>
  </si>
  <si>
    <t>{"hashtags":[],"symbols":[],"user_mentions":[{"screen_name":"yokko_mars","name":"❇ Waï Notes ...","id":2172898651,"id_str":"2172898651","indices":[3,14]}],"urls":[]}</t>
  </si>
  <si>
    <t>1521026689303724032</t>
  </si>
  <si>
    <t>RT @NH4Europe: Taking back control in #BrexitBritain: government plan to drop #Brexit import controls will disadvantage UK farmers and cost the tax-payer tens of billions. #BrexitReality #BrexitBreaksBritain #BrexitIsntWorking #BrexitShambles #BrexitDisaster
https://t.co/FeIvNCSljJ</t>
  </si>
  <si>
    <t>Mon May 02 07:19:56 +0000 2022</t>
  </si>
  <si>
    <t>http://twitter.com/sarahhw65/statuses/1521026689303724032</t>
  </si>
  <si>
    <t>{"hashtags":[{"text":"BrexitBritain","indices":[38,52]},{"text":"Brexit","indices":[78,85]}],"symbols":[],"user_mentions":[{"screen_name":"NH4Europe","name":"North Herts for Europe #FBPE 🇬🇧🇪🇺🇺🇦","id":1106128820816490500,"id_str":"1106128820816490496","indices":[3,13]}],"urls":[]}</t>
  </si>
  <si>
    <t>1521026688842444800</t>
  </si>
  <si>
    <t>mark0nline</t>
  </si>
  <si>
    <t>104527370</t>
  </si>
  <si>
    <t>http://pbs.twimg.com/profile_images/1497135168842309632/MNGGUpvs_normal.jpg</t>
  </si>
  <si>
    <t>http://twitter.com/mark0nline/statuses/1521026688842444800</t>
  </si>
  <si>
    <t>1521026678465736704</t>
  </si>
  <si>
    <t>salmehta</t>
  </si>
  <si>
    <t>Mon May 02 07:19:54 +0000 2022</t>
  </si>
  <si>
    <t>494956867</t>
  </si>
  <si>
    <t>http://pbs.twimg.com/profile_images/2840321354/75b8a9ddd61b3a1074a629d8c29f3004_normal.jpeg</t>
  </si>
  <si>
    <t>http://twitter.com/salmehta/statuses/1521026678465736704</t>
  </si>
  <si>
    <t>1521026665719209985</t>
  </si>
  <si>
    <t>Mon May 02 07:19:51 +0000 2022</t>
  </si>
  <si>
    <t>http://twitter.com/MarkC33548991/statuses/1521026665719209985</t>
  </si>
  <si>
    <t>1521026657347379200</t>
  </si>
  <si>
    <t>Mon May 02 07:19:49 +0000 2022</t>
  </si>
  <si>
    <t>http://twitter.com/MarkC33548991/statuses/1521026657347379200</t>
  </si>
  <si>
    <t>1521026648056942593</t>
  </si>
  <si>
    <t>Richard54119983</t>
  </si>
  <si>
    <t>Mon May 02 07:19:46 +0000 2022</t>
  </si>
  <si>
    <t>1380779174122651648</t>
  </si>
  <si>
    <t>http://twitter.com/Richard54119983/statuses/1521026648056942593</t>
  </si>
  <si>
    <t>1521026643241971712</t>
  </si>
  <si>
    <t>IanRadcliffe4</t>
  </si>
  <si>
    <t>Mon May 02 07:19:45 +0000 2022</t>
  </si>
  <si>
    <t>733964733376782336</t>
  </si>
  <si>
    <t>http://pbs.twimg.com/profile_images/864207708894920704/3R9ocGZg_normal.jpg</t>
  </si>
  <si>
    <t>Tervuren, België</t>
  </si>
  <si>
    <t>http://twitter.com/IanRadcliffe4/statuses/1521026643241971712</t>
  </si>
  <si>
    <t>1521026635952181248</t>
  </si>
  <si>
    <t>steviemcbride</t>
  </si>
  <si>
    <t>Mon May 02 07:19:43 +0000 2022</t>
  </si>
  <si>
    <t>453042051</t>
  </si>
  <si>
    <t>http://pbs.twimg.com/profile_images/1076548224549376000/Y03n2uO4_normal.jpg</t>
  </si>
  <si>
    <t>http://twitter.com/steviemcbride/statuses/1521026635952181248</t>
  </si>
  <si>
    <t>1521026582068011009</t>
  </si>
  <si>
    <t>Mon May 02 07:19:31 +0000 2022</t>
  </si>
  <si>
    <t>http://twitter.com/SandraDunn1955/statuses/1521026582068011009</t>
  </si>
  <si>
    <t>1521026579983388672</t>
  </si>
  <si>
    <t>LindsayStronaba</t>
  </si>
  <si>
    <t>Mon May 02 07:19:30 +0000 2022</t>
  </si>
  <si>
    <t>1347917610256633860</t>
  </si>
  <si>
    <t>http://pbs.twimg.com/profile_images/1347935052332752897/aibUd5s__normal.jpg</t>
  </si>
  <si>
    <t>http://twitter.com/LindsayStronaba/statuses/1521026579983388672</t>
  </si>
  <si>
    <t>1521026574837063684</t>
  </si>
  <si>
    <t>lawrenceglyn70</t>
  </si>
  <si>
    <t>Mon May 02 07:19:29 +0000 2022</t>
  </si>
  <si>
    <t>1488247770628640783</t>
  </si>
  <si>
    <t>http://pbs.twimg.com/profile_images/1517154689007071241/g66k2jfI_normal.jpg</t>
  </si>
  <si>
    <t>Swansea, Wales</t>
  </si>
  <si>
    <t>http://twitter.com/lawrenceglyn70/statuses/1521026574837063684</t>
  </si>
  <si>
    <t>1521026565106282497</t>
  </si>
  <si>
    <t>JuliaHMuir</t>
  </si>
  <si>
    <t>RT @SilverstonePod: Chris Broome talks to @JuliaHMuir of UK @Auto30Club, in this #CovidCatchUp #podcast. 
They discuss gender &amp;amp; #diversity equality in the #automotive industry; #Inspiration4Innovation &amp;amp; #Brexit. 
And what’s this about a new book? 🎧☕ https://t.co/Bk2MWxLT40
#genderequality</t>
  </si>
  <si>
    <t>Mon May 02 07:19:27 +0000 2022</t>
  </si>
  <si>
    <t>2219876671</t>
  </si>
  <si>
    <t>http://pbs.twimg.com/profile_images/843914212770566145/fVKtH5n0_normal.jpg</t>
  </si>
  <si>
    <t>Sheffield and London</t>
  </si>
  <si>
    <t>http://twitter.com/JuliaHMuir/statuses/1521026565106282497</t>
  </si>
  <si>
    <t>{"hashtags":[{"text":"CovidCatchUp","indices":[81,94]},{"text":"podcast","indices":[95,103]},{"text":"diversity","indices":[133,143]}],"symbols":[],"user_mentions":[{"screen_name":"SilverstonePod","name":"Inside Silverstone Podcast 🏎💨","id":1017510576417902600,"id_str":"1017510576417902592","indices":[3,18]},{"screen_name":"JuliaHMuir","name":"Julia Muir","id":2219876671,"id_str":"2219876671","indices":[42,53]},{"screen_name":"Auto30Club","name":"Automotive 30% Club","id":817273917211574300,"id_str":"817273917211574272","indices":[60,71]}],"urls":[]}</t>
  </si>
  <si>
    <t>1521026474911965187</t>
  </si>
  <si>
    <t>peterbentley34</t>
  </si>
  <si>
    <t>Mon May 02 07:19:05 +0000 2022</t>
  </si>
  <si>
    <t>3025255775</t>
  </si>
  <si>
    <t>http://pbs.twimg.com/profile_images/564514469259538434/Ftq6Y4Cd_normal.jpeg</t>
  </si>
  <si>
    <t>Manchester</t>
  </si>
  <si>
    <t>http://twitter.com/peterbentley34/statuses/1521026474911965187</t>
  </si>
  <si>
    <t>1521026333098356737</t>
  </si>
  <si>
    <t>scienceorgod</t>
  </si>
  <si>
    <t>Mon May 02 07:18:31 +0000 2022</t>
  </si>
  <si>
    <t>759892186229985280</t>
  </si>
  <si>
    <t>http://pbs.twimg.com/profile_images/1471148212488708106/D-TJDf_G_normal.jpg</t>
  </si>
  <si>
    <t>http://twitter.com/scienceorgod/statuses/1521026333098356737</t>
  </si>
  <si>
    <t>1521026292187025409</t>
  </si>
  <si>
    <t>jennynorthern21</t>
  </si>
  <si>
    <t>Mon May 02 07:18:22 +0000 2022</t>
  </si>
  <si>
    <t>1729111249</t>
  </si>
  <si>
    <t>http://pbs.twimg.com/profile_images/1346900466593124357/sF_MiBvL_normal.jpg</t>
  </si>
  <si>
    <t>http://twitter.com/jennynorthern21/statuses/1521026292187025409</t>
  </si>
  <si>
    <t>1521026289028767744</t>
  </si>
  <si>
    <t>cmurphymurray</t>
  </si>
  <si>
    <t>Mon May 02 07:18:21 +0000 2022</t>
  </si>
  <si>
    <t>1527283538</t>
  </si>
  <si>
    <t>http://pbs.twimg.com/profile_images/378800000011986895/6bcaeddf55c23578d7ba157d666d63f7_normal.jpeg</t>
  </si>
  <si>
    <t>http://twitter.com/cmurphymurray/statuses/1521026289028767744</t>
  </si>
  <si>
    <t>1521026281953009664</t>
  </si>
  <si>
    <t>JennyJones1313</t>
  </si>
  <si>
    <t>Mon May 02 07:18:19 +0000 2022</t>
  </si>
  <si>
    <t>857604230496038912</t>
  </si>
  <si>
    <t>http://pbs.twimg.com/profile_images/1228835772998078466/3I0syXoS_normal.jpg</t>
  </si>
  <si>
    <t>http://twitter.com/JennyJones1313/statuses/1521026281953009664</t>
  </si>
  <si>
    <t>1521026277221806080</t>
  </si>
  <si>
    <t>Goldtwatter</t>
  </si>
  <si>
    <t>RT @Goldtwatter: @4verse @castevisa @KacperPlazynski @guyverhofstadt Germany should join us in the new #Neuro area. Liberty represented. #decentralisation #Nexit #Brexit #Dexit https://t.co/zh0HobPBz2</t>
  </si>
  <si>
    <t>Mon May 02 07:18:18 +0000 2022</t>
  </si>
  <si>
    <t>20675363</t>
  </si>
  <si>
    <t>http://pbs.twimg.com/profile_images/1165594621/Andries_de_Graeff_buste2_normal.jpg</t>
  </si>
  <si>
    <t>Netherlands</t>
  </si>
  <si>
    <t>http://twitter.com/Goldtwatter/statuses/1521026277221806080</t>
  </si>
  <si>
    <t>{"hashtags":[{"text":"Neuro","indices":[103,109]}],"symbols":[],"user_mentions":[{"screen_name":"Goldtwatter","name":"Goldtwatter 🇳🇱","id":20675363,"id_str":"20675363","indices":[3,15]},{"screen_name":"4verse","name":"Rudolf Steinhocker","id":109636291,"id_str":"109636291","indices":[17,24]},{"screen_name":"castevisa","name":"Simone Castellano Visaggi","id":3288684484,"id_str":"3288684484","indices":[25,35]},{"screen_name":"KacperPlazynski","name":"Kacper Płażyński","id":1625407788,"id_str":"1625407788","indices":[36,52]},{"screen_name":"guyverhofstadt","name":"Guy Verhofstadt","id":856010760,"id_str":"856010760","indices":[53,68]}],"urls":[]}</t>
  </si>
  <si>
    <t>1521026242992091137</t>
  </si>
  <si>
    <t>Mon May 02 07:18:10 +0000 2022</t>
  </si>
  <si>
    <t>http://twitter.com/JennyJones1313/statuses/1521026242992091137</t>
  </si>
  <si>
    <t>1521026238374191111</t>
  </si>
  <si>
    <t>Mon May 02 07:18:09 +0000 2022</t>
  </si>
  <si>
    <t>http://twitter.com/cmurphymurray/statuses/1521026238374191111</t>
  </si>
  <si>
    <t>1521026226802016256</t>
  </si>
  <si>
    <t>roblwilson</t>
  </si>
  <si>
    <t>Mon May 02 07:18:06 +0000 2022</t>
  </si>
  <si>
    <t>347810094</t>
  </si>
  <si>
    <t>http://pbs.twimg.com/profile_images/1570808713/brigha8_normal.jpg</t>
  </si>
  <si>
    <t>http://twitter.com/roblwilson/statuses/1521026226802016256</t>
  </si>
  <si>
    <t>1521026221198528512</t>
  </si>
  <si>
    <t>martarossi56</t>
  </si>
  <si>
    <t>Mon May 02 07:18:05 +0000 2022</t>
  </si>
  <si>
    <t>928353961945518080</t>
  </si>
  <si>
    <t>http://pbs.twimg.com/profile_images/1413379349458399232/WED3JtyT_normal.jpg</t>
  </si>
  <si>
    <t xml:space="preserve">Europe </t>
  </si>
  <si>
    <t>http://twitter.com/martarossi56/statuses/1521026221198528512</t>
  </si>
  <si>
    <t>1521026198402478080</t>
  </si>
  <si>
    <t>BrettPmbrett</t>
  </si>
  <si>
    <t>Mon May 02 07:17:59 +0000 2022</t>
  </si>
  <si>
    <t>2591387682</t>
  </si>
  <si>
    <t>http://twitter.com/BrettPmbrett/statuses/1521026198402478080</t>
  </si>
  <si>
    <t>1521026148620189696</t>
  </si>
  <si>
    <t>tobymutz101</t>
  </si>
  <si>
    <t>Mon May 02 07:17:47 +0000 2022</t>
  </si>
  <si>
    <t>326784779</t>
  </si>
  <si>
    <t>http://pbs.twimg.com/profile_images/1513366778/Image019_normal.jpg</t>
  </si>
  <si>
    <t>http://twitter.com/tobymutz101/statuses/1521026148620189696</t>
  </si>
  <si>
    <t>1521026119759278082</t>
  </si>
  <si>
    <t>LupacchiottoDog</t>
  </si>
  <si>
    <t>Mon May 02 07:17:40 +0000 2022</t>
  </si>
  <si>
    <t>2663299916</t>
  </si>
  <si>
    <t>http://pbs.twimg.com/profile_images/560587259318386689/V_M8UGUs_normal.jpeg</t>
  </si>
  <si>
    <t>Sitting in the freezer</t>
  </si>
  <si>
    <t>http://twitter.com/LupacchiottoDog/statuses/1521026119759278082</t>
  </si>
  <si>
    <t>1521026114168266759</t>
  </si>
  <si>
    <t>Mon May 02 07:17:39 +0000 2022</t>
  </si>
  <si>
    <t>http://twitter.com/martarossi56/statuses/1521026114168266759</t>
  </si>
  <si>
    <t>1521026103476953088</t>
  </si>
  <si>
    <t>Mon May 02 07:17:37 +0000 2022</t>
  </si>
  <si>
    <t>http://twitter.com/martarossi56/statuses/1521026103476953088</t>
  </si>
  <si>
    <t>1521026083302297600</t>
  </si>
  <si>
    <t>Mon May 02 07:17:32 +0000 2022</t>
  </si>
  <si>
    <t>http://twitter.com/cmurphymurray/statuses/1521026083302297600</t>
  </si>
  <si>
    <t>1521026055942901769</t>
  </si>
  <si>
    <t>katieB45611594</t>
  </si>
  <si>
    <t>Mon May 02 07:17:25 +0000 2022</t>
  </si>
  <si>
    <t>1471594689925111813</t>
  </si>
  <si>
    <t>http://pbs.twimg.com/profile_images/1506363727255416832/Md8RuYWS_normal.jpg</t>
  </si>
  <si>
    <t>http://twitter.com/katieB45611594/statuses/1521026055942901769</t>
  </si>
  <si>
    <t>1521026003350532097</t>
  </si>
  <si>
    <t>KaitDuerden</t>
  </si>
  <si>
    <t>Mon May 02 07:17:13 +0000 2022</t>
  </si>
  <si>
    <t>925050776950538240</t>
  </si>
  <si>
    <t>http://pbs.twimg.com/profile_images/1430295606401118209/UqcCUU0N_normal.jpg</t>
  </si>
  <si>
    <t>http://twitter.com/KaitDuerden/statuses/1521026003350532097</t>
  </si>
  <si>
    <t>1521025980122476544</t>
  </si>
  <si>
    <t>youngmullers</t>
  </si>
  <si>
    <t>Mon May 02 07:17:07 +0000 2022</t>
  </si>
  <si>
    <t>268400200</t>
  </si>
  <si>
    <t>http://pbs.twimg.com/profile_images/1519029091831357442/RYwHKoJC_normal.jpg</t>
  </si>
  <si>
    <t>http://twitter.com/youngmullers/statuses/1521025980122476544</t>
  </si>
  <si>
    <t>1521025961902411776</t>
  </si>
  <si>
    <t>JustineH0213</t>
  </si>
  <si>
    <t>Mon May 02 07:17:03 +0000 2022</t>
  </si>
  <si>
    <t>4128123322</t>
  </si>
  <si>
    <t>http://pbs.twimg.com/profile_images/662673222320656384/uUmlXDhH_normal.jpg</t>
  </si>
  <si>
    <t>http://twitter.com/JustineH0213/statuses/1521025961902411776</t>
  </si>
  <si>
    <t>1521025893166108673</t>
  </si>
  <si>
    <t>NewroUgh</t>
  </si>
  <si>
    <t>@scrollsant @henrymance @JMPSimor So far #Brexit has been great for City Banks trading in USD. Further deregulation has done wonders for profit margins there.
Pretty devastating for exporting industry. Worse than expected actually.
And the worst still to come for consumers 
https://t.co/gtrCSFWUJZ</t>
  </si>
  <si>
    <t>Mon May 02 07:16:46 +0000 2022</t>
  </si>
  <si>
    <t>1475624398803591175</t>
  </si>
  <si>
    <t>scrollsant</t>
  </si>
  <si>
    <t>36909543</t>
  </si>
  <si>
    <t>1520816674907250690</t>
  </si>
  <si>
    <t>http://pbs.twimg.com/profile_images/810470790323990528/FxTbCUDp_normal.jpg</t>
  </si>
  <si>
    <t>http://twitter.com/NewroUgh/statuses/1521025893166108673</t>
  </si>
  <si>
    <t>{"hashtags":[{"text":"Brexit","indices":[41,48]}],"symbols":[],"user_mentions":[{"screen_name":"scrollsant","name":"p","id":1475624398803591200,"id_str":"1475624398803591175","indices":[0,11]},{"screen_name":"henrymance","name":"Henry Mance","id":137295176,"id_str":"137295176","indices":[12,23]},{"screen_name":"JMPSimor","name":"Jessica Simor QC","id":864030687120281600,"id_str":"864030687120281602","indices":[24,33]}],"urls":[{"url":"https://t.co/gtrCSFWUJZ","expanded_url":"https://www.getreadyforbrexit.eu/","display_url":"getreadyforbrexit.eu","indices":[277,300]}]}</t>
  </si>
  <si>
    <t>1521025845544038400</t>
  </si>
  <si>
    <t>ToucheAdrian</t>
  </si>
  <si>
    <t>@steve_hawkes @Keir_Starmer tried to thwart #Brexit 40+ times
@YvetteCooperMP @DavidLammy clear Remainers in his cabinet amongst others
@UKLabour @LibDems pact shows direction of travel
Vote for either in GE, you want RE-Join
@MartinDaubney @GBNEWS @GMB @BBCBreakfast @piersmorgan @IainDale</t>
  </si>
  <si>
    <t>Mon May 02 07:16:35 +0000 2022</t>
  </si>
  <si>
    <t>41394240</t>
  </si>
  <si>
    <t>steve_hawkes</t>
  </si>
  <si>
    <t>3399193727</t>
  </si>
  <si>
    <t>1520711119010156545</t>
  </si>
  <si>
    <t>http://pbs.twimg.com/profile_images/1309947607842783232/t-O5WmAJ_normal.jpg</t>
  </si>
  <si>
    <t>http://twitter.com/ToucheAdrian/statuses/1521025845544038400</t>
  </si>
  <si>
    <t>{"hashtags":[{"text":"Brexit","indices":[44,51]}],"symbols":[],"user_mentions":[{"screen_name":"steve_hawkes","name":"Steve Hawkes","id":41394240,"id_str":"41394240","indices":[0,13]},{"screen_name":"Keir_Starmer","name":"Keir Starmer","id":2425571623,"id_str":"2425571623","indices":[14,27]},{"screen_name":"YvetteCooperMP","name":"Yvette Cooper","id":328634628,"id_str":"328634628","indices":[63,78]},{"screen_name":"DavidLammy","name":"David Lammy","id":18020612,"id_str":"18020612","indices":[79,90]},{"screen_name":"UKLabour","name":"The Labour Party","id":14291684,"id_str":"14291684","indices":[138,147]},{"screen_name":"LibDems","name":"Liberal Democrats","id":5680622,"id_str":"5680622","indices":[148,156]},{"screen_name":"MartinDaubney","name":"Martin Daubney ✌🏻🇬🇧","id":568143078,"id_str":"568143078","indices":[230,244]},{"screen_name":"GBNEWS","name":"GB News","id":1339166129110065200,"id_str":"1339166129110065152","indices":[245,252]},{"screen_name":"GMB","name":"Good Morning Britain","id":19424427,"id_str":"19424427","indices":[253,257]},{"screen_name":"BBCBreakfast","name":"BBC Breakfast","id":143415291,"id_str":"143415291","indices":[258,271]},{"screen_name":"piersmorgan","name":"Piers Morgan","id":216299334,"id_str":"216299334","indices":[272,284]},{"screen_name":"IainDale","name":"Iain Dale ⚒️🇺🇦","id":5838002,"id_str":"5838002","indices":[285,294]}],"urls":[]}</t>
  </si>
  <si>
    <t>1521025818780213248</t>
  </si>
  <si>
    <t>papasmitheh</t>
  </si>
  <si>
    <t>Mon May 02 07:16:29 +0000 2022</t>
  </si>
  <si>
    <t>1551466922</t>
  </si>
  <si>
    <t>http://pbs.twimg.com/profile_images/433709124342132737/33a0o44O_normal.jpeg</t>
  </si>
  <si>
    <t>http://twitter.com/papasmitheh/statuses/1521025818780213248</t>
  </si>
  <si>
    <t>1521025690031775747</t>
  </si>
  <si>
    <t>somechewlip</t>
  </si>
  <si>
    <t>RT @pmdfoster: Fascinating change of tack by @Jacob_Rees_Mogg to sell decision to delay UK border checks as a £1bn #Brexit boon in his interview with @GeorgeWParker -- industry might see it that way, but vets, farmers and ports really do not. They see risk and waste. /1
https://t.co/caCvBojp1t https://t.co/RNKhokqhqB</t>
  </si>
  <si>
    <t>Mon May 02 07:15:58 +0000 2022</t>
  </si>
  <si>
    <t>1435664126584500230</t>
  </si>
  <si>
    <t>http://pbs.twimg.com/profile_images/1451879586367741952/SnTuiPl5_normal.jpg</t>
  </si>
  <si>
    <t>Brussels</t>
  </si>
  <si>
    <t>http://twitter.com/somechewlip/statuses/1521025690031775747</t>
  </si>
  <si>
    <t>{"hashtags":[{"text":"Brexit","indices":[115,122]}],"symbols":[],"user_mentions":[{"screen_name":"pmdfoster","name":"Peter Foster","id":23563830,"id_str":"23563830","indices":[3,13]},{"screen_name":"Jacob_Rees_Mogg","name":"Jacob Rees-Mogg","id":885838630928994300,"id_str":"885838630928994304","indices":[45,61]}],"urls":[]}</t>
  </si>
  <si>
    <t>1521025632158818305</t>
  </si>
  <si>
    <t>RightAngleUK</t>
  </si>
  <si>
    <t>Mon May 02 07:15:44 +0000 2022</t>
  </si>
  <si>
    <t>335194774</t>
  </si>
  <si>
    <t>http://pbs.twimg.com/profile_images/451863998808350720/h6MGrp-h_normal.jpeg</t>
  </si>
  <si>
    <t>Newcastle upon Tyne, UK</t>
  </si>
  <si>
    <t>http://twitter.com/RightAngleUK/statuses/1521025632158818305</t>
  </si>
  <si>
    <t>1521025503653765121</t>
  </si>
  <si>
    <t>AliBunting68</t>
  </si>
  <si>
    <t>Mon May 02 07:15:14 +0000 2022</t>
  </si>
  <si>
    <t>1008273298902454272</t>
  </si>
  <si>
    <t>http://pbs.twimg.com/profile_images/1008280151615000576/t-mIv1Fx_normal.jpg</t>
  </si>
  <si>
    <t xml:space="preserve">Lancashire via many a place </t>
  </si>
  <si>
    <t>http://twitter.com/AliBunting68/statuses/1521025503653765121</t>
  </si>
  <si>
    <t>1521025420476485637</t>
  </si>
  <si>
    <t>disasterhistory</t>
  </si>
  <si>
    <t>#Brexit kills British #jobs. #Rejoin single market and customs union https://t.co/KjvKwOhnAv</t>
  </si>
  <si>
    <t>Mon May 02 07:14:54 +0000 2022</t>
  </si>
  <si>
    <t>405590291</t>
  </si>
  <si>
    <t>http://pbs.twimg.com/profile_images/1638393743/John_Museum_normal.jpg</t>
  </si>
  <si>
    <t>http://twitter.com/disasterhistory/statuses/1521025420476485637</t>
  </si>
  <si>
    <t>{"hashtags":[{"text":"Brexit","indices":[0,7]},{"text":"jobs","indices":[22,27]},{"text":"Rejoin","indices":[29,36]}],"symbols":[],"user_mentions":[],"urls":[{"url":"https://t.co/KjvKwOhnAv","expanded_url":"https://twitter.com/acgrayling/status/1521009375212670977","display_url":"twitter.com/acgrayling/sta…","indices":[69,92]}]}</t>
  </si>
  <si>
    <t>1521025391355379712</t>
  </si>
  <si>
    <t>OwenLake</t>
  </si>
  <si>
    <t>Mon May 02 07:14:47 +0000 2022</t>
  </si>
  <si>
    <t>38643106</t>
  </si>
  <si>
    <t>http://pbs.twimg.com/profile_images/1207031585473781760/dVuZfAuE_normal.jpg</t>
  </si>
  <si>
    <t>Bracknell</t>
  </si>
  <si>
    <t>http://twitter.com/OwenLake/statuses/1521025391355379712</t>
  </si>
  <si>
    <t>1521025372707598336</t>
  </si>
  <si>
    <t>gingerbred79</t>
  </si>
  <si>
    <t>Mon May 02 07:14:42 +0000 2022</t>
  </si>
  <si>
    <t>2878217207</t>
  </si>
  <si>
    <t>http://pbs.twimg.com/profile_images/678236476098879488/mN8-W-Ek_normal.jpg</t>
  </si>
  <si>
    <t>http://twitter.com/gingerbred79/statuses/1521025372707598336</t>
  </si>
  <si>
    <t>1521025362205020160</t>
  </si>
  <si>
    <t>Curiosity7709</t>
  </si>
  <si>
    <t>RT @etxberria55: @Curiosity7709 This is a post #Brexit  benefit   we had excellent  beaches in EU due EÙ environmental  standards  and blue flag system  #Tories  #ToriesOut5thMay  #LocalElections  @Conservatives @UKLabour</t>
  </si>
  <si>
    <t>Mon May 02 07:14:40 +0000 2022</t>
  </si>
  <si>
    <t>849512386734284800</t>
  </si>
  <si>
    <t>http://pbs.twimg.com/profile_images/1476470115097001991/H1RcrukC_normal.jpg</t>
  </si>
  <si>
    <t>http://twitter.com/Curiosity7709/statuses/1521025362205020160</t>
  </si>
  <si>
    <t>{"hashtags":[{"text":"Brexit","indices":[47,54]}],"symbols":[],"user_mentions":[{"screen_name":"etxberria55","name":"john Rodriguez","id":906491200655544300,"id_str":"906491200655544320","indices":[3,15]},{"screen_name":"Curiosity7709","name":"Londongirl Democracy","id":849512386734284800,"id_str":"849512386734284800","indices":[17,31]}],"urls":[]}</t>
  </si>
  <si>
    <t>1521025281561092096</t>
  </si>
  <si>
    <t>Jenkoranian</t>
  </si>
  <si>
    <t>Mon May 02 07:14:21 +0000 2022</t>
  </si>
  <si>
    <t>794274618567753728</t>
  </si>
  <si>
    <t>http://pbs.twimg.com/profile_images/1484951284188913667/nTBLtrLZ_normal.jpg</t>
  </si>
  <si>
    <t>Gatehouse of Fleet</t>
  </si>
  <si>
    <t>http://twitter.com/Jenkoranian/statuses/1521025281561092096</t>
  </si>
  <si>
    <t>1521025276213436419</t>
  </si>
  <si>
    <t>officialstevoid</t>
  </si>
  <si>
    <t>Mon May 02 07:14:19 +0000 2022</t>
  </si>
  <si>
    <t>763220252</t>
  </si>
  <si>
    <t>http://pbs.twimg.com/profile_images/2513784866/image_normal.jpg</t>
  </si>
  <si>
    <t>http://twitter.com/officialstevoid/statuses/1521025276213436419</t>
  </si>
  <si>
    <t>1521025253056688128</t>
  </si>
  <si>
    <t>@Curiosity7709 This is a post #Brexit  benefit   we had excellent  beaches in EU due EÙ environmental  standards  and blue flag system  #Tories  #ToriesOut5thMay  #LocalElections  @Conservatives @UKLabour</t>
  </si>
  <si>
    <t>Mon May 02 07:14:14 +0000 2022</t>
  </si>
  <si>
    <t>1521024762117599232</t>
  </si>
  <si>
    <t>http://pbs.twimg.com/profile_images/1008085368518905858/jkZt9ARv_normal.jpg</t>
  </si>
  <si>
    <t>Bradford uk</t>
  </si>
  <si>
    <t>http://twitter.com/etxberria55/statuses/1521025253056688128</t>
  </si>
  <si>
    <t>{"hashtags":[{"text":"Brexit","indices":[30,37]},{"text":"Tories","indices":[136,143]},{"text":"ToriesOut5thMay","indices":[145,161]},{"text":"LocalElections","indices":[163,178]}],"symbols":[],"user_mentions":[{"screen_name":"Curiosity7709","name":"Londongirl Democracy","id":849512386734284800,"id_str":"849512386734284800","indices":[0,14]},{"screen_name":"Conservatives","name":"Conservatives","id":14281853,"id_str":"14281853","indices":[180,194]},{"screen_name":"UKLabour","name":"The Labour Party","id":14291684,"id_str":"14291684","indices":[195,204]}],"urls":[]}</t>
  </si>
  <si>
    <t>1521025243971735552</t>
  </si>
  <si>
    <t>LizaAntrim</t>
  </si>
  <si>
    <t>Mon May 02 07:14:12 +0000 2022</t>
  </si>
  <si>
    <t>2786067795</t>
  </si>
  <si>
    <t>The sunny South West.</t>
  </si>
  <si>
    <t>http://twitter.com/LizaAntrim/statuses/1521025243971735552</t>
  </si>
  <si>
    <t>1521025214359945216</t>
  </si>
  <si>
    <t>Mon May 02 07:14:05 +0000 2022</t>
  </si>
  <si>
    <t>http://twitter.com/RightAngleUK/statuses/1521025214359945216</t>
  </si>
  <si>
    <t>1521025139818876929</t>
  </si>
  <si>
    <t>Mon May 02 07:13:47 +0000 2022</t>
  </si>
  <si>
    <t>http://twitter.com/RightAngleUK/statuses/1521025139818876929</t>
  </si>
  <si>
    <t>1521025110446157825</t>
  </si>
  <si>
    <t>Mon May 02 07:13:40 +0000 2022</t>
  </si>
  <si>
    <t>http://twitter.com/wh500w/statuses/1521025110446157825</t>
  </si>
  <si>
    <t>1521025089172611072</t>
  </si>
  <si>
    <t>Mon May 02 07:13:35 +0000 2022</t>
  </si>
  <si>
    <t>http://twitter.com/RightAngleUK/statuses/1521025089172611072</t>
  </si>
  <si>
    <t>1521025062991802369</t>
  </si>
  <si>
    <t>Mon May 02 07:13:28 +0000 2022</t>
  </si>
  <si>
    <t>http://twitter.com/RightAngleUK/statuses/1521025062991802369</t>
  </si>
  <si>
    <t>1521025034642468864</t>
  </si>
  <si>
    <t>trish4leave</t>
  </si>
  <si>
    <t>Mon May 02 07:13:22 +0000 2022</t>
  </si>
  <si>
    <t>45572084</t>
  </si>
  <si>
    <t>http://pbs.twimg.com/profile_images/1517863473790820355/W7RSBN2R_normal.jpg</t>
  </si>
  <si>
    <t>http://twitter.com/trish4leave/statuses/1521025034642468864</t>
  </si>
  <si>
    <t>1521025033400983552</t>
  </si>
  <si>
    <t>Mon May 02 07:13:21 +0000 2022</t>
  </si>
  <si>
    <t>http://twitter.com/RightAngleUK/statuses/1521025033400983552</t>
  </si>
  <si>
    <t>1521024979688726528</t>
  </si>
  <si>
    <t>busby_lilian</t>
  </si>
  <si>
    <t>Mon May 02 07:13:09 +0000 2022</t>
  </si>
  <si>
    <t>1492499565869731846</t>
  </si>
  <si>
    <t>http://twitter.com/busby_lilian/statuses/1521024979688726528</t>
  </si>
  <si>
    <t>1521024966191374338</t>
  </si>
  <si>
    <t>Mon May 02 07:13:05 +0000 2022</t>
  </si>
  <si>
    <t>http://twitter.com/RightAngleUK/statuses/1521024966191374338</t>
  </si>
  <si>
    <t>1521024912399478785</t>
  </si>
  <si>
    <t>EU_Citizen2</t>
  </si>
  <si>
    <t>It's #Brexit.
Bank of England ‘duty bound’ to trigger recession to curb inflation https://t.co/Mehcs4U7IM</t>
  </si>
  <si>
    <t>Mon May 02 07:12:53 +0000 2022</t>
  </si>
  <si>
    <t>555329628</t>
  </si>
  <si>
    <t>http://pbs.twimg.com/profile_images/1344917370582786049/3hTIqgcq_normal.jpg</t>
  </si>
  <si>
    <t xml:space="preserve">Brexshitland Plague Island </t>
  </si>
  <si>
    <t>http://twitter.com/EU_Citizen2/statuses/1521024912399478785</t>
  </si>
  <si>
    <t>{"hashtags":[{"text":"Brexit","indices":[5,12]}],"symbols":[],"user_mentions":[],"urls":[{"url":"https://t.co/Mehcs4U7IM","expanded_url":"https://www.theguardian.com/business/2022/may/01/bank-of-england-duty-bound-to-trigger-recession-to-curb-inflation?CMP=share_btn_tw","display_url":"theguardian.com/business/2022/…","indices":[82,105]}]}</t>
  </si>
  <si>
    <t>1521024846246912000</t>
  </si>
  <si>
    <t>radiofourfan</t>
  </si>
  <si>
    <t>Mon May 02 07:12:37 +0000 2022</t>
  </si>
  <si>
    <t>1601963869</t>
  </si>
  <si>
    <t>http://pbs.twimg.com/profile_images/1075125238122364928/dnX10EZK_normal.jpg</t>
  </si>
  <si>
    <t>http://twitter.com/radiofourfan/statuses/1521024846246912000</t>
  </si>
  <si>
    <t>1521024826101620736</t>
  </si>
  <si>
    <t>RD120</t>
  </si>
  <si>
    <t>Mon May 02 07:12:32 +0000 2022</t>
  </si>
  <si>
    <t>435134501</t>
  </si>
  <si>
    <t>http://pbs.twimg.com/profile_images/1174387244863565824/trY32ICH_normal.jpg</t>
  </si>
  <si>
    <t>http://twitter.com/RD120/statuses/1521024826101620736</t>
  </si>
  <si>
    <t>1521024800382148613</t>
  </si>
  <si>
    <t>cathybertram</t>
  </si>
  <si>
    <t>Mon May 02 07:12:26 +0000 2022</t>
  </si>
  <si>
    <t>2166377011</t>
  </si>
  <si>
    <t>http://pbs.twimg.com/profile_images/542761082570305536/9XeRUdwa_normal.jpeg</t>
  </si>
  <si>
    <t>http://twitter.com/cathybertram/statuses/1521024800382148613</t>
  </si>
  <si>
    <t>1521024782111752194</t>
  </si>
  <si>
    <t>morrisinator</t>
  </si>
  <si>
    <t>Mon May 02 07:12:21 +0000 2022</t>
  </si>
  <si>
    <t>1241814811740114952</t>
  </si>
  <si>
    <t>http://twitter.com/morrisinator/statuses/1521024782111752194</t>
  </si>
  <si>
    <t>1521024752114151426</t>
  </si>
  <si>
    <t>neill4_neill</t>
  </si>
  <si>
    <t>Mon May 02 07:12:14 +0000 2022</t>
  </si>
  <si>
    <t>1418456613111930884</t>
  </si>
  <si>
    <t>http://pbs.twimg.com/profile_images/1424606743565307906/HTJF6wAt_normal.jpg</t>
  </si>
  <si>
    <t>Northern Ireland, United Kingd</t>
  </si>
  <si>
    <t>http://twitter.com/neill4_neill/statuses/1521024752114151426</t>
  </si>
  <si>
    <t>1521024622241755136</t>
  </si>
  <si>
    <t>AlastairBreward</t>
  </si>
  <si>
    <t>Mon May 02 07:11:43 +0000 2022</t>
  </si>
  <si>
    <t>3126283059</t>
  </si>
  <si>
    <t>http://pbs.twimg.com/profile_images/1094645178361618433/PQKjyO63_normal.jpg</t>
  </si>
  <si>
    <t>http://twitter.com/AlastairBreward/statuses/1521024622241755136</t>
  </si>
  <si>
    <t>1521024603426074625</t>
  </si>
  <si>
    <t>KbfKate</t>
  </si>
  <si>
    <t>Mon May 02 07:11:39 +0000 2022</t>
  </si>
  <si>
    <t>3077306302</t>
  </si>
  <si>
    <t>http://twitter.com/KbfKate/statuses/1521024603426074625</t>
  </si>
  <si>
    <t>1521024543556521984</t>
  </si>
  <si>
    <t>Ospringe</t>
  </si>
  <si>
    <t>Mon May 02 07:11:25 +0000 2022</t>
  </si>
  <si>
    <t>28146646</t>
  </si>
  <si>
    <t>http://pbs.twimg.com/profile_images/704730905156444160/1ED17ls7_normal.jpg</t>
  </si>
  <si>
    <t>Kent, England</t>
  </si>
  <si>
    <t>http://twitter.com/Ospringe/statuses/1521024543556521984</t>
  </si>
  <si>
    <t>1521024541346181125</t>
  </si>
  <si>
    <t>Fitness4London</t>
  </si>
  <si>
    <t>@_HenryBolton One major problem is the high level of corruption in the current government and its links with Putin's oligarchs in London up to the Ukraine invasion.
#Brexit #Kompromat #BorisJohnson #Putin #RussianInterference #Oligarchs #conservativefriendsofrussia #DirtyRussianMoney</t>
  </si>
  <si>
    <t>Mon May 02 07:11:24 +0000 2022</t>
  </si>
  <si>
    <t>2887955249</t>
  </si>
  <si>
    <t>_HenryBolton</t>
  </si>
  <si>
    <t>19061346</t>
  </si>
  <si>
    <t>1208050566825496577</t>
  </si>
  <si>
    <t>http://pbs.twimg.com/profile_images/71422336/domfitness_me_pic_normal.jpg</t>
  </si>
  <si>
    <t>http://twitter.com/Fitness4London/statuses/1521024541346181125</t>
  </si>
  <si>
    <t>{"hashtags":[{"text":"Brexit","indices":[165,172]},{"text":"Kompromat","indices":[173,183]},{"text":"BorisJohnson","indices":[184,197]},{"text":"Putin","indices":[198,204]},{"text":"RussianInterference","indices":[205,225]},{"text":"Oligarchs","indices":[226,236]},{"text":"conservativefriendsofrussia","indices":[237,265]},{"text":"DirtyRussianMoney","indices":[266,284]}],"symbols":[],"user_mentions":[{"screen_name":"_HenryBolton","name":"Henry Bolton OBE 🇬🇧","id":2887955249,"id_str":"2887955249","indices":[0,13]}],"urls":[]}</t>
  </si>
  <si>
    <t>1521024540662456321</t>
  </si>
  <si>
    <t>@Conservatives #Brexit #liars are still #Putin's puppets https://t.co/OrcB14LCGn</t>
  </si>
  <si>
    <t>14281853</t>
  </si>
  <si>
    <t>Conservatives</t>
  </si>
  <si>
    <t>http://twitter.com/disasterhistory/statuses/1521024540662456321</t>
  </si>
  <si>
    <t>{"hashtags":[{"text":"Brexit","indices":[15,22]},{"text":"liars","indices":[23,29]},{"text":"Putin","indices":[40,46]}],"symbols":[],"user_mentions":[{"screen_name":"Conservatives","name":"Conservatives","id":14281853,"id_str":"14281853","indices":[0,14]}],"urls":[{"url":"https://t.co/OrcB14LCGn","expanded_url":"https://twitter.com/BrandonLewis/status/1520783926066823169","display_url":"twitter.com/BrandonLewis/s…","indices":[57,80]}]}</t>
  </si>
  <si>
    <t>1521024468923166720</t>
  </si>
  <si>
    <t>JanineMcNair</t>
  </si>
  <si>
    <t>Mon May 02 07:11:07 +0000 2022</t>
  </si>
  <si>
    <t>880017996</t>
  </si>
  <si>
    <t>http://pbs.twimg.com/profile_images/1512301681765191689/Uj0cUxIb_normal.jpg</t>
  </si>
  <si>
    <t>http://twitter.com/JanineMcNair/statuses/1521024468923166720</t>
  </si>
  <si>
    <t>1521024436194926596</t>
  </si>
  <si>
    <t>MobileJustice</t>
  </si>
  <si>
    <t>@TheGreenParty wanting to leave @NATO after the end of the #RussiaUkraineWar makes them impossible to vote for. After #Brexit the last thing we need is more isolationism and even less protection.</t>
  </si>
  <si>
    <t>Mon May 02 07:10:59 +0000 2022</t>
  </si>
  <si>
    <t>15529670</t>
  </si>
  <si>
    <t>TheGreenParty</t>
  </si>
  <si>
    <t>90428178</t>
  </si>
  <si>
    <t>http://pbs.twimg.com/profile_images/775000634324033537/24gSoNgH_normal.jpg</t>
  </si>
  <si>
    <t>In a cottage by the river</t>
  </si>
  <si>
    <t>http://twitter.com/MobileJustice/statuses/1521024436194926596</t>
  </si>
  <si>
    <t>{"hashtags":[{"text":"RussiaUkraineWar","indices":[59,76]},{"text":"Brexit","indices":[118,125]}],"symbols":[],"user_mentions":[{"screen_name":"TheGreenParty","name":"The Green Party","id":15529670,"id_str":"15529670","indices":[0,14]},{"screen_name":"NATO","name":"NATO","id":83795099,"id_str":"83795099","indices":[32,37]}],"urls":[]}</t>
  </si>
  <si>
    <t>1521024310747537408</t>
  </si>
  <si>
    <t>FunnyPeculiarF5</t>
  </si>
  <si>
    <t>Mon May 02 07:10:29 +0000 2022</t>
  </si>
  <si>
    <t>1441059736498094081</t>
  </si>
  <si>
    <t>http://pbs.twimg.com/profile_images/1455162145671426058/tx0W9ZY2_normal.jpg</t>
  </si>
  <si>
    <t>http://twitter.com/FunnyPeculiarF5/statuses/1521024310747537408</t>
  </si>
  <si>
    <t>1521024303109742594</t>
  </si>
  <si>
    <t>CDWalls14</t>
  </si>
  <si>
    <t>Mon May 02 07:10:27 +0000 2022</t>
  </si>
  <si>
    <t>1395116037172047872</t>
  </si>
  <si>
    <t>http://pbs.twimg.com/profile_images/1512771176736690176/VY710SJi_normal.jpg</t>
  </si>
  <si>
    <t>http://twitter.com/CDWalls14/statuses/1521024303109742594</t>
  </si>
  <si>
    <t>1521024293630529537</t>
  </si>
  <si>
    <t>OnCanter</t>
  </si>
  <si>
    <t>Mon May 02 07:10:25 +0000 2022</t>
  </si>
  <si>
    <t>1049277738195066880</t>
  </si>
  <si>
    <t>http://pbs.twimg.com/profile_images/1281734935120838657/0XPJNkjp_normal.jpg</t>
  </si>
  <si>
    <t>http://twitter.com/OnCanter/statuses/1521024293630529537</t>
  </si>
  <si>
    <t>1521024267172909056</t>
  </si>
  <si>
    <t>allbonjeff16</t>
  </si>
  <si>
    <t>Mon May 02 07:10:19 +0000 2022</t>
  </si>
  <si>
    <t>1458072465310167041</t>
  </si>
  <si>
    <t>http://pbs.twimg.com/profile_images/1504745838853169153/fRHnmY5W_normal.jpg</t>
  </si>
  <si>
    <t>Ariège, France.</t>
  </si>
  <si>
    <t>http://twitter.com/allbonjeff16/statuses/1521024267172909056</t>
  </si>
  <si>
    <t>1521024224177045504</t>
  </si>
  <si>
    <t>Mon May 02 07:10:08 +0000 2022</t>
  </si>
  <si>
    <t>http://twitter.com/allbonjeff16/statuses/1521024224177045504</t>
  </si>
  <si>
    <t>1521024207383056385</t>
  </si>
  <si>
    <t>JoyBrook1</t>
  </si>
  <si>
    <t>Mon May 02 07:10:04 +0000 2022</t>
  </si>
  <si>
    <t>829757064629088256</t>
  </si>
  <si>
    <t>http://pbs.twimg.com/profile_images/903734531617955841/yX6eu23Y_normal.jpg</t>
  </si>
  <si>
    <t>http://twitter.com/JoyBrook1/statuses/1521024207383056385</t>
  </si>
  <si>
    <t>1521024194221420544</t>
  </si>
  <si>
    <t>Mon May 02 07:10:01 +0000 2022</t>
  </si>
  <si>
    <t>http://twitter.com/JoyBrook1/statuses/1521024194221420544</t>
  </si>
  <si>
    <t>1521024183832043520</t>
  </si>
  <si>
    <t>PowerWithin0706</t>
  </si>
  <si>
    <t>Mon May 02 07:09:59 +0000 2022</t>
  </si>
  <si>
    <t>1402239029819625476</t>
  </si>
  <si>
    <t>http://pbs.twimg.com/profile_images/1402249305616945158/53wa8E8K_normal.jpg</t>
  </si>
  <si>
    <t>Eye of the Storm</t>
  </si>
  <si>
    <t>http://twitter.com/PowerWithin0706/statuses/1521024183832043520</t>
  </si>
  <si>
    <t>1521024177637146626</t>
  </si>
  <si>
    <t>Mon May 02 07:09:57 +0000 2022</t>
  </si>
  <si>
    <t>http://twitter.com/JoyBrook1/statuses/1521024177637146626</t>
  </si>
  <si>
    <t>1521024160180453379</t>
  </si>
  <si>
    <t>Mon May 02 07:09:53 +0000 2022</t>
  </si>
  <si>
    <t>http://twitter.com/allbonjeff16/statuses/1521024160180453379</t>
  </si>
  <si>
    <t>1521024143042490368</t>
  </si>
  <si>
    <t>Dempsey1972John</t>
  </si>
  <si>
    <t>RT @alfisutton: #BackBoris #TeamBoris #BorisTrain #NeverLabour #NeverLiebour #Conservatives #LabourHypocricy #LabourSleaze #LabourLies #CaptainHindsight #HypocriteStarmer #SmarmyStarmer #StarmerLies #ScumMedia #DefundTheBBC #Brexit #ResignStarmer #ResignRayner #SirBeerStarmer</t>
  </si>
  <si>
    <t>Mon May 02 07:09:49 +0000 2022</t>
  </si>
  <si>
    <t>3425391628</t>
  </si>
  <si>
    <t>http://twitter.com/Dempsey1972John/statuses/1521024143042490368</t>
  </si>
  <si>
    <t>{"hashtags":[{"text":"BackBoris","indices":[16,26]},{"text":"TeamBoris","indices":[27,37]},{"text":"BorisTrain","indices":[38,49]},{"text":"NeverLabour","indices":[50,62]},{"text":"NeverLiebour","indices":[63,76]},{"text":"Conservatives","indices":[77,91]},{"text":"LabourHypocricy","indices":[92,108]},{"text":"LabourSleaze","indices":[109,122]},{"text":"LabourLies","indices":[123,134]}],"symbols":[],"user_mentions":[{"screen_name":"alfisutton","name":"Alfvictorsutton","id":3153097690,"id_str":"3153097690","indices":[3,14]}],"urls":[]}</t>
  </si>
  <si>
    <t>1521024090538139648</t>
  </si>
  <si>
    <t>@davesumnersmith If I was Scottish Welsh or Irish I’d be hoping so as the majority of them won’t have voted for these lying criminals. If any of them leave the U.K. and rejoin the EU there will be an exodus from ##brexit England.</t>
  </si>
  <si>
    <t>Mon May 02 07:09:37 +0000 2022</t>
  </si>
  <si>
    <t>http://twitter.com/Lordwessenden12/statuses/1521024090538139648</t>
  </si>
  <si>
    <t>{"hashtags":[{"text":"brexit","indices":[213,220]}],"symbols":[],"user_mentions":[{"screen_name":"davesumnersmith","name":"Dave Sumner Smith","id":13340732,"id_str":"13340732","indices":[0,16]}],"urls":[]}</t>
  </si>
  <si>
    <t>1521024062885183490</t>
  </si>
  <si>
    <t>Emmacochrane9</t>
  </si>
  <si>
    <t>Mon May 02 07:09:30 +0000 2022</t>
  </si>
  <si>
    <t>1295516917</t>
  </si>
  <si>
    <t>http://pbs.twimg.com/profile_images/1498055688894959621/Iah-Qq4o_normal.jpg</t>
  </si>
  <si>
    <t>http://twitter.com/Emmacochrane9/statuses/1521024062885183490</t>
  </si>
  <si>
    <t>1521024061333196800</t>
  </si>
  <si>
    <t>PettingerAndrew</t>
  </si>
  <si>
    <t>1038489507522387969</t>
  </si>
  <si>
    <t>http://pbs.twimg.com/profile_images/1132184434675994625/uBUGenML_normal.jpg</t>
  </si>
  <si>
    <t>Woking, South East</t>
  </si>
  <si>
    <t>http://twitter.com/PettingerAndrew/statuses/1521024061333196800</t>
  </si>
  <si>
    <t>1521023942655451136</t>
  </si>
  <si>
    <t>Survindar</t>
  </si>
  <si>
    <t>Mon May 02 07:09:01 +0000 2022</t>
  </si>
  <si>
    <t>98860553</t>
  </si>
  <si>
    <t>http://pbs.twimg.com/profile_images/452472138700566528/A3sz2dce_normal.jpeg</t>
  </si>
  <si>
    <t>huddersfield</t>
  </si>
  <si>
    <t>http://twitter.com/Survindar/statuses/1521023942655451136</t>
  </si>
  <si>
    <t>1521023922904485888</t>
  </si>
  <si>
    <t>Mon May 02 07:08:57 +0000 2022</t>
  </si>
  <si>
    <t>http://twitter.com/muttleyarsenal9/statuses/1521023922904485888</t>
  </si>
  <si>
    <t>1521023900838240258</t>
  </si>
  <si>
    <t>MichaelsMoss</t>
  </si>
  <si>
    <t>RT @SydesJokes: #Brexit https://t.co/aQXkuAbgBd</t>
  </si>
  <si>
    <t>Mon May 02 07:08:51 +0000 2022</t>
  </si>
  <si>
    <t>771986360597094400</t>
  </si>
  <si>
    <t>http://pbs.twimg.com/profile_images/1263476930990440448/ZbmFLl_T_normal.jpg</t>
  </si>
  <si>
    <t>http://twitter.com/MichaelsMoss/statuses/1521023900838240258</t>
  </si>
  <si>
    <t>{"hashtags":[{"text":"Brexit","indices":[16,23]}],"symbols":[],"user_mentions":[{"screen_name":"SydesJokes","name":"Lord Sydes #FBPE #FBPPR 💙 🇬🇧🇩🇪🇸🇬🇫🇮🇪🇺","id":29459695,"id_str":"29459695","indices":[3,14]}],"urls":[],"media":[{"id":1520733343402410000,"id_str":"1520733343402409985","indices":[24,47],"media_url":"http://pbs.twimg.com/media/FRq66yuXwAEk0bp.jpg","media_url_https":"https://pbs.twimg.com/media/FRq66yuXwAEk0bp.jpg","url":"https://t.co/aQXkuAbgBd","display_url":"pic.twitter.com/aQXkuAbgBd","expanded_url":"https://twitter.com/SydesJokes/status/1520733346099347457/photo/1","type":"photo","sizes":{"large":{"w":634,"h":842,"resize":"fit"},"thumb":{"w":150,"h":150,"resize":"crop"},"small":{"w":512,"h":680,"resize":"fit"},"medium":{"w":634,"h":842,"resize":"fit"}},"source_status_id":1520733346099347500,"source_status_id_str":"1520733346099347457","source_user_id":29459695,"source_user_id_str":"29459695"}]}</t>
  </si>
  <si>
    <t>1521023898380341248</t>
  </si>
  <si>
    <t>ChristineJameis</t>
  </si>
  <si>
    <t>1060605689024929792</t>
  </si>
  <si>
    <t>http://pbs.twimg.com/profile_images/1514871725330157568/02I_WoLC_normal.jpg</t>
  </si>
  <si>
    <t>http://twitter.com/ChristineJameis/statuses/1521023898380341248</t>
  </si>
  <si>
    <t>1521023881040912384</t>
  </si>
  <si>
    <t>SamFrance89</t>
  </si>
  <si>
    <t>RT @jamesmb: When the #Brexit referendum was announced, £1 bought 1.43€. As of May 1, 2022 at 09:01AM, £1 buys 1.192€. A weak currency is a sign of problems in an economy. #OwnYourBrexit #BrexitIsACrimeScene</t>
  </si>
  <si>
    <t>Mon May 02 07:08:47 +0000 2022</t>
  </si>
  <si>
    <t>1261652943771664385</t>
  </si>
  <si>
    <t>http://pbs.twimg.com/profile_images/1261668549506072576/t_YnInEO_normal.jpg</t>
  </si>
  <si>
    <t>Nouvelle Aquitaine 87</t>
  </si>
  <si>
    <t>http://twitter.com/SamFrance89/statuses/1521023881040912384</t>
  </si>
  <si>
    <t>{"hashtags":[{"text":"Brexit","indices":[22,29]}],"symbols":[],"user_mentions":[{"screen_name":"jamesmb","name":"James Barisic 🇭🇷 🇫🇷 🇪🇺","id":9820002,"id_str":"9820002","indices":[3,11]}],"urls":[]}</t>
  </si>
  <si>
    <t>1521023751265136640</t>
  </si>
  <si>
    <t>RT @FirstLa14340074: @steveparks @overwater001 Talk the talk time is over
They really had their chance and blew it
#Tories #Brexit #Partygate</t>
  </si>
  <si>
    <t>Mon May 02 07:08:16 +0000 2022</t>
  </si>
  <si>
    <t>http://twitter.com/philnooney/statuses/1521023751265136640</t>
  </si>
  <si>
    <t>{"hashtags":[{"text":"Tories","indices":[116,123]},{"text":"Brexit","indices":[124,131]}],"symbols":[],"user_mentions":[{"screen_name":"FirstLa14340074","name":"First Last 🇺🇦 The Russian warship is f^cked","id":1322565828387213300,"id_str":"1322565828387213312","indices":[3,19]},{"screen_name":"steveparks","name":"Steve Parks","id":1119741,"id_str":"1119741","indices":[21,32]},{"screen_name":"overwater001","name":"Conte Italiano Di Toscana #44🎶🇪🇺 🇮🇹","id":126958934,"id_str":"126958934","indices":[33,46]}],"urls":[]}</t>
  </si>
  <si>
    <t>1521023722219618305</t>
  </si>
  <si>
    <t>KayLouiseKelly</t>
  </si>
  <si>
    <t>Mon May 02 07:08:09 +0000 2022</t>
  </si>
  <si>
    <t>287065061</t>
  </si>
  <si>
    <t>http://pbs.twimg.com/profile_images/629012343159173120/MEMc1yP9_normal.jpg</t>
  </si>
  <si>
    <t>http://twitter.com/KayLouiseKelly/statuses/1521023722219618305</t>
  </si>
  <si>
    <t>1521023712522391552</t>
  </si>
  <si>
    <t>OK16096635</t>
  </si>
  <si>
    <t>Mon May 02 07:08:06 +0000 2022</t>
  </si>
  <si>
    <t>1116119165524430850</t>
  </si>
  <si>
    <t>http://pbs.twimg.com/profile_images/1504857317908566016/QstKMG0D_normal.jpg</t>
  </si>
  <si>
    <t>Northern England</t>
  </si>
  <si>
    <t>http://twitter.com/OK16096635/statuses/1521023712522391552</t>
  </si>
  <si>
    <t>1521023613830320128</t>
  </si>
  <si>
    <t>dunlin57</t>
  </si>
  <si>
    <t>RT @VogonScout: HELLO @BBCBreakfast , @bbclaurak , @bbc5live , @BBCBreaking ....... YOU SEEM TO BE IGNORING THIS JUST LIKE THE DUNGHEAP THAT IS #Brexit 
PROTECTING THE #ToryCriminalsUnfitToGovern AGAIN MUCH?🙄 https://t.co/jQDtVp6YrT</t>
  </si>
  <si>
    <t>Mon May 02 07:07:43 +0000 2022</t>
  </si>
  <si>
    <t>83894820</t>
  </si>
  <si>
    <t>http://pbs.twimg.com/profile_images/1497320135425761282/EbJaCEPu_normal.jpg</t>
  </si>
  <si>
    <t>Essex, Europe</t>
  </si>
  <si>
    <t>http://twitter.com/dunlin57/statuses/1521023613830320128</t>
  </si>
  <si>
    <t>{"hashtags":[],"symbols":[],"user_mentions":[{"screen_name":"VogonScout","name":"Darkstar","id":1517046875026870300,"id_str":"1517046875026870272","indices":[3,14]},{"screen_name":"BBCBreakfast","name":"BBC Breakfast","id":143415291,"id_str":"143415291","indices":[22,35]},{"screen_name":"bbclaurak","name":"Laura Kuenssberg","id":61183568,"id_str":"61183568","indices":[38,48]},{"screen_name":"bbc5live","name":"BBC Radio 5 Live","id":7589572,"id_str":"7589572","indices":[51,60]},{"screen_name":"BBCBreaking","name":"BBC Breaking News","id":5402612,"id_str":"5402612","indices":[63,75]}],"urls":[]}</t>
  </si>
  <si>
    <t>1521023541990330368</t>
  </si>
  <si>
    <t>mannes00680860</t>
  </si>
  <si>
    <t>Mon May 02 07:07:26 +0000 2022</t>
  </si>
  <si>
    <t>1188765493659865088</t>
  </si>
  <si>
    <t>http://twitter.com/mannes00680860/statuses/1521023541990330368</t>
  </si>
  <si>
    <t>1521023506611376129</t>
  </si>
  <si>
    <t>Mon May 02 07:07:17 +0000 2022</t>
  </si>
  <si>
    <t>http://twitter.com/mannes00680860/statuses/1521023506611376129</t>
  </si>
  <si>
    <t>1521023481449746432</t>
  </si>
  <si>
    <t>iain4europe</t>
  </si>
  <si>
    <t>Mon May 02 07:07:11 +0000 2022</t>
  </si>
  <si>
    <t>268788810</t>
  </si>
  <si>
    <t>http://pbs.twimg.com/profile_images/1227294815571914752/1goXcbB4_normal.jpg</t>
  </si>
  <si>
    <t>http://twitter.com/iain4europe/statuses/1521023481449746432</t>
  </si>
  <si>
    <t>1521023469000998914</t>
  </si>
  <si>
    <t>Mon May 02 07:07:08 +0000 2022</t>
  </si>
  <si>
    <t>http://twitter.com/mannes00680860/statuses/1521023469000998914</t>
  </si>
  <si>
    <t>1521023437803827201</t>
  </si>
  <si>
    <t>tydd39175761</t>
  </si>
  <si>
    <t>Mon May 02 07:07:01 +0000 2022</t>
  </si>
  <si>
    <t>1074388687868362752</t>
  </si>
  <si>
    <t>http://pbs.twimg.com/profile_images/1074388856059904005/zTJLJupU_normal.jpg</t>
  </si>
  <si>
    <t>http://twitter.com/tydd39175761/statuses/1521023437803827201</t>
  </si>
  <si>
    <t>1521023394078208000</t>
  </si>
  <si>
    <t>Wibbers13</t>
  </si>
  <si>
    <t>Mon May 02 07:06:51 +0000 2022</t>
  </si>
  <si>
    <t>55797707</t>
  </si>
  <si>
    <t>http://pbs.twimg.com/profile_images/1426103057511763972/_oL_ablR_normal.jpg</t>
  </si>
  <si>
    <t>Central London</t>
  </si>
  <si>
    <t>http://twitter.com/Wibbers13/statuses/1521023394078208000</t>
  </si>
  <si>
    <t>1521023385190514689</t>
  </si>
  <si>
    <t>e_evison</t>
  </si>
  <si>
    <t>Mon May 02 07:06:48 +0000 2022</t>
  </si>
  <si>
    <t>1109081283660005377</t>
  </si>
  <si>
    <t>http://pbs.twimg.com/profile_images/1183812113480978432/XxjCd12r_normal.jpg</t>
  </si>
  <si>
    <t>http://twitter.com/e_evison/statuses/1521023385190514689</t>
  </si>
  <si>
    <t>1521023376785121281</t>
  </si>
  <si>
    <t>BapaArts</t>
  </si>
  <si>
    <t>Mon May 02 07:06:46 +0000 2022</t>
  </si>
  <si>
    <t>869423384626475013</t>
  </si>
  <si>
    <t>http://pbs.twimg.com/profile_images/1162623017370783744/JlotqT-C_normal.jpg</t>
  </si>
  <si>
    <t>Kota Damansara, Selangor</t>
  </si>
  <si>
    <t>http://twitter.com/BapaArts/statuses/1521023376785121281</t>
  </si>
  <si>
    <t>1521023312532590595</t>
  </si>
  <si>
    <t>NickDelaney9</t>
  </si>
  <si>
    <t>RT @Dr__H__Lekter: #JohnsonOut97 #ScottishIndependence #JohnsonTheLiar #Brexit #BrexitHasFailed #NeverTrustATory #LiarNotALeader #ToryLiars #ToriesOut5thMay #TorySleaze #VoteLabour #Growlergate #gingergrowler #ToryShambles #ToriesLie #ToryLies #ToryCorruption  Angela Rayner  Sexist of the Year https://t.co/ocsQtAh4yC</t>
  </si>
  <si>
    <t>Mon May 02 07:06:31 +0000 2022</t>
  </si>
  <si>
    <t>943319545</t>
  </si>
  <si>
    <t>http://pbs.twimg.com/profile_images/1509938938739400705/CXasD8FB_normal.jpg</t>
  </si>
  <si>
    <t>Glazebrook, England</t>
  </si>
  <si>
    <t>http://twitter.com/NickDelaney9/statuses/1521023312532590595</t>
  </si>
  <si>
    <t>1521023235248340993</t>
  </si>
  <si>
    <t>melwest14</t>
  </si>
  <si>
    <t>Mon May 02 07:06:13 +0000 2022</t>
  </si>
  <si>
    <t>4209823162</t>
  </si>
  <si>
    <t>http://pbs.twimg.com/profile_images/1011256691843911680/WSinp4B8_normal.jpg</t>
  </si>
  <si>
    <t>http://twitter.com/melwest14/statuses/1521023235248340993</t>
  </si>
  <si>
    <t>1521023117929463808</t>
  </si>
  <si>
    <t>pinklilyphoto</t>
  </si>
  <si>
    <t>Mon May 02 07:05:45 +0000 2022</t>
  </si>
  <si>
    <t>283478937</t>
  </si>
  <si>
    <t>http://pbs.twimg.com/profile_images/1234127129807392770/WTWNRfS5_normal.jpg</t>
  </si>
  <si>
    <t>York</t>
  </si>
  <si>
    <t>http://twitter.com/pinklilyphoto/statuses/1521023117929463808</t>
  </si>
  <si>
    <t>1521023099067633666</t>
  </si>
  <si>
    <t>What about "#brexit in #down #tonight" https://t.co/VrpAKfj7N4 Are you #in2nite #inin or #out2nite? #outout RT</t>
  </si>
  <si>
    <t>Mon May 02 07:05:40 +0000 2022</t>
  </si>
  <si>
    <t>http://twitter.com/2niteNetwork/statuses/1521023099067633666</t>
  </si>
  <si>
    <t>{"hashtags":[{"text":"brexit","indices":[12,19]},{"text":"down","indices":[23,28]},{"text":"tonight","indices":[29,37]},{"text":"in2nite","indices":[71,79]},{"text":"inin","indices":[80,85]},{"text":"out2nite","indices":[89,98]},{"text":"outout","indices":[100,107]}],"symbols":[],"user_mentions":[],"urls":[{"url":"https://t.co/VrpAKfj7N4","expanded_url":"https://bit.ly/3OPDveG","display_url":"bit.ly/3OPDveG","indices":[39,62]}]}</t>
  </si>
  <si>
    <t>1521023094726479873</t>
  </si>
  <si>
    <t>Rudders60</t>
  </si>
  <si>
    <t>RT @AlasSmithJones: @Nemesis41067680 @stevebr98325879 @AngelaRayner @thesundaytimes #BackBoris #TeamBoris #BorisTrain #NeverLabour #NeverLiebour #Conservatives #LabourHypocricy #LabourSleaze #LabourLies #CaptainHindsight #HypocriteStarmer #SmarmyStarmer #StarmerLies #ScumMedia #DefundTheBBC #Brexit #ResignStarmer #ResignRayner #SirBeerStarmer #DurhamGate</t>
  </si>
  <si>
    <t>Mon May 02 07:05:39 +0000 2022</t>
  </si>
  <si>
    <t>4890041171</t>
  </si>
  <si>
    <t>http://pbs.twimg.com/profile_images/1347284401256865799/wlFP2XVe_normal.jpg</t>
  </si>
  <si>
    <t>http://twitter.com/Rudders60/statuses/1521023094726479873</t>
  </si>
  <si>
    <t>{"hashtags":[{"text":"BackBoris","indices":[84,94]},{"text":"TeamBoris","indices":[95,105]},{"text":"BorisTrain","indices":[106,117]},{"text":"NeverLabour","indices":[118,130]}],"symbols":[],"user_mentions":[{"screen_name":"AlasSmithJones","name":"David Partington #BackBoris #ResignSturgeon","id":1488899444087177200,"id_str":"1488899444087177216","indices":[3,18]},{"screen_name":"Nemesis41067680","name":"Nemesis #backboris - #FBPE blocked, no DMs","id":1266098534094438400,"id_str":"1266098534094438407","indices":[20,36]},{"screen_name":"stevebr98325879","name":"steve brown","id":570229876,"id_str":"570229876","indices":[37,53]},{"screen_name":"AngelaRayner","name":"Angela Rayner 🌹","id":222748037,"id_str":"222748037","indices":[54,67]},{"screen_name":"thesundaytimes","name":"The Sunday Times","id":102707504,"id_str":"102707504","indices":[68,83]}],"urls":[]}</t>
  </si>
  <si>
    <t>1521023071821389824</t>
  </si>
  <si>
    <t>RT @PaulWhelan745: @markjenkinsonmp #Brexit is going anyway. It's only a matter of time: https://t.co/DAYld0mUOI</t>
  </si>
  <si>
    <t>Mon May 02 07:05:34 +0000 2022</t>
  </si>
  <si>
    <t>http://twitter.com/ElizeBiermann/statuses/1521023071821389824</t>
  </si>
  <si>
    <t>{"hashtags":[{"text":"Brexit","indices":[36,43]}],"symbols":[],"user_mentions":[{"screen_name":"PaulWhelan745","name":"Paul Whelan","id":582867073,"id_str":"582867073","indices":[3,17]},{"screen_name":"markjenkinsonmp","name":"Mark Jenkinson MP","id":116228328,"id_str":"116228328","indices":[19,35]}],"urls":[{"url":"https://t.co/DAYld0mUOI","expanded_url":"https://paulwhelanwriting.blogspot.com/2020/12/the-unsettled-settlement-uk-eu-trade.html","display_url":"paulwhelanwriting.blogspot.com/2020/12/the-un…","indices":[89,112]}]}</t>
  </si>
  <si>
    <t>1521023046382936064</t>
  </si>
  <si>
    <t>Towler</t>
  </si>
  <si>
    <t>Mon May 02 07:05:28 +0000 2022</t>
  </si>
  <si>
    <t>19644462</t>
  </si>
  <si>
    <t>http://pbs.twimg.com/profile_images/1505647011831422977/mJYQ0cfm_normal.jpg</t>
  </si>
  <si>
    <t>http://twitter.com/Towler/statuses/1521023046382936064</t>
  </si>
  <si>
    <t>1521022995728408579</t>
  </si>
  <si>
    <t>RabiaL121</t>
  </si>
  <si>
    <t>Mon May 02 07:05:16 +0000 2022</t>
  </si>
  <si>
    <t>910543446938718209</t>
  </si>
  <si>
    <t>http://pbs.twimg.com/profile_images/1508510904232685574/VPB2PtkF_normal.jpg</t>
  </si>
  <si>
    <t>http://twitter.com/RabiaL121/statuses/1521022995728408579</t>
  </si>
  <si>
    <t>1521022948655648770</t>
  </si>
  <si>
    <t>Salanais</t>
  </si>
  <si>
    <t>Mon May 02 07:05:04 +0000 2022</t>
  </si>
  <si>
    <t>21448710</t>
  </si>
  <si>
    <t>http://pbs.twimg.com/profile_images/2603575427/r4Y21y2M_normal</t>
  </si>
  <si>
    <t xml:space="preserve">Farnham Common </t>
  </si>
  <si>
    <t>http://twitter.com/Salanais/statuses/1521022948655648770</t>
  </si>
  <si>
    <t>1521022943391850496</t>
  </si>
  <si>
    <t>KTCharlton</t>
  </si>
  <si>
    <t>Mon May 02 07:05:03 +0000 2022</t>
  </si>
  <si>
    <t>599578018</t>
  </si>
  <si>
    <t>http://pbs.twimg.com/profile_images/1207349724686274560/y5Ub6kKm_normal.jpg</t>
  </si>
  <si>
    <t>Hexham, Northumberland</t>
  </si>
  <si>
    <t>http://twitter.com/KTCharlton/statuses/1521022943391850496</t>
  </si>
  <si>
    <t>1521022931610001408</t>
  </si>
  <si>
    <t>Raymond23824751</t>
  </si>
  <si>
    <t>Mon May 02 07:05:00 +0000 2022</t>
  </si>
  <si>
    <t>1489321613468356619</t>
  </si>
  <si>
    <t>http://pbs.twimg.com/profile_images/1489323046292832258/C4pJzinK_normal.jpg</t>
  </si>
  <si>
    <t>Great Ellingham, England</t>
  </si>
  <si>
    <t>http://twitter.com/Raymond23824751/statuses/1521022931610001408</t>
  </si>
  <si>
    <t>1521022912186175488</t>
  </si>
  <si>
    <t>slaine3000</t>
  </si>
  <si>
    <t>Mon May 02 07:04:56 +0000 2022</t>
  </si>
  <si>
    <t>1488916175765577728</t>
  </si>
  <si>
    <t>http://pbs.twimg.com/profile_images/1488935121088561156/gUZ6Spos_normal.jpg</t>
  </si>
  <si>
    <t>Dublin City, Ireland</t>
  </si>
  <si>
    <t>http://twitter.com/slaine3000/statuses/1521022912186175488</t>
  </si>
  <si>
    <t>1521022879680409600</t>
  </si>
  <si>
    <t>Mon May 02 07:04:48 +0000 2022</t>
  </si>
  <si>
    <t>http://twitter.com/slaine3000/statuses/1521022879680409600</t>
  </si>
  <si>
    <t>1521022861879787521</t>
  </si>
  <si>
    <t>@markjenkinsonmp If #johnsonOut98 is the only thing keeping #Brexit afloat, we really are in trouble. https://t.co/q96alGzOjV</t>
  </si>
  <si>
    <t>Mon May 02 07:04:44 +0000 2022</t>
  </si>
  <si>
    <t>http://twitter.com/BluJay1066/statuses/1521022861879787521</t>
  </si>
  <si>
    <t>{"hashtags":[{"text":"johnsonOut98","indices":[20,33]},{"text":"Brexit","indices":[60,67]}],"symbols":[],"user_mentions":[{"screen_name":"markjenkinsonmp","name":"Mark Jenkinson MP","id":116228328,"id_str":"116228328","indices":[0,16]}],"urls":[],"media":[{"id":1521022855311417300,"id_str":"1521022855311417345","indices":[102,125],"media_url":"http://pbs.twimg.com/media/FRvCOmoWYAEfrCp.jpg","media_url_https":"https://pbs.twimg.com/media/FRvCOmoWYAEfrCp.jpg","url":"https://t.co/q96alGzOjV","display_url":"pic.twitter.com/q96alGzOjV","expanded_url":"https://twitter.com/BluJay1066/status/1521022861879787521/photo/1","type":"photo","sizes":{"thumb":{"w":150,"h":150,"resize":"crop"},"large":{"w":1414,"h":2000,"resize":"fit"},"small":{"w":481,"h":680,"resize":"fit"},"medium":{"w":848,"h":1200,"resize":"fit"}}}]}</t>
  </si>
  <si>
    <t>1521022809656512512</t>
  </si>
  <si>
    <t>Mon May 02 07:04:31 +0000 2022</t>
  </si>
  <si>
    <t>http://twitter.com/slaine3000/statuses/1521022809656512512</t>
  </si>
  <si>
    <t>1521022806359740416</t>
  </si>
  <si>
    <t>Emu52May</t>
  </si>
  <si>
    <t>Mon May 02 07:04:30 +0000 2022</t>
  </si>
  <si>
    <t>785334559</t>
  </si>
  <si>
    <t>http://pbs.twimg.com/profile_images/1223980563545174017/pYDcXXqd_normal.jpg</t>
  </si>
  <si>
    <t>http://twitter.com/Emu52May/statuses/1521022806359740416</t>
  </si>
  <si>
    <t>1521022765243027456</t>
  </si>
  <si>
    <t>Gosia73686703</t>
  </si>
  <si>
    <t>Mon May 02 07:04:21 +0000 2022</t>
  </si>
  <si>
    <t>1264971555584512000</t>
  </si>
  <si>
    <t>http://twitter.com/Gosia73686703/statuses/1521022765243027456</t>
  </si>
  <si>
    <t>1521022650285531137</t>
  </si>
  <si>
    <t>Mon May 02 07:03:53 +0000 2022</t>
  </si>
  <si>
    <t>http://twitter.com/slaine3000/statuses/1521022650285531137</t>
  </si>
  <si>
    <t>1521022542240268289</t>
  </si>
  <si>
    <t>FreeBritain</t>
  </si>
  <si>
    <t>Mon May 02 07:03:27 +0000 2022</t>
  </si>
  <si>
    <t>76104400</t>
  </si>
  <si>
    <t>http://pbs.twimg.com/profile_images/1497142746708127759/i1byR56v_normal.jpg</t>
  </si>
  <si>
    <t>http://twitter.com/FreeBritain/statuses/1521022542240268289</t>
  </si>
  <si>
    <t>1521022505166819329</t>
  </si>
  <si>
    <t>@kate_degerdon @audouin1b @affleckquine @UKLabour The paradox is, Starmer didn't need to go anti-#Brexit now. He just needed to avoid ruling out the EEA SM option. Burying it in page 10 of his next manifesto, is all that's needed to mandate it at the next GE. Instead he's digging a hole too deep to climb out of.</t>
  </si>
  <si>
    <t>Mon May 02 07:03:19 +0000 2022</t>
  </si>
  <si>
    <t>806168094624415744</t>
  </si>
  <si>
    <t>kate_degerdon</t>
  </si>
  <si>
    <t>1521020841496088582</t>
  </si>
  <si>
    <t>http://twitter.com/philiparrogers/statuses/1521022505166819329</t>
  </si>
  <si>
    <t>{"hashtags":[{"text":"Brexit","indices":[97,104]}],"symbols":[],"user_mentions":[{"screen_name":"kate_degerdon","name":"Kate Degerdon - anti Tory, anti Brexit, pro EU","id":806168094624415700,"id_str":"806168094624415744","indices":[0,14]},{"screen_name":"audouin1b","name":"David Wright#FBPE#FBPA#antibrexit#facciamorete💙","id":527674798,"id_str":"527674798","indices":[15,25]},{"screen_name":"affleckquine","name":"Kate","id":1023999750218100700,"id_str":"1023999750218100736","indices":[26,39]},{"screen_name":"UKLabour","name":"The Labour Party","id":14291684,"id_str":"14291684","indices":[40,49]}],"urls":[]}</t>
  </si>
  <si>
    <t>1521022463886475266</t>
  </si>
  <si>
    <t>DMTEnergy</t>
  </si>
  <si>
    <t>Mon May 02 07:03:09 +0000 2022</t>
  </si>
  <si>
    <t>410544436</t>
  </si>
  <si>
    <t>http://pbs.twimg.com/profile_images/777752534374944768/N1dsWLOF_normal.jpg</t>
  </si>
  <si>
    <t>http://twitter.com/DMTEnergy/statuses/1521022463886475266</t>
  </si>
  <si>
    <t>1521022447738306560</t>
  </si>
  <si>
    <t>gillditch55</t>
  </si>
  <si>
    <t>Mon May 02 07:03:05 +0000 2022</t>
  </si>
  <si>
    <t>317226991</t>
  </si>
  <si>
    <t>http://pbs.twimg.com/profile_images/1242201312172924931/Cy1s4n0G_normal.jpg</t>
  </si>
  <si>
    <t>http://twitter.com/gillditch55/statuses/1521022447738306560</t>
  </si>
  <si>
    <t>1521022446601707520</t>
  </si>
  <si>
    <t>http://twitter.com/DMTEnergy/statuses/1521022446601707520</t>
  </si>
  <si>
    <t>1521022385834663937</t>
  </si>
  <si>
    <t>TessaDo45654514</t>
  </si>
  <si>
    <t>Mon May 02 07:02:50 +0000 2022</t>
  </si>
  <si>
    <t>1344423422714109954</t>
  </si>
  <si>
    <t>http://pbs.twimg.com/profile_images/1421439577127112704/3bmMlvZj_normal.jpg</t>
  </si>
  <si>
    <t>http://twitter.com/TessaDo45654514/statuses/1521022385834663937</t>
  </si>
  <si>
    <t>1521022351122518017</t>
  </si>
  <si>
    <t>jamesmb</t>
  </si>
  <si>
    <t>When the #Brexit referendum was announced, £1 bought 1.43€. As of May 1, 2022 at 09:01AM, £1 buys 1.192€. A weak currency is a sign of problems in an economy. #OwnYourBrexit #BrexitIsACrimeScene</t>
  </si>
  <si>
    <t>Mon May 02 07:02:42 +0000 2022</t>
  </si>
  <si>
    <t>9820002</t>
  </si>
  <si>
    <t>http://pbs.twimg.com/profile_images/1496752252232646662/Dr4GFJMQ_normal.jpg</t>
  </si>
  <si>
    <t>Bretagne</t>
  </si>
  <si>
    <t>http://twitter.com/jamesmb/statuses/1521022351122518017</t>
  </si>
  <si>
    <t>{"hashtags":[{"text":"Brexit","indices":[9,16]},{"text":"OwnYourBrexit","indices":[159,173]},{"text":"BrexitIsACrimeScene","indices":[174,194]}],"symbols":[],"user_mentions":[],"urls":[]}</t>
  </si>
  <si>
    <t>1521022339844124672</t>
  </si>
  <si>
    <t>Mon May 02 07:02:39 +0000 2022</t>
  </si>
  <si>
    <t>http://twitter.com/DMTEnergy/statuses/1521022339844124672</t>
  </si>
  <si>
    <t>1521022280234639360</t>
  </si>
  <si>
    <t>Mon May 02 07:02:25 +0000 2022</t>
  </si>
  <si>
    <t>http://twitter.com/gillditch55/statuses/1521022280234639360</t>
  </si>
  <si>
    <t>1521022261590953984</t>
  </si>
  <si>
    <t>SallyAnneWalker</t>
  </si>
  <si>
    <t>Mon May 02 07:02:21 +0000 2022</t>
  </si>
  <si>
    <t>102689288</t>
  </si>
  <si>
    <t>http://pbs.twimg.com/profile_images/1046458519057297408/aKPWkC33_normal.jpg</t>
  </si>
  <si>
    <t>http://twitter.com/SallyAnneWalker/statuses/1521022261590953984</t>
  </si>
  <si>
    <t>1521022241915510784</t>
  </si>
  <si>
    <t>BHaigh1</t>
  </si>
  <si>
    <t>Mon May 02 07:02:16 +0000 2022</t>
  </si>
  <si>
    <t>2280260965</t>
  </si>
  <si>
    <t>http://pbs.twimg.com/profile_images/420550107340107776/8BXOrwg2_normal.jpeg</t>
  </si>
  <si>
    <t>http://twitter.com/BHaigh1/statuses/1521022241915510784</t>
  </si>
  <si>
    <t>1521022157949710338</t>
  </si>
  <si>
    <t>pelargonium2</t>
  </si>
  <si>
    <t>Mon May 02 07:01:56 +0000 2022</t>
  </si>
  <si>
    <t>3362644653</t>
  </si>
  <si>
    <t>http://twitter.com/pelargonium2/statuses/1521022157949710338</t>
  </si>
  <si>
    <t>1521022129445163009</t>
  </si>
  <si>
    <t>paul_m_a_martin</t>
  </si>
  <si>
    <t>Mon May 02 07:01:49 +0000 2022</t>
  </si>
  <si>
    <t>1908509226</t>
  </si>
  <si>
    <t>http://pbs.twimg.com/profile_images/378800000513401192/8c3491330a445f0a8965dc386793558f_normal.jpeg</t>
  </si>
  <si>
    <t>http://twitter.com/paul_m_a_martin/statuses/1521022129445163009</t>
  </si>
  <si>
    <t>1521022127029248000</t>
  </si>
  <si>
    <t>sally_steel_</t>
  </si>
  <si>
    <t>RT @RaVe_74: I predict that #Brexit is going to rip the Tories apart for good. #LordFrost</t>
  </si>
  <si>
    <t>Mon May 02 07:01:48 +0000 2022</t>
  </si>
  <si>
    <t>241701962</t>
  </si>
  <si>
    <t>http://pbs.twimg.com/profile_images/1224240583738298368/NHh0ysy5_normal.jpg</t>
  </si>
  <si>
    <t>http://twitter.com/sally_steel_/statuses/1521022127029248000</t>
  </si>
  <si>
    <t>{"hashtags":[{"text":"Brexit","indices":[28,35]},{"text":"LordFrost","indices":[79,89]}],"symbols":[],"user_mentions":[{"screen_name":"RaVe_74","name":"RV ❤🇪🇺 #FBFE #FBPA #GTTO #killthebill","id":463255536,"id_str":"463255536","indices":[3,11]}],"urls":[]}</t>
  </si>
  <si>
    <t>1521022076999680002</t>
  </si>
  <si>
    <t>Gary_antiPC_Vet</t>
  </si>
  <si>
    <t>Thank god for #Brexit 
United States of Europe https://t.co/iSWKkrcJuC</t>
  </si>
  <si>
    <t>Mon May 02 07:01:37 +0000 2022</t>
  </si>
  <si>
    <t>1355856835664863233</t>
  </si>
  <si>
    <t>http://pbs.twimg.com/profile_images/1355857254101233668/psAAsmYX_normal.jpg</t>
  </si>
  <si>
    <t>http://twitter.com/Gary_antiPC_Vet/statuses/1521022076999680002</t>
  </si>
  <si>
    <t>{"hashtags":[{"text":"Brexit","indices":[14,21]}],"symbols":[],"user_mentions":[],"urls":[{"url":"https://t.co/iSWKkrcJuC","expanded_url":"https://twitter.com/DCBMEP/status/1521021512517660673","display_url":"twitter.com/DCBMEP/status/…","indices":[48,71]}]}</t>
  </si>
  <si>
    <t>1521022053419257856</t>
  </si>
  <si>
    <t>hugefoodlover</t>
  </si>
  <si>
    <t>Mon May 02 07:01:31 +0000 2022</t>
  </si>
  <si>
    <t>149293634</t>
  </si>
  <si>
    <t>http://pbs.twimg.com/profile_images/1268153948042559488/SQcH3Gjx_normal.jpg</t>
  </si>
  <si>
    <t>Floating</t>
  </si>
  <si>
    <t>http://twitter.com/hugefoodlover/statuses/1521022053419257856</t>
  </si>
  <si>
    <t>1521022033760559104</t>
  </si>
  <si>
    <t>FoxonFrancoise</t>
  </si>
  <si>
    <t>Mon May 02 07:01:26 +0000 2022</t>
  </si>
  <si>
    <t>713611104707035136</t>
  </si>
  <si>
    <t>http://twitter.com/FoxonFrancoise/statuses/1521022033760559104</t>
  </si>
  <si>
    <t>1521021984074784768</t>
  </si>
  <si>
    <t>Langers1981</t>
  </si>
  <si>
    <t>Mon May 02 07:01:14 +0000 2022</t>
  </si>
  <si>
    <t>2449862337</t>
  </si>
  <si>
    <t>http://pbs.twimg.com/profile_images/1346104976905560066/SW2IDYoU_normal.jpg</t>
  </si>
  <si>
    <t>http://twitter.com/Langers1981/statuses/1521021984074784768</t>
  </si>
  <si>
    <t>1521021955964649473</t>
  </si>
  <si>
    <t>dbkell</t>
  </si>
  <si>
    <t>Mon May 02 07:01:08 +0000 2022</t>
  </si>
  <si>
    <t>25671405</t>
  </si>
  <si>
    <t>http://pbs.twimg.com/profile_images/661588409689833472/aWy7m7QY_normal.png</t>
  </si>
  <si>
    <t>http://twitter.com/dbkell/statuses/1521021955964649473</t>
  </si>
  <si>
    <t>1521021929997623296</t>
  </si>
  <si>
    <t>mcfrankface</t>
  </si>
  <si>
    <t>Mon May 02 07:01:01 +0000 2022</t>
  </si>
  <si>
    <t>1030840306021883904</t>
  </si>
  <si>
    <t>http://pbs.twimg.com/profile_images/1418179099609255937/Qj2ednPd_normal.jpg</t>
  </si>
  <si>
    <t>http://twitter.com/mcfrankface/statuses/1521021929997623296</t>
  </si>
  <si>
    <t>1521021918329069570</t>
  </si>
  <si>
    <t>marktabet</t>
  </si>
  <si>
    <t>Mon May 02 07:00:59 +0000 2022</t>
  </si>
  <si>
    <t>239058412</t>
  </si>
  <si>
    <t>http://pbs.twimg.com/profile_images/1208321671611981825/jS702eL__normal.jpg</t>
  </si>
  <si>
    <t>http://twitter.com/marktabet/statuses/1521021918329069570</t>
  </si>
  <si>
    <t>1521021816323686400</t>
  </si>
  <si>
    <t>Mon May 02 07:00:34 +0000 2022</t>
  </si>
  <si>
    <t>http://twitter.com/pelargonium2/statuses/1521021816323686400</t>
  </si>
  <si>
    <t>1521021814566273027</t>
  </si>
  <si>
    <t>SilverstonePod</t>
  </si>
  <si>
    <t>Chris Broome talks to @JuliaHMuir of UK @Auto30Club, in this #CovidCatchUp #podcast. 
They discuss gender &amp;amp; #diversity equality in the #automotive industry; #Inspiration4Innovation &amp;amp; #Brexit. 
And what’s this about a new book? 🎧☕ https://t.co/Bk2MWxLT40
#genderequality</t>
  </si>
  <si>
    <t>1017510576417902592</t>
  </si>
  <si>
    <t>http://pbs.twimg.com/profile_images/1431195883777953792/eQIiCspb_normal.jpg</t>
  </si>
  <si>
    <t>Silverstone, England</t>
  </si>
  <si>
    <t>http://twitter.com/SilverstonePod/statuses/1521021814566273027</t>
  </si>
  <si>
    <t>{"hashtags":[{"text":"CovidCatchUp","indices":[61,74]},{"text":"podcast","indices":[75,83]},{"text":"diversity","indices":[113,123]},{"text":"automotive","indices":[140,151]},{"text":"Inspiration4Innovation","indices":[162,185]},{"text":"Brexit","indices":[192,199]},{"text":"genderequality","indices":[265,280]}],"symbols":[],"user_mentions":[{"screen_name":"JuliaHMuir","name":"Julia Muir","id":2219876671,"id_str":"2219876671","indices":[22,33]},{"screen_name":"Auto30Club","name":"Automotive 30% Club","id":817273917211574300,"id_str":"817273917211574272","indices":[40,51]}],"urls":[{"url":"https://t.co/Bk2MWxLT40","expanded_url":"https://insidesilverstone.co.uk/podcast/julia-muir-of-the-uk-automotive-30-club/","display_url":"insidesilverstone.co.uk/podcast/julia-…","indices":[240,263]}]}</t>
  </si>
  <si>
    <t>1521021810594271233</t>
  </si>
  <si>
    <t>V_partners</t>
  </si>
  <si>
    <t>Many exemptions are still available to access #UK markets for #financialservices. Will this stay the same post #Brexit? Read here for more. 
https://t.co/Xq1gsp7JtM</t>
  </si>
  <si>
    <t>Mon May 02 07:00:33 +0000 2022</t>
  </si>
  <si>
    <t>1550175907</t>
  </si>
  <si>
    <t>http://pbs.twimg.com/profile_images/378800000052817581/2aa632b09f313b52f870cd8fd6d3bf12_normal.jpeg</t>
  </si>
  <si>
    <t>http://twitter.com/V_partners/statuses/1521021810594271233</t>
  </si>
  <si>
    <t>{"hashtags":[{"text":"UK","indices":[46,49]},{"text":"financialservices","indices":[62,80]},{"text":"Brexit","indices":[111,118]}],"symbols":[],"user_mentions":[],"urls":[{"url":"https://t.co/Xq1gsp7JtM","expanded_url":"https://buff.ly/3JQ26fU","display_url":"buff.ly/3JQ26fU","indices":[141,164]}]}</t>
  </si>
  <si>
    <t>1521021794299359232</t>
  </si>
  <si>
    <t>Mon May 02 07:00:29 +0000 2022</t>
  </si>
  <si>
    <t>http://twitter.com/pelargonium2/statuses/1521021794299359232</t>
  </si>
  <si>
    <t>1521021756332552198</t>
  </si>
  <si>
    <t>tearea13</t>
  </si>
  <si>
    <t>RT @Brexit_Mistake: #brexit benefit 
@Jacob_Rees_Mogg says the UK will NOT checks goods
entering the UK at ferry ports or container ports
... which is great news for smugglers !
     * fake goods
     * sub-standard goods
     * drugs and other illegal substances
       ... and human traffickers🤣</t>
  </si>
  <si>
    <t>Mon May 02 07:00:20 +0000 2022</t>
  </si>
  <si>
    <t>1254733804939481089</t>
  </si>
  <si>
    <t>http://pbs.twimg.com/profile_images/1380910627439394818/jn_JWwdp_normal.jpg</t>
  </si>
  <si>
    <t>http://twitter.com/tearea13/statuses/1521021756332552198</t>
  </si>
  <si>
    <t>{"hashtags":[{"text":"brexit","indices":[20,27]}],"symbols":[],"user_mentions":[{"screen_name":"Brexit_Mistake","name":"Brexit is a terrible mistake","id":805077676092489700,"id_str":"805077676092489728","indices":[3,18]},{"screen_name":"Jacob_Rees_Mogg","name":"Jacob Rees-Mogg","id":885838630928994300,"id_str":"885838630928994304","indices":[38,54]}],"urls":[]}</t>
  </si>
  <si>
    <t>1521021748132683776</t>
  </si>
  <si>
    <t>Mon May 02 07:00:18 +0000 2022</t>
  </si>
  <si>
    <t>http://twitter.com/pelargonium2/statuses/1521021748132683776</t>
  </si>
  <si>
    <t>1521021695934537730</t>
  </si>
  <si>
    <t>Lost_Tribe</t>
  </si>
  <si>
    <t>@Asda chairman Stuart Rose: Food prices will keep rising. @BBCNews decided to put this under #Ukraine️ and #Russia, but remember that 80% of the price increases are due to #Brexit, @BorisJohnson and the @Conservatives.
#ProjectFear is now #BrexitReality
https://t.co/WH0AjjSlqw https://t.co/aMjMAi0Qo5</t>
  </si>
  <si>
    <t>Mon May 02 07:00:06 +0000 2022</t>
  </si>
  <si>
    <t>20123366</t>
  </si>
  <si>
    <t>asda</t>
  </si>
  <si>
    <t>43652967</t>
  </si>
  <si>
    <t>http://pbs.twimg.com/profile_images/1438046920342228992/2L12rKEG_normal.jpg</t>
  </si>
  <si>
    <t>http://twitter.com/Lost_Tribe/statuses/1521021695934537730</t>
  </si>
  <si>
    <t>{"hashtags":[{"text":"Ukraine️","indices":[93,102]},{"text":"Russia","indices":[107,114]},{"text":"Brexit","indices":[172,179]},{"text":"ProjectFear","indices":[220,232]},{"text":"BrexitReality","indices":[240,254]}],"symbols":[],"user_mentions":[{"screen_name":"asda","name":"Asda","id":20123366,"id_str":"20123366","indices":[0,5]},{"screen_name":"BBCNews","name":"BBC News (UK)","id":612473,"id_str":"612473","indices":[58,66]},{"screen_name":"BorisJohnson","name":"Boris Johnson","id":3131144855,"id_str":"3131144855","indices":[181,194]},{"screen_name":"Conservatives","name":"Conservatives","id":14281853,"id_str":"14281853","indices":[203,217]}],"urls":[{"url":"https://t.co/WH0AjjSlqw","expanded_url":"https://buff.ly/3y3xTHW","display_url":"buff.ly/3y3xTHW","indices":[256,279]}],"media":[{"id":1521021693241745400,"id_str":"1521021693241745412","indices":[280,303],"media_url":"http://pbs.twimg.com/media/FRvBK9lWYAQEDht.jpg","media_url_https":"https://pbs.twimg.com/media/FRvBK9lWYAQEDht.jpg","url":"https://t.co/aMjMAi0Qo5","display_url":"pic.twitter.com/aMjMAi0Qo5","expanded_url":"https://twitter.com/Lost_Tribe/status/1521021695934537730/photo/1","type":"photo","sizes":{"thumb":{"w":150,"h":150,"resize":"crop"},"large":{"w":976,"h":549,"resize":"fit"},"medium":{"w":976,"h":549,"resize":"fit"},"small":{"w":680,"h":383,"resize":"fit"}}}]}</t>
  </si>
  <si>
    <t>1521021667153256453</t>
  </si>
  <si>
    <t>Mon May 02 06:59:59 +0000 2022</t>
  </si>
  <si>
    <t>http://twitter.com/BHaigh1/statuses/1521021667153256453</t>
  </si>
  <si>
    <t>1521021653777620992</t>
  </si>
  <si>
    <t>sltfion</t>
  </si>
  <si>
    <t>Mon May 02 06:59:56 +0000 2022</t>
  </si>
  <si>
    <t>739569907050926080</t>
  </si>
  <si>
    <t>http://twitter.com/sltfion/statuses/1521021653777620992</t>
  </si>
  <si>
    <t>1521021616574058497</t>
  </si>
  <si>
    <t>CafeDeliFelice</t>
  </si>
  <si>
    <t>RT @WISE16: #Brexit ouch 
From 1 May 2022, if you have been resident for more than 6 months in Spain and have not exchanged your UK licence for a Spanish one, you will no longer be able to drive using your UK licence &amp;amp;  &amp;amp; they may have to  take  both a theory and practical driving test.</t>
  </si>
  <si>
    <t>Mon May 02 06:59:47 +0000 2022</t>
  </si>
  <si>
    <t>2337161035</t>
  </si>
  <si>
    <t>http://pbs.twimg.com/profile_images/869859250809516033/WCdRfQKr_normal.jpg</t>
  </si>
  <si>
    <t>London, SE16 7QJ</t>
  </si>
  <si>
    <t>http://twitter.com/CafeDeliFelice/statuses/1521021616574058497</t>
  </si>
  <si>
    <t>{"hashtags":[{"text":"Brexit","indices":[12,19]}],"symbols":[],"user_mentions":[{"screen_name":"WISE16","name":"What's on SE1 &amp; SE16","id":149060842,"id_str":"149060842","indices":[3,10]}],"urls":[]}</t>
  </si>
  <si>
    <t>1521021614586048513</t>
  </si>
  <si>
    <t>AlliManson</t>
  </si>
  <si>
    <t>Mon May 02 06:59:46 +0000 2022</t>
  </si>
  <si>
    <t>253231501</t>
  </si>
  <si>
    <t>http://pbs.twimg.com/profile_images/1075812315176550400/8RxF1VNP_normal.jpg</t>
  </si>
  <si>
    <t>http://twitter.com/AlliManson/statuses/1521021614586048513</t>
  </si>
  <si>
    <t>1521021613151596545</t>
  </si>
  <si>
    <t>Christi61144576</t>
  </si>
  <si>
    <t>1467997698020331521</t>
  </si>
  <si>
    <t>http://pbs.twimg.com/profile_images/1467997886378123265/QC8tdDjl_normal.jpg</t>
  </si>
  <si>
    <t>http://twitter.com/Christi61144576/statuses/1521021613151596545</t>
  </si>
  <si>
    <t>1521021582604488706</t>
  </si>
  <si>
    <t>PapaFrew</t>
  </si>
  <si>
    <t>Mon May 02 06:59:39 +0000 2022</t>
  </si>
  <si>
    <t>1269789842</t>
  </si>
  <si>
    <t>http://pbs.twimg.com/profile_images/666386287188922368/ikROhxMF_normal.jpg</t>
  </si>
  <si>
    <t xml:space="preserve">Yorkshire </t>
  </si>
  <si>
    <t>http://twitter.com/PapaFrew/statuses/1521021582604488706</t>
  </si>
  <si>
    <t>1521021496726020096</t>
  </si>
  <si>
    <t>Mon May 02 06:59:18 +0000 2022</t>
  </si>
  <si>
    <t>http://twitter.com/pelargonium2/statuses/1521021496726020096</t>
  </si>
  <si>
    <t>1521021379755315202</t>
  </si>
  <si>
    <t>Mon May 02 06:58:50 +0000 2022</t>
  </si>
  <si>
    <t>http://twitter.com/pelargonium2/statuses/1521021379755315202</t>
  </si>
  <si>
    <t>1521021374487306241</t>
  </si>
  <si>
    <t>winter_greg</t>
  </si>
  <si>
    <t>Mon May 02 06:58:49 +0000 2022</t>
  </si>
  <si>
    <t>1367981828</t>
  </si>
  <si>
    <t>http://pbs.twimg.com/profile_images/1330069745677328385/exJ3iPca_normal.jpg</t>
  </si>
  <si>
    <t>http://twitter.com/winter_greg/statuses/1521021374487306241</t>
  </si>
  <si>
    <t>1521021372868218880</t>
  </si>
  <si>
    <t>fionn114</t>
  </si>
  <si>
    <t>RT @RichardScribbl1: British residents in Spain have now lost their right to carry on driving using their UK driving licences. Another #Brexit benefit.</t>
  </si>
  <si>
    <t>60805938</t>
  </si>
  <si>
    <t>http://pbs.twimg.com/profile_images/1477281448/Pics_7.5.11_001_normal.jpg</t>
  </si>
  <si>
    <t>http://twitter.com/fionn114/statuses/1521021372868218880</t>
  </si>
  <si>
    <t>{"hashtags":[],"symbols":[],"user_mentions":[{"screen_name":"RichardScribbl1","name":"Richard Scribbles","id":1035961415591489500,"id_str":"1035961415591489537","indices":[3,19]}],"urls":[]}</t>
  </si>
  <si>
    <t>1521021353020772352</t>
  </si>
  <si>
    <t>@Benjani84 @SkyNews I did say use Google before you embarrassed yourself.  
GHIC does not provide the same coverage as EHIC in the EU.  That’s just another #Brexit lie designed to fool the same people that fell for a big red bus. https://t.co/tOzjqKjqho</t>
  </si>
  <si>
    <t>Mon May 02 06:58:44 +0000 2022</t>
  </si>
  <si>
    <t>1521020179718844416</t>
  </si>
  <si>
    <t>http://twitter.com/NuncTempus/statuses/1521021353020772352</t>
  </si>
  <si>
    <t>{"hashtags":[{"text":"Brexit","indices":[157,164]}],"symbols":[],"user_mentions":[{"screen_name":"Benjani84","name":"Benjamin","id":63764194,"id_str":"63764194","indices":[0,10]},{"screen_name":"SkyNews","name":"Sky News","id":7587032,"id_str":"7587032","indices":[11,19]}],"urls":[],"media":[{"id":1521021348574900200,"id_str":"1521021348574900224","indices":[231,254],"media_url":"http://pbs.twimg.com/media/FRvA25mXsAABbvk.jpg","media_url_https":"https://pbs.twimg.com/media/FRvA25mXsAABbvk.jpg","url":"https://t.co/tOzjqKjqho","display_url":"pic.twitter.com/tOzjqKjqho","expanded_url":"https://twitter.com/NuncTempus/status/1521021353020772352/photo/1","type":"photo","sizes":{"thumb":{"w":150,"h":150,"resize":"crop"},"small":{"w":680,"h":584,"resize":"fit"},"large":{"w":1170,"h":1005,"resize":"fit"},"medium":{"w":1170,"h":1005,"resize":"fit"}}}]}</t>
  </si>
  <si>
    <t>1521021278265778182</t>
  </si>
  <si>
    <t>NigelNorman</t>
  </si>
  <si>
    <t>RT @Tom___Scott: At Oxford, Boris Johnson was a member of the Bullingdon Club, which specialised in jeering at poor people &amp;amp; drunkenly smashing up restaurants.
Now he can smash up an entire country.
(PS: #Brexit is striking a glorious blow against "the elite")
#BorisDay
https://t.co/oz3bSOgnfN https://t.co/GymJ2rh88q</t>
  </si>
  <si>
    <t>Mon May 02 06:58:26 +0000 2022</t>
  </si>
  <si>
    <t>133200469</t>
  </si>
  <si>
    <t>http://pbs.twimg.com/profile_images/1230263674151079938/hUXVB9P9_normal.jpg</t>
  </si>
  <si>
    <t>Avebury, England</t>
  </si>
  <si>
    <t>http://twitter.com/NigelNorman/statuses/1521021278265778182</t>
  </si>
  <si>
    <t>{"hashtags":[],"symbols":[],"user_mentions":[{"screen_name":"Tom___Scott","name":"Tom Scott 🇺🇦","id":2846809907,"id_str":"2846809907","indices":[3,15]}],"urls":[]}</t>
  </si>
  <si>
    <t>1521021152075948033</t>
  </si>
  <si>
    <t>fransglobal</t>
  </si>
  <si>
    <t>RT @EURACTIV: 🇬🇧 This Thursday it is predicted that Sinn Fein will come first in elections in Northern Ireland. This plus growing popularity of the centrist Alliance Party are paving the way for future constitutional change.
Another consequence of #Brexit 👇
https://t.co/yrtHSxIgK9</t>
  </si>
  <si>
    <t>Mon May 02 06:57:56 +0000 2022</t>
  </si>
  <si>
    <t>44644707</t>
  </si>
  <si>
    <t>http://pbs.twimg.com/profile_images/1422569969817030663/C_uGC2nK_normal.jpg</t>
  </si>
  <si>
    <t>http://twitter.com/fransglobal/statuses/1521021152075948033</t>
  </si>
  <si>
    <t>{"hashtags":[],"symbols":[],"user_mentions":[{"screen_name":"EURACTIV","name":"EURACTIV","id":14808226,"id_str":"14808226","indices":[3,12]}],"urls":[]}</t>
  </si>
  <si>
    <t>1521021139082002433</t>
  </si>
  <si>
    <t>Mon May 02 06:57:53 +0000 2022</t>
  </si>
  <si>
    <t>http://twitter.com/gingerbred79/statuses/1521021139082002433</t>
  </si>
  <si>
    <t>1521021109159743489</t>
  </si>
  <si>
    <t>Mon May 02 06:57:46 +0000 2022</t>
  </si>
  <si>
    <t>http://twitter.com/gingerbred79/statuses/1521021109159743489</t>
  </si>
  <si>
    <t>1521021064683442176</t>
  </si>
  <si>
    <t>a_protheroe</t>
  </si>
  <si>
    <t>Mon May 02 06:57:35 +0000 2022</t>
  </si>
  <si>
    <t>1127359740</t>
  </si>
  <si>
    <t>http://twitter.com/a_protheroe/statuses/1521021064683442176</t>
  </si>
  <si>
    <t>1521020880339574790</t>
  </si>
  <si>
    <t>leejone46284322</t>
  </si>
  <si>
    <t>Mon May 02 06:56:51 +0000 2022</t>
  </si>
  <si>
    <t>1306493886525734912</t>
  </si>
  <si>
    <t>http://pbs.twimg.com/profile_images/1325506894295928832/QhIsOD-v_normal.jpg</t>
  </si>
  <si>
    <t>http://twitter.com/leejone46284322/statuses/1521020880339574790</t>
  </si>
  <si>
    <t>1521020791214813184</t>
  </si>
  <si>
    <t>BrianMailey1</t>
  </si>
  <si>
    <t>Mon May 02 06:56:30 +0000 2022</t>
  </si>
  <si>
    <t>372828576</t>
  </si>
  <si>
    <t>http://pbs.twimg.com/profile_images/1016655593006862336/ixDQBB--_normal.jpg</t>
  </si>
  <si>
    <t>Co Down, Northern Ireland</t>
  </si>
  <si>
    <t>http://twitter.com/BrianMailey1/statuses/1521020791214813184</t>
  </si>
  <si>
    <t>1521020787108585472</t>
  </si>
  <si>
    <t>RT @EuropeanPowell: Will someone stand up at #COP26 and call out Johnson for discharging tons of sewage into UK coastlines as soon as #Brexit slammed the door on the EU's environmental British rivers and beaches program? 9000 miles of rivers, 95% of water at beaches cleaned by the EU!🙄I despair</t>
  </si>
  <si>
    <t>Mon May 02 06:56:29 +0000 2022</t>
  </si>
  <si>
    <t>http://twitter.com/yllekonadnerb/statuses/1521020787108585472</t>
  </si>
  <si>
    <t>{"hashtags":[{"text":"COP26","indices":[45,51]}],"symbols":[],"user_mentions":[{"screen_name":"EuropeanPowell","name":"EuropeanPowell","id":998825510552723500,"id_str":"998825510552723456","indices":[3,18]}],"urls":[]}</t>
  </si>
  <si>
    <t>1521020533655195649</t>
  </si>
  <si>
    <t>ClareMortimer6</t>
  </si>
  <si>
    <t>Mon May 02 06:55:29 +0000 2022</t>
  </si>
  <si>
    <t>1253752494083244032</t>
  </si>
  <si>
    <t>http://pbs.twimg.com/profile_images/1253752656880979969/GjTQXBDK_normal.jpg</t>
  </si>
  <si>
    <t>http://twitter.com/ClareMortimer6/statuses/1521020533655195649</t>
  </si>
  <si>
    <t>1521020472623874048</t>
  </si>
  <si>
    <t>PostgateJRD</t>
  </si>
  <si>
    <t>Mon May 02 06:55:14 +0000 2022</t>
  </si>
  <si>
    <t>905739215748694017</t>
  </si>
  <si>
    <t>Brixton</t>
  </si>
  <si>
    <t>http://twitter.com/PostgateJRD/statuses/1521020472623874048</t>
  </si>
  <si>
    <t>1521020414595682304</t>
  </si>
  <si>
    <t>EURACTIV</t>
  </si>
  <si>
    <t>🇬🇧 This Thursday it is predicted that Sinn Fein will come first in elections in Northern Ireland. This plus growing popularity of the centrist Alliance Party are paving the way for future constitutional change.
Another consequence of #Brexit 👇
https://t.co/yrtHSxIgK9</t>
  </si>
  <si>
    <t>Mon May 02 06:55:00 +0000 2022</t>
  </si>
  <si>
    <t>14808226</t>
  </si>
  <si>
    <t>&lt;a href="https://sproutsocial.com" rel="nofollow"&gt;Sprout Social&lt;/a&gt;</t>
  </si>
  <si>
    <t>http://pbs.twimg.com/profile_images/823590341098045440/_KnSOqm1_normal.jpg</t>
  </si>
  <si>
    <t>Brussels (+12 capitals)</t>
  </si>
  <si>
    <t>http://twitter.com/EURACTIV/statuses/1521020414595682304</t>
  </si>
  <si>
    <t>{"hashtags":[{"text":"Brexit","indices":[235,242]}],"symbols":[],"user_mentions":[],"urls":[{"url":"https://t.co/yrtHSxIgK9","expanded_url":"https://www.euractiv.com/section/uk-europe/news/nationalists-eye-power-as-northern-ireland-holds-seismic-election/","display_url":"euractiv.com/section/uk-eur…","indices":[245,268]}]}</t>
  </si>
  <si>
    <t>1521020373118205953</t>
  </si>
  <si>
    <t>GilhamColin</t>
  </si>
  <si>
    <t>Mon May 02 06:54:50 +0000 2022</t>
  </si>
  <si>
    <t>2891435261</t>
  </si>
  <si>
    <t>http://pbs.twimg.com/profile_images/1515226446972788738/dFsazVuB_normal.jpg</t>
  </si>
  <si>
    <t>Welling, Kent</t>
  </si>
  <si>
    <t>http://twitter.com/GilhamColin/statuses/1521020373118205953</t>
  </si>
  <si>
    <t>1521020356860985346</t>
  </si>
  <si>
    <t>MJJSeagull</t>
  </si>
  <si>
    <t>Mon May 02 06:54:46 +0000 2022</t>
  </si>
  <si>
    <t>257910591</t>
  </si>
  <si>
    <t>http://pbs.twimg.com/profile_images/1351227238449098755/0k8fESYn_normal.jpg</t>
  </si>
  <si>
    <t>http://twitter.com/MJJSeagull/statuses/1521020356860985346</t>
  </si>
  <si>
    <t>1521020342940188673</t>
  </si>
  <si>
    <t>RT @philiparrogers: @BrandonLewis What a puerile tweet.
Bank of England (&amp;amp; the IMF)
Public Accounts Committee
Office of Budget Responsibility
All confirm #Brexit is an absolute disaster for UK
&amp;amp; you can't even respect your own EU TCA.
https://t.co/7FFNEj6YFL</t>
  </si>
  <si>
    <t>Mon May 02 06:54:43 +0000 2022</t>
  </si>
  <si>
    <t>http://twitter.com/huxleyisland/statuses/1521020342940188673</t>
  </si>
  <si>
    <t>{"hashtags":[],"symbols":[],"user_mentions":[{"screen_name":"philiparrogers","name":"philip #FBPE Oppose #PutinsBrexit 🇺🇦🇺🇦🇺🇦🇺🇦","id":861840682247479300,"id_str":"861840682247479296","indices":[3,18]},{"screen_name":"BrandonLewis","name":"Brandon Lewis","id":16884084,"id_str":"16884084","indices":[20,33]}],"urls":[]}</t>
  </si>
  <si>
    <t>1521020334450819072</t>
  </si>
  <si>
    <t>pancakeson</t>
  </si>
  <si>
    <t>Mon May 02 06:54:41 +0000 2022</t>
  </si>
  <si>
    <t>139060043</t>
  </si>
  <si>
    <t>http://twitter.com/pancakeson/statuses/1521020334450819072</t>
  </si>
  <si>
    <t>1521020268159942656</t>
  </si>
  <si>
    <t>@paulharris1957 Absolutely agree the only workable #Brexit is the UK being in the EEA Single Market. So why has Starmer, expressly ruled that out?</t>
  </si>
  <si>
    <t>Mon May 02 06:54:25 +0000 2022</t>
  </si>
  <si>
    <t>1250028447520432129</t>
  </si>
  <si>
    <t>paulharris1957</t>
  </si>
  <si>
    <t>http://twitter.com/philiparrogers/statuses/1521020268159942656</t>
  </si>
  <si>
    <t>{"hashtags":[{"text":"Brexit","indices":[51,58]}],"symbols":[],"user_mentions":[{"screen_name":"paulharris1957","name":"Paul Harris FBPE Hate Tory Scum","id":1250028447520432000,"id_str":"1250028447520432129","indices":[0,15]}],"urls":[]}</t>
  </si>
  <si>
    <t>1521020110986743808</t>
  </si>
  <si>
    <t>@ultimate_os @NissanEVuk @EarlTheLeaf @QuentinWillson @FullyChargedShw @NissanUK As long as Sunderland can make their own batteries, otherwise EU Rules of Origin can shut them down. #Brexit
https://t.co/9GBrOoMdoX</t>
  </si>
  <si>
    <t>Mon May 02 06:53:48 +0000 2022</t>
  </si>
  <si>
    <t>1220306309452566530</t>
  </si>
  <si>
    <t>ultimate_os</t>
  </si>
  <si>
    <t>1520780009073528833</t>
  </si>
  <si>
    <t>http://twitter.com/VanDutchmanXXX/statuses/1521020110986743808</t>
  </si>
  <si>
    <t>{"hashtags":[{"text":"Brexit","indices":[182,189]}],"symbols":[],"user_mentions":[{"screen_name":"ultimate_os","name":"Oliver","id":1220306309452566500,"id_str":"1220306309452566530","indices":[0,12]},{"screen_name":"NissanEVuk","name":"Nissan LEAF UK News &amp; Information 🇬🇧","id":1252597333784699000,"id_str":"1252597333784698880","indices":[13,24]},{"screen_name":"EarlTheLeaf","name":"OSCAR the LEAF 🇬🇧","id":781725921027952600,"id_str":"781725921027952640","indices":[25,37]},{"screen_name":"QuentinWillson","name":"Quentin Willson","id":194084833,"id_str":"194084833","indices":[38,53]},{"screen_name":"FullyChargedShw","name":"Fully Charged Show","id":770933216870076400,"id_str":"770933216870076416","indices":[54,70]},{"screen_name":"NissanUK","name":"NissanUK","id":198596515,"id_str":"198596515","indices":[71,80]}],"urls":[{"url":"https://t.co/9GBrOoMdoX","expanded_url":"https://www.autocar.co.uk/car-news/industry-news-tech%2C-development-and-manufacturing/inside-industry-why-rule-origin-brexit","display_url":"autocar.co.uk/car-news/indus…","indices":[190,213]}]}</t>
  </si>
  <si>
    <t>1521020100534538241</t>
  </si>
  <si>
    <t>cbreretonartist</t>
  </si>
  <si>
    <t>Mon May 02 06:53:45 +0000 2022</t>
  </si>
  <si>
    <t>2200106636</t>
  </si>
  <si>
    <t>http://pbs.twimg.com/profile_images/378800000753851774/0a74092018c55d99f137a9df8eb87d1f_normal.jpeg</t>
  </si>
  <si>
    <t>http://twitter.com/cbreretonartist/statuses/1521020100534538241</t>
  </si>
  <si>
    <t>1521019896225796096</t>
  </si>
  <si>
    <t>New4aDay</t>
  </si>
  <si>
    <t>Mon May 02 06:52:57 +0000 2022</t>
  </si>
  <si>
    <t>2463211746</t>
  </si>
  <si>
    <t>http://pbs.twimg.com/profile_images/783569600826974208/uyy1zaPL_normal.jpg</t>
  </si>
  <si>
    <t>http://twitter.com/New4aDay/statuses/1521019896225796096</t>
  </si>
  <si>
    <t>1521019890018177024</t>
  </si>
  <si>
    <t>Davej3ffs</t>
  </si>
  <si>
    <t>Look Leavers, you won 😁 #Brexit #BrexitHasFailed #BrexitShambles #BrexitIsntWorking 
 https://t.co/AT8xpJWbTp</t>
  </si>
  <si>
    <t>Mon May 02 06:52:55 +0000 2022</t>
  </si>
  <si>
    <t>209268325</t>
  </si>
  <si>
    <t>http://pbs.twimg.com/profile_images/1059147573808783362/AR0amWgB_normal.jpg</t>
  </si>
  <si>
    <t>http://twitter.com/Davej3ffs/statuses/1521019890018177024</t>
  </si>
  <si>
    <t>{"hashtags":[{"text":"Brexit","indices":[24,31]},{"text":"BrexitHasFailed","indices":[32,48]},{"text":"BrexitShambles","indices":[49,64]},{"text":"BrexitIsntWorking","indices":[65,83]}],"symbols":[],"user_mentions":[],"urls":[{"url":"https://t.co/AT8xpJWbTp","expanded_url":"https://www.mirror.co.uk/news/world-news/spain-airport-sees-irish-tourists-26823933?utm_source=twitter.com&amp;utm_medium=social&amp;utm_campaign=sharebar","display_url":"mirror.co.uk/news/world-new…","indices":[87,110]}]}</t>
  </si>
  <si>
    <t>1521019839774666752</t>
  </si>
  <si>
    <t>jayneinspain</t>
  </si>
  <si>
    <t>Mon May 02 06:52:43 +0000 2022</t>
  </si>
  <si>
    <t>139664221</t>
  </si>
  <si>
    <t>http://pbs.twimg.com/profile_images/1486400183059505152/y-l8_avR_normal.jpg</t>
  </si>
  <si>
    <t>Spain since 2001</t>
  </si>
  <si>
    <t>http://twitter.com/jayneinspain/statuses/1521019839774666752</t>
  </si>
  <si>
    <t>1521019828949200896</t>
  </si>
  <si>
    <t>Mon May 02 06:52:41 +0000 2022</t>
  </si>
  <si>
    <t>http://twitter.com/New4aDay/statuses/1521019828949200896</t>
  </si>
  <si>
    <t>1521019807377764352</t>
  </si>
  <si>
    <t>velmadoo</t>
  </si>
  <si>
    <t>Mon May 02 06:52:35 +0000 2022</t>
  </si>
  <si>
    <t>24890938</t>
  </si>
  <si>
    <t>http://pbs.twimg.com/profile_images/112254235/me_normal.jpg</t>
  </si>
  <si>
    <t>Leicestershire</t>
  </si>
  <si>
    <t>http://twitter.com/velmadoo/statuses/1521019807377764352</t>
  </si>
  <si>
    <t>1521019786179887105</t>
  </si>
  <si>
    <t>alisonrphillips</t>
  </si>
  <si>
    <t>Get #JohnsonOut first then work on #brexit - referendum to rejoin would be a way forward with interim joining single custom union and actually working with the EU instead of against it the way this shambolic Tory gov has gone! https://t.co/TmdtyaRm6d</t>
  </si>
  <si>
    <t>Mon May 02 06:52:30 +0000 2022</t>
  </si>
  <si>
    <t>200990580</t>
  </si>
  <si>
    <t>http://pbs.twimg.com/profile_images/1141705492/ali_normal.jpg</t>
  </si>
  <si>
    <t>Whitehaven, Cumbria</t>
  </si>
  <si>
    <t>http://twitter.com/alisonrphillips/statuses/1521019786179887105</t>
  </si>
  <si>
    <t>{"hashtags":[{"text":"JohnsonOut","indices":[4,15]},{"text":"brexit","indices":[35,42]}],"symbols":[],"user_mentions":[],"urls":[{"url":"https://t.co/TmdtyaRm6d","expanded_url":"https://twitter.com/steve_hawkes/status/1520711119010156545","display_url":"twitter.com/steve_hawkes/s…","indices":[227,250]}]}</t>
  </si>
  <si>
    <t>1521019762184179712</t>
  </si>
  <si>
    <t>Mon May 02 06:52:25 +0000 2022</t>
  </si>
  <si>
    <t>http://twitter.com/New4aDay/statuses/1521019762184179712</t>
  </si>
  <si>
    <t>1521019669943099393</t>
  </si>
  <si>
    <t>Mon May 02 06:52:03 +0000 2022</t>
  </si>
  <si>
    <t>http://twitter.com/New4aDay/statuses/1521019669943099393</t>
  </si>
  <si>
    <t>1521019648099205120</t>
  </si>
  <si>
    <t>turbograndad65</t>
  </si>
  <si>
    <t>Mon May 02 06:51:57 +0000 2022</t>
  </si>
  <si>
    <t>1495333638</t>
  </si>
  <si>
    <t>http://pbs.twimg.com/profile_images/685481151344062464/R0JCUp0g_normal.jpg</t>
  </si>
  <si>
    <t>http://twitter.com/turbograndad65/statuses/1521019648099205120</t>
  </si>
  <si>
    <t>1521019616306335745</t>
  </si>
  <si>
    <t>Margare27402360</t>
  </si>
  <si>
    <t>Mon May 02 06:51:50 +0000 2022</t>
  </si>
  <si>
    <t>801380055821778944</t>
  </si>
  <si>
    <t>http://pbs.twimg.com/profile_images/1302286357264564225/PRiVC9QF_normal.jpg</t>
  </si>
  <si>
    <t>http://twitter.com/Margare27402360/statuses/1521019616306335745</t>
  </si>
  <si>
    <t>1521019612485328896</t>
  </si>
  <si>
    <t>paulstapleton8</t>
  </si>
  <si>
    <t>Mon May 02 06:51:49 +0000 2022</t>
  </si>
  <si>
    <t>2301681536</t>
  </si>
  <si>
    <t>http://pbs.twimg.com/profile_images/615828077768232960/9ZhzrOoc_normal.jpg</t>
  </si>
  <si>
    <t>http://twitter.com/paulstapleton8/statuses/1521019612485328896</t>
  </si>
  <si>
    <t>1521019587491512321</t>
  </si>
  <si>
    <t>colemanr39</t>
  </si>
  <si>
    <t>RT @Jon_Danzig: .@DailyMailUK, the paper that supported Hitler in the 1930s. The paper that promoted #xenophobia in the 21st Century. The paper that brought us #Brexit with lies about the #EU. The paper that published trashy, untrue allegations against @AngelaRayner, @UKLabour's Deputy Leader. https://t.co/Z7B0wrjvgE</t>
  </si>
  <si>
    <t>Mon May 02 06:51:43 +0000 2022</t>
  </si>
  <si>
    <t>869483296815755264</t>
  </si>
  <si>
    <t>http://twitter.com/colemanr39/statuses/1521019587491512321</t>
  </si>
  <si>
    <t>{"hashtags":[{"text":"xenophobia","indices":[101,112]}],"symbols":[],"user_mentions":[{"screen_name":"Jon_Danzig","name":"Jon Danzig #FBPE","id":248187579,"id_str":"248187579","indices":[3,14]},{"screen_name":"DailyMailUK","name":"Daily Mail U.K.","id":111556423,"id_str":"111556423","indices":[17,29]}],"urls":[]}</t>
  </si>
  <si>
    <t>1521019582059847681</t>
  </si>
  <si>
    <t>GrahamBright10</t>
  </si>
  <si>
    <t>RT @Facts4euOrg: The Europeans love Brexit Britain’s manufacturing base!
So why do Rejoiners run our country down so much? For your weekend #Brexit summary click here: https://t.co/yeEl8lsefn
@Jefferson_MFG https://t.co/MXA6ZaZIeq</t>
  </si>
  <si>
    <t>Mon May 02 06:51:42 +0000 2022</t>
  </si>
  <si>
    <t>794491525208166402</t>
  </si>
  <si>
    <t>http://twitter.com/GrahamBright10/statuses/1521019582059847681</t>
  </si>
  <si>
    <t>1521019572417085440</t>
  </si>
  <si>
    <t>fourstar1979</t>
  </si>
  <si>
    <t>Mon May 02 06:51:39 +0000 2022</t>
  </si>
  <si>
    <t>1042537238</t>
  </si>
  <si>
    <t>http://pbs.twimg.com/profile_images/1453656269080907782/D5gurJkV_normal.jpg</t>
  </si>
  <si>
    <t>http://twitter.com/fourstar1979/statuses/1521019572417085440</t>
  </si>
  <si>
    <t>1521019570487705602</t>
  </si>
  <si>
    <t>http://twitter.com/New4aDay/statuses/1521019570487705602</t>
  </si>
  <si>
    <t>1521019544583786496</t>
  </si>
  <si>
    <t>sball11</t>
  </si>
  <si>
    <t>Mon May 02 06:51:33 +0000 2022</t>
  </si>
  <si>
    <t>40229612</t>
  </si>
  <si>
    <t>http://pbs.twimg.com/profile_images/1280433030490923009/tWmdsLvH_normal.jpg</t>
  </si>
  <si>
    <t>http://twitter.com/sball11/statuses/1521019544583786496</t>
  </si>
  <si>
    <t>1521019543862358016</t>
  </si>
  <si>
    <t>http://twitter.com/fourstar1979/statuses/1521019543862358016</t>
  </si>
  <si>
    <t>1521019518151237633</t>
  </si>
  <si>
    <t>Mon May 02 06:51:26 +0000 2022</t>
  </si>
  <si>
    <t>http://twitter.com/GrahamBright10/statuses/1521019518151237633</t>
  </si>
  <si>
    <t>1521019517454934018</t>
  </si>
  <si>
    <t>http://twitter.com/fourstar1979/statuses/1521019517454934018</t>
  </si>
  <si>
    <t>1521019494335922176</t>
  </si>
  <si>
    <t>andrewducker</t>
  </si>
  <si>
    <t>Mon May 02 06:51:21 +0000 2022</t>
  </si>
  <si>
    <t>9221622</t>
  </si>
  <si>
    <t>http://pbs.twimg.com/profile_images/1045347093215408128/A8A_WqkC_normal.jpg</t>
  </si>
  <si>
    <t>http://twitter.com/andrewducker/statuses/1521019494335922176</t>
  </si>
  <si>
    <t>1521019473179951105</t>
  </si>
  <si>
    <t>Mon May 02 06:51:16 +0000 2022</t>
  </si>
  <si>
    <t>http://twitter.com/fourstar1979/statuses/1521019473179951105</t>
  </si>
  <si>
    <t>1521019434789486595</t>
  </si>
  <si>
    <t>MEHMiller2</t>
  </si>
  <si>
    <t>Mon May 02 06:51:07 +0000 2022</t>
  </si>
  <si>
    <t>1481473053309636609</t>
  </si>
  <si>
    <t>http://pbs.twimg.com/profile_images/1481487528935198724/L-ZdmakS_normal.jpg</t>
  </si>
  <si>
    <t>pub</t>
  </si>
  <si>
    <t>http://twitter.com/MEHMiller2/statuses/1521019434789486595</t>
  </si>
  <si>
    <t>1521019411745943555</t>
  </si>
  <si>
    <t>Mon May 02 06:51:01 +0000 2022</t>
  </si>
  <si>
    <t>http://twitter.com/fourstar1979/statuses/1521019411745943555</t>
  </si>
  <si>
    <t>1521019411272028160</t>
  </si>
  <si>
    <t>SueHorsley7</t>
  </si>
  <si>
    <t>1031597701148942336</t>
  </si>
  <si>
    <t>http://pbs.twimg.com/profile_images/1105789661669216256/kqyJN3mL_normal.jpg</t>
  </si>
  <si>
    <t>Bradford, England</t>
  </si>
  <si>
    <t>http://twitter.com/SueHorsley7/statuses/1521019411272028160</t>
  </si>
  <si>
    <t>1521019397065822208</t>
  </si>
  <si>
    <t>OssieBhoy</t>
  </si>
  <si>
    <t>Mon May 02 06:50:58 +0000 2022</t>
  </si>
  <si>
    <t>481243743</t>
  </si>
  <si>
    <t>http://pbs.twimg.com/profile_images/3392215410/da01b25a205beeafb6f88191a25e0d25_normal.jpeg</t>
  </si>
  <si>
    <t>Plymouth, Devon (in exile)</t>
  </si>
  <si>
    <t>http://twitter.com/OssieBhoy/statuses/1521019397065822208</t>
  </si>
  <si>
    <t>1521019388572409856</t>
  </si>
  <si>
    <t>eva_kenneth</t>
  </si>
  <si>
    <t>Mon May 02 06:50:56 +0000 2022</t>
  </si>
  <si>
    <t>2433737926</t>
  </si>
  <si>
    <t>http://pbs.twimg.com/profile_images/1485240941007015940/OArkbSTb_normal.jpg</t>
  </si>
  <si>
    <t>http://twitter.com/eva_kenneth/statuses/1521019388572409856</t>
  </si>
  <si>
    <t>1521019380368297984</t>
  </si>
  <si>
    <t>Mon May 02 06:50:54 +0000 2022</t>
  </si>
  <si>
    <t>http://twitter.com/SueHorsley7/statuses/1521019380368297984</t>
  </si>
  <si>
    <t>1521019373506420738</t>
  </si>
  <si>
    <t>Mon May 02 06:50:52 +0000 2022</t>
  </si>
  <si>
    <t>http://twitter.com/SueHorsley7/statuses/1521019373506420738</t>
  </si>
  <si>
    <t>1521019354250366976</t>
  </si>
  <si>
    <t>Mon May 02 06:50:47 +0000 2022</t>
  </si>
  <si>
    <t>http://twitter.com/Salanais/statuses/1521019354250366976</t>
  </si>
  <si>
    <t>1521019305617506304</t>
  </si>
  <si>
    <t>NeilDavoDavies1</t>
  </si>
  <si>
    <t>RT @emhkcf: Loss os FOM by car for British expats living in Spain who are unable to drive after failure to reach #Brexit agreement. https://t.co/7XNNzOlfj6</t>
  </si>
  <si>
    <t>Mon May 02 06:50:36 +0000 2022</t>
  </si>
  <si>
    <t>3437466135</t>
  </si>
  <si>
    <t>http://pbs.twimg.com/profile_images/1505905259138490371/Oucu9D_A_normal.jpg</t>
  </si>
  <si>
    <t>http://twitter.com/NeilDavoDavies1/statuses/1521019305617506304</t>
  </si>
  <si>
    <t>{"hashtags":[{"text":"Brexit","indices":[113,120]}],"symbols":[],"user_mentions":[{"screen_name":"emhkcf","name":"European Movement West London","id":924257264470458400,"id_str":"924257264470458368","indices":[3,10]}],"urls":[]}</t>
  </si>
  <si>
    <t>1521019302496899072</t>
  </si>
  <si>
    <t>LeeGregoryPeck</t>
  </si>
  <si>
    <t>@uk_domain_names ..or we drift toward something similar to Norway or Switzerland? We can see the seeds of that already; deferring import checks, Portugal waving through UK tourists, talk of 'easy movement' as opposed to free movement etc. #brexit</t>
  </si>
  <si>
    <t>Mon May 02 06:50:35 +0000 2022</t>
  </si>
  <si>
    <t>45010849</t>
  </si>
  <si>
    <t>uk_domain_names</t>
  </si>
  <si>
    <t>494233220</t>
  </si>
  <si>
    <t>1520710198813470721</t>
  </si>
  <si>
    <t>http://pbs.twimg.com/profile_images/1380883650443612167/zoQoBDyK_normal.jpg</t>
  </si>
  <si>
    <t>Al Khobar, Saudi Arabia</t>
  </si>
  <si>
    <t>http://twitter.com/LeeGregoryPeck/statuses/1521019302496899072</t>
  </si>
  <si>
    <t>{"hashtags":[{"text":"brexit","indices":[239,246]}],"symbols":[],"user_mentions":[{"screen_name":"uk_domain_names","name":"Edwin Hayward 🦄 🗡","id":45010849,"id_str":"45010849","indices":[0,16]}],"urls":[]}</t>
  </si>
  <si>
    <t>1521019298881359873</t>
  </si>
  <si>
    <t>Mon May 02 06:50:34 +0000 2022</t>
  </si>
  <si>
    <t>http://twitter.com/SueHorsley7/statuses/1521019298881359873</t>
  </si>
  <si>
    <t>1521019256950898688</t>
  </si>
  <si>
    <t>pyle_lynne</t>
  </si>
  <si>
    <t>Mon May 02 06:50:24 +0000 2022</t>
  </si>
  <si>
    <t>2757426683</t>
  </si>
  <si>
    <t>http://pbs.twimg.com/profile_images/1324765745335730177/uFqDYfv6_normal.jpg</t>
  </si>
  <si>
    <t>Gosport, England</t>
  </si>
  <si>
    <t>http://twitter.com/pyle_lynne/statuses/1521019256950898688</t>
  </si>
  <si>
    <t>1521019200726315008</t>
  </si>
  <si>
    <t>Mon May 02 06:50:11 +0000 2022</t>
  </si>
  <si>
    <t>http://twitter.com/SueHorsley7/statuses/1521019200726315008</t>
  </si>
  <si>
    <t>1521019157990588418</t>
  </si>
  <si>
    <t>bellabean2</t>
  </si>
  <si>
    <t>Mon May 02 06:50:01 +0000 2022</t>
  </si>
  <si>
    <t>92522025</t>
  </si>
  <si>
    <t>http://pbs.twimg.com/profile_images/2444776664/3eyjeowmoimiodqs94y4_normal.jpeg</t>
  </si>
  <si>
    <t>Ilminster, England</t>
  </si>
  <si>
    <t>http://twitter.com/bellabean2/statuses/1521019157990588418</t>
  </si>
  <si>
    <t>1521019108476792832</t>
  </si>
  <si>
    <t>CyrilMurphy171</t>
  </si>
  <si>
    <t>Mon May 02 06:49:49 +0000 2022</t>
  </si>
  <si>
    <t>1474961808838602755</t>
  </si>
  <si>
    <t>http://pbs.twimg.com/profile_images/1474962342848966656/buiHfyI5_normal.jpg</t>
  </si>
  <si>
    <t>http://twitter.com/CyrilMurphy171/statuses/1521019108476792832</t>
  </si>
  <si>
    <t>1521019100578856960</t>
  </si>
  <si>
    <t>ElaineOkmolley</t>
  </si>
  <si>
    <t>Mon May 02 06:49:47 +0000 2022</t>
  </si>
  <si>
    <t>1541525310</t>
  </si>
  <si>
    <t>http://twitter.com/ElaineOkmolley/statuses/1521019100578856960</t>
  </si>
  <si>
    <t>1521019073949274113</t>
  </si>
  <si>
    <t>jj_sal</t>
  </si>
  <si>
    <t>Mon May 02 06:49:41 +0000 2022</t>
  </si>
  <si>
    <t>1497989503</t>
  </si>
  <si>
    <t>http://pbs.twimg.com/profile_images/752423127196504064/kxN0-3lk_normal.jpg</t>
  </si>
  <si>
    <t>http://twitter.com/jj_sal/statuses/1521019073949274113</t>
  </si>
  <si>
    <t>1521019056874299393</t>
  </si>
  <si>
    <t>mondonova</t>
  </si>
  <si>
    <t>Mon May 02 06:49:36 +0000 2022</t>
  </si>
  <si>
    <t>31582535</t>
  </si>
  <si>
    <t>http://pbs.twimg.com/profile_images/1160910848531083266/9qF7Zfas_normal.jpg</t>
  </si>
  <si>
    <t>🌲🐿🍄🕷🐝🐛🦋🐜🖖🏼💐☕</t>
  </si>
  <si>
    <t>http://twitter.com/mondonova/statuses/1521019056874299393</t>
  </si>
  <si>
    <t>1521019035638448131</t>
  </si>
  <si>
    <t>Cathy30099750</t>
  </si>
  <si>
    <t>Mon May 02 06:49:31 +0000 2022</t>
  </si>
  <si>
    <t>1113375717021114368</t>
  </si>
  <si>
    <t>http://twitter.com/Cathy30099750/statuses/1521019035638448131</t>
  </si>
  <si>
    <t>1521018987630538753</t>
  </si>
  <si>
    <t>n0_kidding_</t>
  </si>
  <si>
    <t>Mon May 02 06:49:20 +0000 2022</t>
  </si>
  <si>
    <t>729281341</t>
  </si>
  <si>
    <t>http://pbs.twimg.com/profile_images/1502380163769720840/J8cujaMR_normal.jpg</t>
  </si>
  <si>
    <t>http://twitter.com/n0_kidding_/statuses/1521018987630538753</t>
  </si>
  <si>
    <t>1521018924078452744</t>
  </si>
  <si>
    <t>memneon</t>
  </si>
  <si>
    <t>Mon May 02 06:49:05 +0000 2022</t>
  </si>
  <si>
    <t>275985715</t>
  </si>
  <si>
    <t>http://pbs.twimg.com/profile_images/1184390609353748480/HQkEbKIM_normal.jpg</t>
  </si>
  <si>
    <t>Lodève, France</t>
  </si>
  <si>
    <t>http://twitter.com/memneon/statuses/1521018924078452744</t>
  </si>
  <si>
    <t>1521018884727488512</t>
  </si>
  <si>
    <t>DawnConnor</t>
  </si>
  <si>
    <t>Mon May 02 06:48:55 +0000 2022</t>
  </si>
  <si>
    <t>21862594</t>
  </si>
  <si>
    <t>http://pbs.twimg.com/profile_images/1497305088133632004/VzYQrYpw_normal.jpg</t>
  </si>
  <si>
    <t>http://twitter.com/DawnConnor/statuses/1521018884727488512</t>
  </si>
  <si>
    <t>1521018867337809922</t>
  </si>
  <si>
    <t>Mon May 02 06:48:51 +0000 2022</t>
  </si>
  <si>
    <t>http://twitter.com/michellemck0/statuses/1521018867337809922</t>
  </si>
  <si>
    <t>1521018834471292928</t>
  </si>
  <si>
    <t>PoliticalPaddy</t>
  </si>
  <si>
    <t>Spain taking a hardline on illegal immigrants and taking back control of their borders. I'm sure Brexiteers will be loving this. 💪💪💪
#brexit #BrexitSuccess
#Brexitbenefits #BrexitIsntWorking
https://t.co/bGAsau01nc</t>
  </si>
  <si>
    <t>Mon May 02 06:48:43 +0000 2022</t>
  </si>
  <si>
    <t>62656735</t>
  </si>
  <si>
    <t>http://pbs.twimg.com/profile_images/1470119399063498760/VWtDLXm2_normal.jpg</t>
  </si>
  <si>
    <t>http://twitter.com/PoliticalPaddy/statuses/1521018834471292928</t>
  </si>
  <si>
    <t>{"hashtags":[{"text":"brexit","indices":[134,141]},{"text":"BrexitSuccess","indices":[142,156]},{"text":"Brexitbenefits","indices":[157,172]},{"text":"BrexitIsntWorking","indices":[173,191]}],"symbols":[],"user_mentions":[],"urls":[{"url":"https://t.co/bGAsau01nc","expanded_url":"https://www.telegraph.co.uk/news/2022/05/01/british-expats-face-driving-ban-spain-brexit-delays/","display_url":"telegraph.co.uk/news/2022/05/0…","indices":[193,216]}]}</t>
  </si>
  <si>
    <t>1521018813764059136</t>
  </si>
  <si>
    <t>welshroots</t>
  </si>
  <si>
    <t>Mon May 02 06:48:39 +0000 2022</t>
  </si>
  <si>
    <t>28393573</t>
  </si>
  <si>
    <t>http://pbs.twimg.com/profile_images/1477208744924790791/DUj-HE2F_normal.jpg</t>
  </si>
  <si>
    <t>http://twitter.com/welshroots/statuses/1521018813764059136</t>
  </si>
  <si>
    <t>1521018802674225153</t>
  </si>
  <si>
    <t>dajrafa</t>
  </si>
  <si>
    <t>Mon May 02 06:48:36 +0000 2022</t>
  </si>
  <si>
    <t>747046814466080768</t>
  </si>
  <si>
    <t>http://pbs.twimg.com/profile_images/747049756413861888/wbkswwGI_normal.jpg</t>
  </si>
  <si>
    <t>Barnet, London</t>
  </si>
  <si>
    <t>http://twitter.com/dajrafa/statuses/1521018802674225153</t>
  </si>
  <si>
    <t>1521018784605220865</t>
  </si>
  <si>
    <t>Mon May 02 06:48:32 +0000 2022</t>
  </si>
  <si>
    <t>http://twitter.com/DawnConnor/statuses/1521018784605220865</t>
  </si>
  <si>
    <t>1521018778737430529</t>
  </si>
  <si>
    <t>NormanStiff</t>
  </si>
  <si>
    <t>Mon May 02 06:48:30 +0000 2022</t>
  </si>
  <si>
    <t>2729767060</t>
  </si>
  <si>
    <t>http://pbs.twimg.com/profile_images/515796682437844993/cS8weXXV_normal.jpeg</t>
  </si>
  <si>
    <t>tilbury essex</t>
  </si>
  <si>
    <t>http://twitter.com/NormanStiff/statuses/1521018778737430529</t>
  </si>
  <si>
    <t>1521018664664940545</t>
  </si>
  <si>
    <t>abigail_energy</t>
  </si>
  <si>
    <t>Mon May 02 06:48:03 +0000 2022</t>
  </si>
  <si>
    <t>988849298</t>
  </si>
  <si>
    <t>http://pbs.twimg.com/profile_images/1498179694952337408/rQ5E_Aiy_normal.jpg</t>
  </si>
  <si>
    <t>http://twitter.com/abigail_energy/statuses/1521018664664940545</t>
  </si>
  <si>
    <t>1521018653159866369</t>
  </si>
  <si>
    <t>Mischiefrules</t>
  </si>
  <si>
    <t>Mon May 02 06:48:00 +0000 2022</t>
  </si>
  <si>
    <t>520219861</t>
  </si>
  <si>
    <t>http://pbs.twimg.com/profile_images/1497682188409655296/fA_QajlQ_normal.jpg</t>
  </si>
  <si>
    <t>Home</t>
  </si>
  <si>
    <t>http://twitter.com/Mischiefrules/statuses/1521018653159866369</t>
  </si>
  <si>
    <t>1521018608108941314</t>
  </si>
  <si>
    <t>Mon May 02 06:47:49 +0000 2022</t>
  </si>
  <si>
    <t>http://twitter.com/abigail_energy/statuses/1521018608108941314</t>
  </si>
  <si>
    <t>1521018573417857024</t>
  </si>
  <si>
    <t>sallyhoughton20</t>
  </si>
  <si>
    <t>Mon May 02 06:47:41 +0000 2022</t>
  </si>
  <si>
    <t>1458016629804126208</t>
  </si>
  <si>
    <t>http://pbs.twimg.com/profile_images/1501163891040133126/cc48-3h6_normal.jpg</t>
  </si>
  <si>
    <t xml:space="preserve">E17 | Eccleshall </t>
  </si>
  <si>
    <t>http://twitter.com/sallyhoughton20/statuses/1521018573417857024</t>
  </si>
  <si>
    <t>1521018556321873920</t>
  </si>
  <si>
    <t>tweet2chris2</t>
  </si>
  <si>
    <t>Mon May 02 06:47:37 +0000 2022</t>
  </si>
  <si>
    <t>2499559843</t>
  </si>
  <si>
    <t>http://pbs.twimg.com/profile_images/1293251230064611329/ABDOrsgn_normal.jpg</t>
  </si>
  <si>
    <t>🇫🇷🏴󠁧󠁢󠁷󠁬󠁳󠁿 🇪🇺💙💛</t>
  </si>
  <si>
    <t>http://twitter.com/tweet2chris2/statuses/1521018556321873920</t>
  </si>
  <si>
    <t>1521018514194280449</t>
  </si>
  <si>
    <t>@ThatTimWalker @BorisJohnson To serve the tax-dodging billionaires.
#Brexit #Kompromat #BorisJohnson #Putin #Oligarchs #conservativefriendsofrussia #DirtyRussianMoney #Londongrad #LondonLaundromat #CaymanIslands #Bermuda #BritishVirginIslands #Guernsey #Jersey #Nevis</t>
  </si>
  <si>
    <t>Mon May 02 06:47:27 +0000 2022</t>
  </si>
  <si>
    <t>60606206</t>
  </si>
  <si>
    <t>ThatTimWalker</t>
  </si>
  <si>
    <t>1520863228150128640</t>
  </si>
  <si>
    <t>http://twitter.com/Fitness4London/statuses/1521018514194280449</t>
  </si>
  <si>
    <t>{"hashtags":[{"text":"Brexit","indices":[68,75]},{"text":"Kompromat","indices":[76,86]},{"text":"BorisJohnson","indices":[87,100]},{"text":"Putin","indices":[101,107]},{"text":"Oligarchs","indices":[108,118]},{"text":"conservativefriendsofrussia","indices":[119,147]},{"text":"DirtyRussianMoney","indices":[148,166]},{"text":"Londongrad","indices":[167,178]},{"text":"LondonLaundromat","indices":[179,196]},{"text":"CaymanIslands","indices":[197,211]},{"text":"Bermuda","indices":[212,220]},{"text":"BritishVirginIslands","indices":[221,242]},{"text":"Guernsey","indices":[243,252]},{"text":"Jersey","indices":[253,260]},{"text":"Nevis","indices":[261,267]}],"symbols":[],"user_mentions":[{"screen_name":"ThatTimWalker","name":"Tim Walker","id":60606206,"id_str":"60606206","indices":[0,14]},{"screen_name":"BorisJohnson","name":"Boris Johnson","id":3131144855,"id_str":"3131144855","indices":[15,28]}],"urls":[]}</t>
  </si>
  <si>
    <t>1521018482258763777</t>
  </si>
  <si>
    <t>Mon May 02 06:47:19 +0000 2022</t>
  </si>
  <si>
    <t>http://twitter.com/sally_steel_/statuses/1521018482258763777</t>
  </si>
  <si>
    <t>1521018471001305097</t>
  </si>
  <si>
    <t>Mon May 02 06:47:17 +0000 2022</t>
  </si>
  <si>
    <t>http://twitter.com/abigail_energy/statuses/1521018471001305097</t>
  </si>
  <si>
    <t>1521018431864250368</t>
  </si>
  <si>
    <t>Pru88057472</t>
  </si>
  <si>
    <t>Mon May 02 06:47:07 +0000 2022</t>
  </si>
  <si>
    <t>1129731406609944580</t>
  </si>
  <si>
    <t>http://twitter.com/Pru88057472/statuses/1521018431864250368</t>
  </si>
  <si>
    <t>1521018403393355776</t>
  </si>
  <si>
    <t>Mon May 02 06:47:01 +0000 2022</t>
  </si>
  <si>
    <t>http://twitter.com/Pru88057472/statuses/1521018403393355776</t>
  </si>
  <si>
    <t>1521018369197096961</t>
  </si>
  <si>
    <t>catherinemc40</t>
  </si>
  <si>
    <t>RT @GrahameLucas: Jacob Rees-Mogg has given the game away – even this government knows #Brexit is a disaster https://t.co/9QOfDqlw26</t>
  </si>
  <si>
    <t>Mon May 02 06:46:53 +0000 2022</t>
  </si>
  <si>
    <t>109511423</t>
  </si>
  <si>
    <t>http://pbs.twimg.com/profile_images/1107681539658260482/zZrjtntS_normal.jpg</t>
  </si>
  <si>
    <t>http://twitter.com/catherinemc40/statuses/1521018369197096961</t>
  </si>
  <si>
    <t>{"hashtags":[{"text":"Brexit","indices":[87,94]}],"symbols":[],"user_mentions":[{"screen_name":"GrahameLucas","name":"Grahame Lucas","id":38474832,"id_str":"38474832","indices":[3,16]}],"urls":[{"url":"https://t.co/9QOfDqlw26","expanded_url":"https://www.theguardian.com/commentisfree/2022/apr/29/jacob-rees-mogg-brexit-disaster-leaving-eu-boris-johnson?CMP=Share_iOSApp_Other","display_url":"theguardian.com/commentisfree/…","indices":[109,132]}]}</t>
  </si>
  <si>
    <t>1521018327618969600</t>
  </si>
  <si>
    <t>LewesEUnity</t>
  </si>
  <si>
    <t>Mon May 02 06:46:43 +0000 2022</t>
  </si>
  <si>
    <t>856965220455124993</t>
  </si>
  <si>
    <t>http://pbs.twimg.com/profile_images/1165877016660533249/Uf-ht0E3_normal.jpg</t>
  </si>
  <si>
    <t>Lewes, England</t>
  </si>
  <si>
    <t>http://twitter.com/LewesEUnity/statuses/1521018327618969600</t>
  </si>
  <si>
    <t>1521018252117295105</t>
  </si>
  <si>
    <t>Mon May 02 06:46:25 +0000 2022</t>
  </si>
  <si>
    <t>http://twitter.com/e_evison/statuses/1521018252117295105</t>
  </si>
  <si>
    <t>1521018213991124992</t>
  </si>
  <si>
    <t>TribeIceni</t>
  </si>
  <si>
    <t>@RachelReevesMP Voted for #Brexit? #DontVoteLabour</t>
  </si>
  <si>
    <t>Mon May 02 06:46:16 +0000 2022</t>
  </si>
  <si>
    <t>34374472</t>
  </si>
  <si>
    <t>RachelReevesMP</t>
  </si>
  <si>
    <t>1172517098343583744</t>
  </si>
  <si>
    <t>1520692167114735616</t>
  </si>
  <si>
    <t>http://pbs.twimg.com/profile_images/1349084028473929728/rh-kUNnB_normal.jpg</t>
  </si>
  <si>
    <t>http://twitter.com/TribeIceni/statuses/1521018213991124992</t>
  </si>
  <si>
    <t>{"hashtags":[{"text":"Brexit","indices":[26,33]},{"text":"DontVoteLabour","indices":[35,50]}],"symbols":[],"user_mentions":[{"screen_name":"RachelReevesMP","name":"Rachel Reeves","id":34374472,"id_str":"34374472","indices":[0,15]}],"urls":[]}</t>
  </si>
  <si>
    <t>1521018151273734146</t>
  </si>
  <si>
    <t>barry_gabjack</t>
  </si>
  <si>
    <t>Mon May 02 06:46:01 +0000 2022</t>
  </si>
  <si>
    <t>2418316053</t>
  </si>
  <si>
    <t>http://pbs.twimg.com/profile_images/1505114774920704009/Hv77Hnov_normal.jpg</t>
  </si>
  <si>
    <t>The Shire, England</t>
  </si>
  <si>
    <t>http://twitter.com/barry_gabjack/statuses/1521018151273734146</t>
  </si>
  <si>
    <t>1521018147033210880</t>
  </si>
  <si>
    <t>itsFrankBoff</t>
  </si>
  <si>
    <t>Mon May 02 06:46:00 +0000 2022</t>
  </si>
  <si>
    <t>1272093341086355457</t>
  </si>
  <si>
    <t>http://pbs.twimg.com/profile_images/1273274054796087296/eEneCgSO_normal.jpg</t>
  </si>
  <si>
    <t xml:space="preserve">Here and there </t>
  </si>
  <si>
    <t>http://twitter.com/itsFrankBoff/statuses/1521018147033210880</t>
  </si>
  <si>
    <t>1521018126288277505</t>
  </si>
  <si>
    <t>nickymonkey</t>
  </si>
  <si>
    <t>Mon May 02 06:45:55 +0000 2022</t>
  </si>
  <si>
    <t>57923004</t>
  </si>
  <si>
    <t>http://pbs.twimg.com/profile_images/1292798172973223936/da3I9DJo_normal.jpg</t>
  </si>
  <si>
    <t>http://twitter.com/nickymonkey/statuses/1521018126288277505</t>
  </si>
  <si>
    <t>1521018087876841472</t>
  </si>
  <si>
    <t>JohnCur74968742</t>
  </si>
  <si>
    <t>Mon May 02 06:45:45 +0000 2022</t>
  </si>
  <si>
    <t>989468395962798081</t>
  </si>
  <si>
    <t>http://twitter.com/JohnCur74968742/statuses/1521018087876841472</t>
  </si>
  <si>
    <t>1521018024081383424</t>
  </si>
  <si>
    <t>CharenteMec</t>
  </si>
  <si>
    <t>Mon May 02 06:45:30 +0000 2022</t>
  </si>
  <si>
    <t>1356229535306571778</t>
  </si>
  <si>
    <t>http://pbs.twimg.com/profile_images/1517836250388078595/CpVILFuk_normal.jpg</t>
  </si>
  <si>
    <t>http://twitter.com/CharenteMec/statuses/1521018024081383424</t>
  </si>
  <si>
    <t>{"hashtags":[],"symbols":[],"user_mentions":[{"screen_name":"frenchieinlimbo","name":"Murielle /European /🇪🇺🇬🇧🇨🇵🇺🇦","id":898453457409114100,"id_str":"898453457409114112","indices":[3,19]}],"urls":[]}</t>
  </si>
  <si>
    <t>1521018010751938561</t>
  </si>
  <si>
    <t>DavidHo57450429</t>
  </si>
  <si>
    <t>Mon May 02 06:45:27 +0000 2022</t>
  </si>
  <si>
    <t>1028936416372445184</t>
  </si>
  <si>
    <t>http://pbs.twimg.com/profile_images/1044560851104124929/jxHNNQGe_normal.jpg</t>
  </si>
  <si>
    <t>http://twitter.com/DavidHo57450429/statuses/1521018010751938561</t>
  </si>
  <si>
    <t>1521018010743541761</t>
  </si>
  <si>
    <t>Mapdisk</t>
  </si>
  <si>
    <t>810962078</t>
  </si>
  <si>
    <t>http://pbs.twimg.com/profile_images/984768666414780416/nAHLH6OG_normal.jpg</t>
  </si>
  <si>
    <t>http://twitter.com/Mapdisk/statuses/1521018010743541761</t>
  </si>
  <si>
    <t>1521017988379459584</t>
  </si>
  <si>
    <t>aopearl</t>
  </si>
  <si>
    <t>Mon May 02 06:45:22 +0000 2022</t>
  </si>
  <si>
    <t>20791567</t>
  </si>
  <si>
    <t>http://pbs.twimg.com/profile_images/1382600022668234755/i7weEXP3_normal.jpg</t>
  </si>
  <si>
    <t>http://twitter.com/aopearl/statuses/1521017988379459584</t>
  </si>
  <si>
    <t>1521017987469352961</t>
  </si>
  <si>
    <t>maxibutbut</t>
  </si>
  <si>
    <t>26997455</t>
  </si>
  <si>
    <t>http://pbs.twimg.com/profile_images/824386159887388672/Z6YMWIPl_normal.jpg</t>
  </si>
  <si>
    <t>http://twitter.com/maxibutbut/statuses/1521017987469352961</t>
  </si>
  <si>
    <t>1521017982138335233</t>
  </si>
  <si>
    <t>Jackywacky51</t>
  </si>
  <si>
    <t>Mon May 02 06:45:20 +0000 2022</t>
  </si>
  <si>
    <t>1446750185372233730</t>
  </si>
  <si>
    <t>http://pbs.twimg.com/profile_images/1457133901067997192/mZJg8Tta_normal.jpg</t>
  </si>
  <si>
    <t>http://twitter.com/Jackywacky51/statuses/1521017982138335233</t>
  </si>
  <si>
    <t>1521017966850199552</t>
  </si>
  <si>
    <t>Losing_Streak42</t>
  </si>
  <si>
    <t>@Chiligrower2 @Nigel_Farage @GBNEWS I will if someone explains any benefits to mitigate the damage.
If there were any advantages to #brexit we wouldn't still be arguing about it.</t>
  </si>
  <si>
    <t>Mon May 02 06:45:17 +0000 2022</t>
  </si>
  <si>
    <t>1519187776083742720</t>
  </si>
  <si>
    <t>Chiligrower2</t>
  </si>
  <si>
    <t>779684081109962752</t>
  </si>
  <si>
    <t>1521016588257923072</t>
  </si>
  <si>
    <t>http://pbs.twimg.com/profile_images/779686111941722112/eZ0d1p4i_normal.jpg</t>
  </si>
  <si>
    <t>http://twitter.com/Losing_Streak42/statuses/1521017966850199552</t>
  </si>
  <si>
    <t>{"hashtags":[{"text":"brexit","indices":[133,140]}],"symbols":[],"user_mentions":[{"screen_name":"Chiligrower2","name":"Russ Puss","id":1519187776083742700,"id_str":"1519187776083742720","indices":[0,13]},{"screen_name":"Nigel_Farage","name":"Nigel Farage","id":19017675,"id_str":"19017675","indices":[14,27]},{"screen_name":"GBNEWS","name":"GB News","id":1339166129110065200,"id_str":"1339166129110065152","indices":[28,35]}],"urls":[]}</t>
  </si>
  <si>
    <t>1521017946432225280</t>
  </si>
  <si>
    <t>Pokerspace1</t>
  </si>
  <si>
    <t>Mon May 02 06:45:12 +0000 2022</t>
  </si>
  <si>
    <t>257601130</t>
  </si>
  <si>
    <t>http://pbs.twimg.com/profile_images/1338511915/eskimoneb-431x320_normal.jpg</t>
  </si>
  <si>
    <t>New Marske, Cleveland</t>
  </si>
  <si>
    <t>http://twitter.com/Pokerspace1/statuses/1521017946432225280</t>
  </si>
  <si>
    <t>1521017931286646785</t>
  </si>
  <si>
    <t>Mon May 02 06:45:08 +0000 2022</t>
  </si>
  <si>
    <t>http://twitter.com/toadovision/statuses/1521017931286646785</t>
  </si>
  <si>
    <t>1521017915100827649</t>
  </si>
  <si>
    <t>Superbusinesz</t>
  </si>
  <si>
    <t>Mon May 02 06:45:04 +0000 2022</t>
  </si>
  <si>
    <t>930722458868600832</t>
  </si>
  <si>
    <t>http://pbs.twimg.com/profile_images/1509087714943156226/Mrx6L4Ug_normal.jpg</t>
  </si>
  <si>
    <t>London and EUrope</t>
  </si>
  <si>
    <t>http://twitter.com/Superbusinesz/statuses/1521017915100827649</t>
  </si>
  <si>
    <t>1521017891621122048</t>
  </si>
  <si>
    <t>helkala</t>
  </si>
  <si>
    <t>Mon May 02 06:44:59 +0000 2022</t>
  </si>
  <si>
    <t>54514283</t>
  </si>
  <si>
    <t>http://pbs.twimg.com/profile_images/1380405942840393728/XtfXCITP_normal.jpg</t>
  </si>
  <si>
    <t>http://twitter.com/helkala/statuses/1521017891621122048</t>
  </si>
  <si>
    <t>1521017885283528707</t>
  </si>
  <si>
    <t>gwstenby</t>
  </si>
  <si>
    <t>Mon May 02 06:44:57 +0000 2022</t>
  </si>
  <si>
    <t>3003507631</t>
  </si>
  <si>
    <t>http://pbs.twimg.com/profile_images/1387482436922130433/6lr7KIVd_normal.jpg</t>
  </si>
  <si>
    <t>http://twitter.com/gwstenby/statuses/1521017885283528707</t>
  </si>
  <si>
    <t>1521017877259763712</t>
  </si>
  <si>
    <t>dohay22</t>
  </si>
  <si>
    <t>RT @Feorlean: Absolutely as predicted. There are no benefits from #Brexit , only losses……….UK’s Brexit losses more than 178 times bigger than trade deal gains | The Independent https://t.co/X91xiKPqOl</t>
  </si>
  <si>
    <t>Mon May 02 06:44:55 +0000 2022</t>
  </si>
  <si>
    <t>1347590984020975616</t>
  </si>
  <si>
    <t>http://pbs.twimg.com/profile_images/1369257196773597190/FcPM0iAl_normal.jpg</t>
  </si>
  <si>
    <t>Bruxelles, Belgique</t>
  </si>
  <si>
    <t>http://twitter.com/dohay22/statuses/1521017877259763712</t>
  </si>
  <si>
    <t>{"hashtags":[{"text":"Brexit","indices":[66,73]}],"symbols":[],"user_mentions":[{"screen_name":"Feorlean","name":"Michael Russell","id":207471475,"id_str":"207471475","indices":[3,12]}],"urls":[]}</t>
  </si>
  <si>
    <t>1521017851116761090</t>
  </si>
  <si>
    <t>JeanRowe2</t>
  </si>
  <si>
    <t>Mon May 02 06:44:49 +0000 2022</t>
  </si>
  <si>
    <t>472050890</t>
  </si>
  <si>
    <t>http://pbs.twimg.com/profile_images/2175992636/IMG_0045_normal.JPG</t>
  </si>
  <si>
    <t>http://twitter.com/JeanRowe2/statuses/1521017851116761090</t>
  </si>
  <si>
    <t>1521017827674796034</t>
  </si>
  <si>
    <t>jpiana1</t>
  </si>
  <si>
    <t>Mon May 02 06:44:43 +0000 2022</t>
  </si>
  <si>
    <t>717461349979267073</t>
  </si>
  <si>
    <t>http://pbs.twimg.com/profile_images/717463818973093888/ctEYtgrY_normal.jpg</t>
  </si>
  <si>
    <t>http://twitter.com/jpiana1/statuses/1521017827674796034</t>
  </si>
  <si>
    <t>1521017824180854787</t>
  </si>
  <si>
    <t>http://twitter.com/gwstenby/statuses/1521017824180854787</t>
  </si>
  <si>
    <t>1521017737308520449</t>
  </si>
  <si>
    <t>SittingHard</t>
  </si>
  <si>
    <t>Mon May 02 06:44:22 +0000 2022</t>
  </si>
  <si>
    <t>1255913885917491201</t>
  </si>
  <si>
    <t>http://pbs.twimg.com/profile_images/1518129120122712064/JFmoR0J7_normal.jpg</t>
  </si>
  <si>
    <t>Capitalism</t>
  </si>
  <si>
    <t>http://twitter.com/SittingHard/statuses/1521017737308520449</t>
  </si>
  <si>
    <t>1521017694673416192</t>
  </si>
  <si>
    <t>Mon May 02 06:44:12 +0000 2022</t>
  </si>
  <si>
    <t>http://twitter.com/dohay22/statuses/1521017694673416192</t>
  </si>
  <si>
    <t>1521017694505431040</t>
  </si>
  <si>
    <t>Janec2011</t>
  </si>
  <si>
    <t>386537004</t>
  </si>
  <si>
    <t>http://pbs.twimg.com/profile_images/1344675699681095682/ojw7y53j_normal.jpg</t>
  </si>
  <si>
    <t>http://twitter.com/Janec2011/statuses/1521017694505431040</t>
  </si>
  <si>
    <t>1521017679133425665</t>
  </si>
  <si>
    <t>EastKent_EM</t>
  </si>
  <si>
    <t>#Brexit causing chaos in the economy. Inflation at 7%, the highest in the G7, due to wage pressures from labour shortages. The LSE study finds 25% drop in UK trade, compared to post #Covid19 boost elsewhere. Recession inevitable?  #r4today #WorldBeating https://t.co/pJZ4lcnU0C</t>
  </si>
  <si>
    <t>Mon May 02 06:44:08 +0000 2022</t>
  </si>
  <si>
    <t>2965188994</t>
  </si>
  <si>
    <t>http://pbs.twimg.com/profile_images/704665328563818497/H7nP6Knh_normal.jpg</t>
  </si>
  <si>
    <t>East Kent</t>
  </si>
  <si>
    <t>http://twitter.com/EastKent_EM/statuses/1521017679133425665</t>
  </si>
  <si>
    <t>{"hashtags":[{"text":"Brexit","indices":[0,7]},{"text":"Covid19","indices":[182,190]},{"text":"r4today","indices":[231,239]},{"text":"WorldBeating","indices":[240,253]}],"symbols":[],"user_mentions":[],"urls":[{"url":"https://t.co/pJZ4lcnU0C","expanded_url":"https://www.theguardian.com/business/2022/may/01/bank-of-england-duty-bound-to-trigger-recession-to-curb-inflation?utm_source=dlvr.it&amp;utm_medium=twitter","display_url":"theguardian.com/business/2022/…","indices":[254,277]}]}</t>
  </si>
  <si>
    <t>1521017570857558016</t>
  </si>
  <si>
    <t>RobB_W1</t>
  </si>
  <si>
    <t>Mon May 02 06:43:42 +0000 2022</t>
  </si>
  <si>
    <t>3806134043</t>
  </si>
  <si>
    <t>http://pbs.twimg.com/profile_images/1511767115702878212/iwgzidMr_normal.jpg</t>
  </si>
  <si>
    <t>Chichester, West Sussex</t>
  </si>
  <si>
    <t>http://twitter.com/RobB_W1/statuses/1521017570857558016</t>
  </si>
  <si>
    <t>1521017540411023362</t>
  </si>
  <si>
    <t>tomprimrose</t>
  </si>
  <si>
    <t>Mon May 02 06:43:35 +0000 2022</t>
  </si>
  <si>
    <t>40052436</t>
  </si>
  <si>
    <t>http://pbs.twimg.com/profile_images/937467358486171648/0X51yser_normal.jpg</t>
  </si>
  <si>
    <t>http://twitter.com/tomprimrose/statuses/1521017540411023362</t>
  </si>
  <si>
    <t>1521017539299577857</t>
  </si>
  <si>
    <t>bionic_dread</t>
  </si>
  <si>
    <t>@GyllKing @acgrayling #Brexit is indeed the gift that keeps on giving...👍🤭</t>
  </si>
  <si>
    <t>1379343312243548165</t>
  </si>
  <si>
    <t>http://pbs.twimg.com/profile_images/1379355680126201856/Ff8p8fBn_normal.png</t>
  </si>
  <si>
    <t>http://twitter.com/bionic_dread/statuses/1521017539299577857</t>
  </si>
  <si>
    <t>{"hashtags":[{"text":"Brexit","indices":[22,29]}],"symbols":[],"user_mentions":[{"screen_name":"GyllKing","name":"Lady Sir Gyll King","id":1292863282165026800,"id_str":"1292863282165026817","indices":[0,9]},{"screen_name":"acgrayling","name":"A C Grayling #FBPE 3.5% #Reform #Rejoin #FBPA 🐟","id":44849238,"id_str":"44849238","indices":[10,21]}],"urls":[]}</t>
  </si>
  <si>
    <t>1521017475315417089</t>
  </si>
  <si>
    <t>GeorgeH85808006</t>
  </si>
  <si>
    <t>Mon May 02 06:43:19 +0000 2022</t>
  </si>
  <si>
    <t>1316835523722457091</t>
  </si>
  <si>
    <t>http://twitter.com/GeorgeH85808006/statuses/1521017475315417089</t>
  </si>
  <si>
    <t>1521017440418902017</t>
  </si>
  <si>
    <t>Patrici06779076</t>
  </si>
  <si>
    <t>Mon May 02 06:43:11 +0000 2022</t>
  </si>
  <si>
    <t>1345016349697961984</t>
  </si>
  <si>
    <t>http://pbs.twimg.com/profile_images/1498633174787796994/wSl_ynyG_normal.jpg</t>
  </si>
  <si>
    <t>Alsace, France</t>
  </si>
  <si>
    <t>http://twitter.com/Patrici06779076/statuses/1521017440418902017</t>
  </si>
  <si>
    <t>1521017436866334720</t>
  </si>
  <si>
    <t>KennyBhoyKerr</t>
  </si>
  <si>
    <t>Mon May 02 06:43:10 +0000 2022</t>
  </si>
  <si>
    <t>2795593765</t>
  </si>
  <si>
    <t>http://pbs.twimg.com/profile_images/547495234502803456/aP1f_gV9_normal.jpeg</t>
  </si>
  <si>
    <t>Dunfermline, Scotland</t>
  </si>
  <si>
    <t>http://twitter.com/KennyBhoyKerr/statuses/1521017436866334720</t>
  </si>
  <si>
    <t>1521017359795998720</t>
  </si>
  <si>
    <t>AylingMiriam</t>
  </si>
  <si>
    <t>Mon May 02 06:42:52 +0000 2022</t>
  </si>
  <si>
    <t>2381091990</t>
  </si>
  <si>
    <t>http://pbs.twimg.com/profile_images/747755582866751488/HQhrB8jn_normal.jpg</t>
  </si>
  <si>
    <t>http://twitter.com/AylingMiriam/statuses/1521017359795998720</t>
  </si>
  <si>
    <t>1521017316179382272</t>
  </si>
  <si>
    <t>Mon May 02 06:42:41 +0000 2022</t>
  </si>
  <si>
    <t>http://twitter.com/dohay22/statuses/1521017316179382272</t>
  </si>
  <si>
    <t>1521017217357393920</t>
  </si>
  <si>
    <t>ppadfiel</t>
  </si>
  <si>
    <t>Mon May 02 06:42:18 +0000 2022</t>
  </si>
  <si>
    <t>253104248</t>
  </si>
  <si>
    <t>http://pbs.twimg.com/profile_images/1260518543856197633/D3j1aRbq_normal.jpg</t>
  </si>
  <si>
    <t>http://twitter.com/ppadfiel/statuses/1521017217357393920</t>
  </si>
  <si>
    <t>1521017202996137984</t>
  </si>
  <si>
    <t>LenaLC64</t>
  </si>
  <si>
    <t>Mon May 02 06:42:14 +0000 2022</t>
  </si>
  <si>
    <t>861573061807669251</t>
  </si>
  <si>
    <t>http://pbs.twimg.com/profile_images/1482791998742487046/AglwQCok_normal.jpg</t>
  </si>
  <si>
    <t>http://twitter.com/LenaLC64/statuses/1521017202996137984</t>
  </si>
  <si>
    <t>1521017144233762817</t>
  </si>
  <si>
    <t>andy9962</t>
  </si>
  <si>
    <t>Mon May 02 06:42:00 +0000 2022</t>
  </si>
  <si>
    <t>901386810</t>
  </si>
  <si>
    <t>http://pbs.twimg.com/profile_images/1487056130719330317/4RZY3iRz_normal.jpg</t>
  </si>
  <si>
    <t>http://twitter.com/andy9962/statuses/1521017144233762817</t>
  </si>
  <si>
    <t>1521017134842888192</t>
  </si>
  <si>
    <t>CARogersNo1</t>
  </si>
  <si>
    <t>@BrexitFutureUK I voted remain but now I think, 'Thank God for #Brexit!'</t>
  </si>
  <si>
    <t>Mon May 02 06:41:58 +0000 2022</t>
  </si>
  <si>
    <t>2918267949</t>
  </si>
  <si>
    <t>BrexitFutureUK</t>
  </si>
  <si>
    <t>4274910195</t>
  </si>
  <si>
    <t>1521003121085931520</t>
  </si>
  <si>
    <t>http://pbs.twimg.com/profile_images/1501854228091965444/uVna59mV_normal.jpg</t>
  </si>
  <si>
    <t>http://twitter.com/CARogersNo1/statuses/1521017134842888192</t>
  </si>
  <si>
    <t>{"hashtags":[{"text":"Brexit","indices":[63,70]}],"symbols":[],"user_mentions":[{"screen_name":"BrexitFutureUK","name":"Brexit Future #Democracy 🇬🇧🇺🇦","id":2918267949,"id_str":"2918267949","indices":[0,15]}],"urls":[]}</t>
  </si>
  <si>
    <t>1521017124055134210</t>
  </si>
  <si>
    <t>MatthewLBishop</t>
  </si>
  <si>
    <t>Mon May 02 06:41:56 +0000 2022</t>
  </si>
  <si>
    <t>316781758</t>
  </si>
  <si>
    <t>http://pbs.twimg.com/profile_images/865510351135047680/5ZQJh0Yh_normal.jpg</t>
  </si>
  <si>
    <t>http://twitter.com/MatthewLBishop/statuses/1521017124055134210</t>
  </si>
  <si>
    <t>1521017096070643718</t>
  </si>
  <si>
    <t>AndyHustler2</t>
  </si>
  <si>
    <t>Mon May 02 06:41:49 +0000 2022</t>
  </si>
  <si>
    <t>450654806</t>
  </si>
  <si>
    <t>http://pbs.twimg.com/profile_images/986562865934012416/IKS3DjYi_normal.jpg</t>
  </si>
  <si>
    <t>http://twitter.com/AndyHustler2/statuses/1521017096070643718</t>
  </si>
  <si>
    <t>1521017084481884160</t>
  </si>
  <si>
    <t>lionandfox6773</t>
  </si>
  <si>
    <t>RT @JohnJacksonUAL: @BrexitBin Another #brexit #opportunity - this time for Spanish language schools and Spanish driving schools. #treacheroustories</t>
  </si>
  <si>
    <t>Mon May 02 06:41:46 +0000 2022</t>
  </si>
  <si>
    <t>1213181372103135232</t>
  </si>
  <si>
    <t>http://pbs.twimg.com/profile_images/1213186687343439872/UJ4rXi0n_normal.jpg</t>
  </si>
  <si>
    <t>Enniskillen, Northern Ireland</t>
  </si>
  <si>
    <t>http://twitter.com/lionandfox6773/statuses/1521017084481884160</t>
  </si>
  <si>
    <t>{"hashtags":[{"text":"brexit","indices":[39,46]},{"text":"opportunity","indices":[47,59]}],"symbols":[],"user_mentions":[{"screen_name":"JohnJacksonUAL","name":"John Jackson","id":586562252,"id_str":"586562252","indices":[3,18]},{"screen_name":"BrexitBin","name":"Brexit Bin 🇪🇺🕊🇺🇦 #BrexitReality","id":774510439824822300,"id_str":"774510439824822273","indices":[20,30]}],"urls":[]}</t>
  </si>
  <si>
    <t>1521017071693447168</t>
  </si>
  <si>
    <t>trish_mn</t>
  </si>
  <si>
    <t>Mon May 02 06:41:43 +0000 2022</t>
  </si>
  <si>
    <t>225326360</t>
  </si>
  <si>
    <t>http://pbs.twimg.com/profile_images/926835440908247040/0rfA0T7w_normal.jpg</t>
  </si>
  <si>
    <t>Midsomer Norton</t>
  </si>
  <si>
    <t>http://twitter.com/trish_mn/statuses/1521017071693447168</t>
  </si>
  <si>
    <t>1521017068912533505</t>
  </si>
  <si>
    <t>White692742</t>
  </si>
  <si>
    <t>1429838412761247750</t>
  </si>
  <si>
    <t>http://pbs.twimg.com/profile_images/1429842012216365069/QXhdBoLN_normal.jpg</t>
  </si>
  <si>
    <t>http://twitter.com/White692742/statuses/1521017068912533505</t>
  </si>
  <si>
    <t>1521017048511434752</t>
  </si>
  <si>
    <t>CarolineHutt</t>
  </si>
  <si>
    <t>Mon May 02 06:41:38 +0000 2022</t>
  </si>
  <si>
    <t>288220068</t>
  </si>
  <si>
    <t>http://pbs.twimg.com/profile_images/1449771966618034176/ecHbzl26_normal.jpg</t>
  </si>
  <si>
    <t>http://twitter.com/CarolineHutt/statuses/1521017048511434752</t>
  </si>
  <si>
    <t>1521017043566350337</t>
  </si>
  <si>
    <t>Westward_Hook</t>
  </si>
  <si>
    <t>Mon May 02 06:41:36 +0000 2022</t>
  </si>
  <si>
    <t>477895266</t>
  </si>
  <si>
    <t>http://pbs.twimg.com/profile_images/1871790728/P8180076a_normal.jpg</t>
  </si>
  <si>
    <t>http://twitter.com/Westward_Hook/statuses/1521017043566350337</t>
  </si>
  <si>
    <t>1521017006429978624</t>
  </si>
  <si>
    <t>JohnJacksonUAL</t>
  </si>
  <si>
    <t>@BrexitBin Another #brexit #opportunity - this time for Spanish language schools and Spanish driving schools. #treacheroustories</t>
  </si>
  <si>
    <t>Mon May 02 06:41:28 +0000 2022</t>
  </si>
  <si>
    <t>774510439824822273</t>
  </si>
  <si>
    <t>BrexitBin</t>
  </si>
  <si>
    <t>586562252</t>
  </si>
  <si>
    <t>1520884975498842112</t>
  </si>
  <si>
    <t>http://pbs.twimg.com/profile_images/2237918417/snapshot-005_normal.jpg</t>
  </si>
  <si>
    <t>http://twitter.com/JohnJacksonUAL/statuses/1521017006429978624</t>
  </si>
  <si>
    <t>{"hashtags":[{"text":"brexit","indices":[19,26]},{"text":"opportunity","indices":[27,39]},{"text":"treacheroustories","indices":[110,128]}],"symbols":[],"user_mentions":[{"screen_name":"BrexitBin","name":"Brexit Bin 🇪🇺🕊🇺🇦 #BrexitReality","id":774510439824822300,"id_str":"774510439824822273","indices":[0,10]}],"urls":[]}</t>
  </si>
  <si>
    <t>1521016994115563520</t>
  </si>
  <si>
    <t>sandra4646</t>
  </si>
  <si>
    <t>RT @rec777777: @JohnJCrace Not sure @UKLabour cheating democracy and it's 5 million leave voters is a very good strategy for them.
Great for the @LibDems though. Nobody trusts them anyway.
@GBNEWS @BBCNews 
#Brexit</t>
  </si>
  <si>
    <t>Mon May 02 06:41:25 +0000 2022</t>
  </si>
  <si>
    <t>854862661</t>
  </si>
  <si>
    <t>http://pbs.twimg.com/profile_images/907368719961280513/dWVPv7eX_normal.jpg</t>
  </si>
  <si>
    <t>http://twitter.com/sandra4646/statuses/1521016994115563520</t>
  </si>
  <si>
    <t>{"hashtags":[],"symbols":[],"user_mentions":[{"screen_name":"rec777777","name":"REC","id":812295444604866600,"id_str":"812295444604866560","indices":[3,13]},{"screen_name":"JohnJCrace","name":"John Crace","id":43077278,"id_str":"43077278","indices":[15,26]},{"screen_name":"UKLabour","name":"The Labour Party","id":14291684,"id_str":"14291684","indices":[36,45]}],"urls":[]}</t>
  </si>
  <si>
    <t>1521016987664670722</t>
  </si>
  <si>
    <t>andybwhittle</t>
  </si>
  <si>
    <t>Mon May 02 06:41:23 +0000 2022</t>
  </si>
  <si>
    <t>155700971</t>
  </si>
  <si>
    <t>http://pbs.twimg.com/profile_images/1442332205/IMG_5726_normal.JPG</t>
  </si>
  <si>
    <t>Farndon, Cheshire.</t>
  </si>
  <si>
    <t>http://twitter.com/andybwhittle/statuses/1521016987664670722</t>
  </si>
  <si>
    <t>1521016981255868417</t>
  </si>
  <si>
    <t>quangels</t>
  </si>
  <si>
    <t>Mon May 02 06:41:22 +0000 2022</t>
  </si>
  <si>
    <t>205700679</t>
  </si>
  <si>
    <t>http://pbs.twimg.com/profile_images/1363153654962937856/yr4px-OE_normal.jpg</t>
  </si>
  <si>
    <t>http://twitter.com/quangels/statuses/1521016981255868417</t>
  </si>
  <si>
    <t>1521016907683581954</t>
  </si>
  <si>
    <t>ifg007</t>
  </si>
  <si>
    <t>Mon May 02 06:41:04 +0000 2022</t>
  </si>
  <si>
    <t>296991343</t>
  </si>
  <si>
    <t>http://pbs.twimg.com/profile_images/916633474580336641/0ZQPmPNm_normal.jpg</t>
  </si>
  <si>
    <t>http://twitter.com/ifg007/statuses/1521016907683581954</t>
  </si>
  <si>
    <t>1521016862053654528</t>
  </si>
  <si>
    <t>h1llbillies</t>
  </si>
  <si>
    <t>Mon May 02 06:40:53 +0000 2022</t>
  </si>
  <si>
    <t>296188478</t>
  </si>
  <si>
    <t>http://pbs.twimg.com/profile_images/1496784796864987137/ORjxUSVQ_normal.jpg</t>
  </si>
  <si>
    <t>http://twitter.com/h1llbillies/statuses/1521016862053654528</t>
  </si>
  <si>
    <t>1521016842676060160</t>
  </si>
  <si>
    <t>YYvnn</t>
  </si>
  <si>
    <t>Mon May 02 06:40:49 +0000 2022</t>
  </si>
  <si>
    <t>495426569</t>
  </si>
  <si>
    <t>http://pbs.twimg.com/profile_images/868197077230211072/zx8S3drt_normal.jpg</t>
  </si>
  <si>
    <t>http://twitter.com/YYvnn/statuses/1521016842676060160</t>
  </si>
  <si>
    <t>1521016799755747328</t>
  </si>
  <si>
    <t>fy_teigr</t>
  </si>
  <si>
    <t>Mon May 02 06:40:38 +0000 2022</t>
  </si>
  <si>
    <t>735852126895771648</t>
  </si>
  <si>
    <t>http://pbs.twimg.com/profile_images/1290629466654494722/lD2G32LZ_normal.jpg</t>
  </si>
  <si>
    <t>Hampshire</t>
  </si>
  <si>
    <t>http://twitter.com/fy_teigr/statuses/1521016799755747328</t>
  </si>
  <si>
    <t>1521016786354851840</t>
  </si>
  <si>
    <t>Benefits of #Brexit https://t.co/AlKYryjvgL</t>
  </si>
  <si>
    <t>Mon May 02 06:40:35 +0000 2022</t>
  </si>
  <si>
    <t>http://twitter.com/sallyhoughton20/statuses/1521016786354851840</t>
  </si>
  <si>
    <t>{"hashtags":[{"text":"Brexit","indices":[12,19]}],"symbols":[],"user_mentions":[],"urls":[{"url":"https://t.co/AlKYryjvgL","expanded_url":"https://twitter.com/povelina1/status/1521004031241502725","display_url":"twitter.com/povelina1/stat…","indices":[20,43]}]}</t>
  </si>
  <si>
    <t>1521016758479511552</t>
  </si>
  <si>
    <t>stevec009</t>
  </si>
  <si>
    <t>Bad #Brexit . 👇 https://t.co/ZDN0xmoyPr</t>
  </si>
  <si>
    <t>Mon May 02 06:40:29 +0000 2022</t>
  </si>
  <si>
    <t>253448825</t>
  </si>
  <si>
    <t>http://pbs.twimg.com/profile_images/1434428463209926657/RdfoLzlK_normal.jpg</t>
  </si>
  <si>
    <t>http://twitter.com/stevec009/statuses/1521016758479511552</t>
  </si>
  <si>
    <t>{"hashtags":[{"text":"Brexit","indices":[4,11]}],"symbols":[],"user_mentions":[],"urls":[{"url":"https://t.co/ZDN0xmoyPr","expanded_url":"https://twitter.com/wynnewman/status/1520995747218526208","display_url":"twitter.com/wynnewman/stat…","indices":[16,39]}]}</t>
  </si>
  <si>
    <t>1521016750124539905</t>
  </si>
  <si>
    <t>hettiewagtail</t>
  </si>
  <si>
    <t>Mon May 02 06:40:27 +0000 2022</t>
  </si>
  <si>
    <t>294620662</t>
  </si>
  <si>
    <t>http://pbs.twimg.com/profile_images/3361759769/c97d39af293cdc8d33630e9026b350e6_normal.jpeg</t>
  </si>
  <si>
    <t>http://twitter.com/hettiewagtail/statuses/1521016750124539905</t>
  </si>
  <si>
    <t>1521016720290459648</t>
  </si>
  <si>
    <t>ThomasF86612463</t>
  </si>
  <si>
    <t>Mon May 02 06:40:19 +0000 2022</t>
  </si>
  <si>
    <t>1470749954033471490</t>
  </si>
  <si>
    <t>http://twitter.com/ThomasF86612463/statuses/1521016720290459648</t>
  </si>
  <si>
    <t>1521016672940929025</t>
  </si>
  <si>
    <t>jdutchman</t>
  </si>
  <si>
    <t>Mon May 02 06:40:08 +0000 2022</t>
  </si>
  <si>
    <t>293409021</t>
  </si>
  <si>
    <t>http://pbs.twimg.com/profile_images/1186899485944930304/O1PM70m9_normal.jpg</t>
  </si>
  <si>
    <t>Crete Greece.</t>
  </si>
  <si>
    <t>http://twitter.com/jdutchman/statuses/1521016672940929025</t>
  </si>
  <si>
    <t>1521016658562895872</t>
  </si>
  <si>
    <t>PhilomenaColl11</t>
  </si>
  <si>
    <t>Mon May 02 06:40:05 +0000 2022</t>
  </si>
  <si>
    <t>4132737149</t>
  </si>
  <si>
    <t>http://twitter.com/PhilomenaColl11/statuses/1521016658562895872</t>
  </si>
  <si>
    <t>1521016589071564800</t>
  </si>
  <si>
    <t>BobMars53070026</t>
  </si>
  <si>
    <t>Mon May 02 06:39:48 +0000 2022</t>
  </si>
  <si>
    <t>880681259030245376</t>
  </si>
  <si>
    <t>http://twitter.com/BobMars53070026/statuses/1521016589071564800</t>
  </si>
  <si>
    <t>1521016434897440773</t>
  </si>
  <si>
    <t>HurdlePaul</t>
  </si>
  <si>
    <t>Mon May 02 06:39:11 +0000 2022</t>
  </si>
  <si>
    <t>1265724082445791234</t>
  </si>
  <si>
    <t>http://pbs.twimg.com/profile_images/1414902771996835843/U89k1vDS_normal.jpg</t>
  </si>
  <si>
    <t>http://twitter.com/HurdlePaul/statuses/1521016434897440773</t>
  </si>
  <si>
    <t>1521016403196788736</t>
  </si>
  <si>
    <t>StuBearhop</t>
  </si>
  <si>
    <t>Mon May 02 06:39:04 +0000 2022</t>
  </si>
  <si>
    <t>29525099</t>
  </si>
  <si>
    <t>http://pbs.twimg.com/profile_images/582253382540374017/VG2L7-82_normal.jpg</t>
  </si>
  <si>
    <t>Falmouth, Cornwall, UK</t>
  </si>
  <si>
    <t>http://twitter.com/StuBearhop/statuses/1521016403196788736</t>
  </si>
  <si>
    <t>1521016383236096000</t>
  </si>
  <si>
    <t>FirstLa14340074</t>
  </si>
  <si>
    <t>@steveparks @overwater001 Talk the talk time is over
They really had their chance and blew it
#Tories #Brexit #Partygate</t>
  </si>
  <si>
    <t>Mon May 02 06:38:59 +0000 2022</t>
  </si>
  <si>
    <t>1119741</t>
  </si>
  <si>
    <t>steveparks</t>
  </si>
  <si>
    <t>1322565828387213312</t>
  </si>
  <si>
    <t>1520785252855209986</t>
  </si>
  <si>
    <t>http://pbs.twimg.com/profile_images/1425643900421779461/mmgPpItw_normal.png</t>
  </si>
  <si>
    <t>home</t>
  </si>
  <si>
    <t>http://twitter.com/FirstLa14340074/statuses/1521016383236096000</t>
  </si>
  <si>
    <t>{"hashtags":[{"text":"Tories","indices":[95,102]},{"text":"Brexit","indices":[103,110]},{"text":"Partygate","indices":[111,121]}],"symbols":[],"user_mentions":[{"screen_name":"steveparks","name":"Steve Parks","id":1119741,"id_str":"1119741","indices":[0,11]},{"screen_name":"overwater001","name":"Conte Italiano Di Toscana #44🎶🇪🇺 🇮🇹","id":126958934,"id_str":"126958934","indices":[12,25]}],"urls":[]}</t>
  </si>
  <si>
    <t>1521016224154537984</t>
  </si>
  <si>
    <t>mpfeldhoff</t>
  </si>
  <si>
    <t>Mon May 02 06:38:21 +0000 2022</t>
  </si>
  <si>
    <t>2434081019</t>
  </si>
  <si>
    <t>http://pbs.twimg.com/profile_images/476773628303126528/X86pSbd-_normal.jpeg</t>
  </si>
  <si>
    <t>http://twitter.com/mpfeldhoff/statuses/1521016224154537984</t>
  </si>
  <si>
    <t>1521016219586940928</t>
  </si>
  <si>
    <t>#BREXIT #UK #BIZ #HUMANRIGHTS #USA #EU #Music #Ukraine #Russia #War #Europe 
UKRAINE OR RUSSIA...?
UNDER BREXIT GESTAPO HUMAN &amp;amp; ARTISTIC OPPRESSION UK RULES
IN LESS THAN 45 MINUTES.. US &amp;amp; UK ARMY BILLIONS OF POUNDS IN GOLD SEIZED 'STOLEN' FROM IRAQ WAR &amp;gt;&amp;gt; https://t.co/aC97NjAd1f https://t.co/gj3UgZK3wQ</t>
  </si>
  <si>
    <t>Mon May 02 06:38:20 +0000 2022</t>
  </si>
  <si>
    <t>http://twitter.com/IvanKlass_/statuses/1521016219586940928</t>
  </si>
  <si>
    <t>{"hashtags":[{"text":"BREXIT","indices":[0,7]},{"text":"UK","indices":[8,11]},{"text":"BIZ","indices":[12,16]},{"text":"HUMANRIGHTS","indices":[17,29]},{"text":"USA","indices":[30,34]},{"text":"EU","indices":[35,38]},{"text":"Music","indices":[39,45]},{"text":"Ukraine","indices":[46,54]},{"text":"Russia","indices":[55,62]},{"text":"War","indices":[63,67]},{"text":"Europe","indices":[68,75]}],"symbols":[],"user_mentions":[],"urls":[{"url":"https://t.co/aC97NjAd1f","expanded_url":"https://themuslimtimes.info/2021/05/27/iraqi-gold-found-by-us-army-what-happened-to-it/","display_url":"themuslimtimes.info/2021/05/27/ira…","indices":[271,294]}],"media":[{"id":1521016212414775300,"id_str":"1521016212414775305","indices":[295,318],"media_url":"http://pbs.twimg.com/media/FRu8L76XwAk_Ewm.jpg","media_url_https":"https://pbs.twimg.com/media/FRu8L76XwAk_Ewm.jpg","url":"https://t.co/gj3UgZK3wQ","display_url":"pic.twitter.com/gj3UgZK3wQ","expanded_url":"https://twitter.com/IvanKlass_/status/1521016219586940928/photo/1","type":"photo","sizes":{"large":{"w":575,"h":400,"resize":"fit"},"thumb":{"w":150,"h":150,"resize":"crop"},"medium":{"w":575,"h":400,"resize":"fit"},"small":{"w":575,"h":400,"resize":"fit"}}}]}</t>
  </si>
  <si>
    <t>1521016209575133184</t>
  </si>
  <si>
    <t>TippettMatthew</t>
  </si>
  <si>
    <t>Mon May 02 06:38:18 +0000 2022</t>
  </si>
  <si>
    <t>928087663</t>
  </si>
  <si>
    <t>http://pbs.twimg.com/profile_images/774258218747002880/f4AaPAKg_normal.jpg</t>
  </si>
  <si>
    <t>http://twitter.com/TippettMatthew/statuses/1521016209575133184</t>
  </si>
  <si>
    <t>1521016204764364800</t>
  </si>
  <si>
    <t>Mon May 02 06:38:16 +0000 2022</t>
  </si>
  <si>
    <t>http://twitter.com/sandra4646/statuses/1521016204764364800</t>
  </si>
  <si>
    <t>1521016153828737024</t>
  </si>
  <si>
    <t>rabaldor</t>
  </si>
  <si>
    <t>RT @emhkcf: Grant Shapps is taking us for a ride boasting that #Brexit has enabled us to  ditch a lawnmower tax, a tax that the EU had already axed. 
#BrexitLies
#BrexitHasFailed https://t.co/nS2HTtMGwq</t>
  </si>
  <si>
    <t>Mon May 02 06:38:04 +0000 2022</t>
  </si>
  <si>
    <t>1109367768212824065</t>
  </si>
  <si>
    <t>http://pbs.twimg.com/profile_images/1496747565991276548/lI5NxbIp_normal.jpg</t>
  </si>
  <si>
    <t>http://twitter.com/rabaldor/statuses/1521016153828737024</t>
  </si>
  <si>
    <t>{"hashtags":[{"text":"Brexit","indices":[63,70]}],"symbols":[],"user_mentions":[{"screen_name":"emhkcf","name":"European Movement West London","id":924257264470458400,"id_str":"924257264470458368","indices":[3,10]}],"urls":[]}</t>
  </si>
  <si>
    <t>1521016120131653632</t>
  </si>
  <si>
    <t>Mon May 02 06:37:56 +0000 2022</t>
  </si>
  <si>
    <t>http://twitter.com/Sunpoches/statuses/1521016120131653632</t>
  </si>
  <si>
    <t>1521016063172915200</t>
  </si>
  <si>
    <t>KevinLondonUK</t>
  </si>
  <si>
    <t>RT @irishelt: @KevinLondonUK @TymVirginia Bypass #Brexit Britain</t>
  </si>
  <si>
    <t>Mon May 02 06:37:43 +0000 2022</t>
  </si>
  <si>
    <t>303737180</t>
  </si>
  <si>
    <t>http://pbs.twimg.com/profile_images/1500012223397302274/DI-212ZQ_normal.jpg</t>
  </si>
  <si>
    <t>http://twitter.com/KevinLondonUK/statuses/1521016063172915200</t>
  </si>
  <si>
    <t>{"hashtags":[{"text":"Brexit","indices":[49,56]}],"symbols":[],"user_mentions":[{"screen_name":"irishelt","name":"Irish Emergency Logistics Team 🇮🇪","id":2697123192,"id_str":"2697123192","indices":[3,12]},{"screen_name":"KevinLondonUK","name":"🇬🇧 🇪🇺Kevin Wilson 🇪🇺 🇬🇧 🇺🇦🌻🙏🌻🇺🇦","id":303737180,"id_str":"303737180","indices":[14,28]},{"screen_name":"TymVirginia","name":"Virginia Tym #SolidarityWithUkraine #SaveOurNHS","id":1086322031141027800,"id_str":"1086322031141027840","indices":[29,41]}],"urls":[]}</t>
  </si>
  <si>
    <t>1521016053802876930</t>
  </si>
  <si>
    <t>Mon May 02 06:37:40 +0000 2022</t>
  </si>
  <si>
    <t>http://twitter.com/mpfeldhoff/statuses/1521016053802876930</t>
  </si>
  <si>
    <t>1521016031946461185</t>
  </si>
  <si>
    <t>Mon May 02 06:37:35 +0000 2022</t>
  </si>
  <si>
    <t>http://twitter.com/mpfeldhoff/statuses/1521016031946461185</t>
  </si>
  <si>
    <t>1521015991018401793</t>
  </si>
  <si>
    <t>Mon May 02 06:37:26 +0000 2022</t>
  </si>
  <si>
    <t>http://twitter.com/mpfeldhoff/statuses/1521015991018401793</t>
  </si>
  <si>
    <t>1521015986408861697</t>
  </si>
  <si>
    <t>JCharrison</t>
  </si>
  <si>
    <t>Mon May 02 06:37:24 +0000 2022</t>
  </si>
  <si>
    <t>20989465</t>
  </si>
  <si>
    <t>http://pbs.twimg.com/profile_images/486234378/100x_x_100_normal.jpg</t>
  </si>
  <si>
    <t>http://twitter.com/JCharrison/statuses/1521015986408861697</t>
  </si>
  <si>
    <t>1521015948811067392</t>
  </si>
  <si>
    <t>TonyGentGD1</t>
  </si>
  <si>
    <t>Mon May 02 06:37:15 +0000 2022</t>
  </si>
  <si>
    <t>3547319176</t>
  </si>
  <si>
    <t>Lincs Cambs Border, UK</t>
  </si>
  <si>
    <t>http://twitter.com/TonyGentGD1/statuses/1521015948811067392</t>
  </si>
  <si>
    <t>1521015947670265856</t>
  </si>
  <si>
    <t>davidwychwood</t>
  </si>
  <si>
    <t>111981078</t>
  </si>
  <si>
    <t>http://pbs.twimg.com/profile_images/1432317302398242818/zwtRj_Nt_normal.jpg</t>
  </si>
  <si>
    <t>http://twitter.com/davidwychwood/statuses/1521015947670265856</t>
  </si>
  <si>
    <t>1521015923058036736</t>
  </si>
  <si>
    <t>Mon May 02 06:37:09 +0000 2022</t>
  </si>
  <si>
    <t>http://twitter.com/mpfeldhoff/statuses/1521015923058036736</t>
  </si>
  <si>
    <t>1521015918016479233</t>
  </si>
  <si>
    <t>Pictav</t>
  </si>
  <si>
    <t>Mon May 02 06:37:08 +0000 2022</t>
  </si>
  <si>
    <t>302699563</t>
  </si>
  <si>
    <t>http://pbs.twimg.com/profile_images/514501354665304064/TAOatEDv_normal.jpeg</t>
  </si>
  <si>
    <t>http://twitter.com/Pictav/statuses/1521015918016479233</t>
  </si>
  <si>
    <t>1521015895887433729</t>
  </si>
  <si>
    <t>DagenhamMKIII</t>
  </si>
  <si>
    <t>Mon May 02 06:37:03 +0000 2022</t>
  </si>
  <si>
    <t>142742074</t>
  </si>
  <si>
    <t>http://pbs.twimg.com/profile_images/1434238199241510920/2tC_rFKN_normal.jpg</t>
  </si>
  <si>
    <t>http://twitter.com/DagenhamMKIII/statuses/1521015895887433729</t>
  </si>
  <si>
    <t>1521015874831986688</t>
  </si>
  <si>
    <t>irishelt</t>
  </si>
  <si>
    <t>@KevinLondonUK @TymVirginia Bypass #Brexit Britain</t>
  </si>
  <si>
    <t>Mon May 02 06:36:58 +0000 2022</t>
  </si>
  <si>
    <t>2697123192</t>
  </si>
  <si>
    <t>1521007603312177152</t>
  </si>
  <si>
    <t>http://pbs.twimg.com/profile_images/495043201859076097/eyP8fv9r_normal.jpeg</t>
  </si>
  <si>
    <t>http://twitter.com/irishelt/statuses/1521015874831986688</t>
  </si>
  <si>
    <t>{"hashtags":[{"text":"Brexit","indices":[35,42]}],"symbols":[],"user_mentions":[{"screen_name":"KevinLondonUK","name":"🇬🇧 🇪🇺Kevin Wilson 🇪🇺 🇬🇧 🇺🇦🌻🙏🌻🇺🇦","id":303737180,"id_str":"303737180","indices":[0,14]},{"screen_name":"TymVirginia","name":"Virginia Tym #SolidarityWithUkraine #SaveOurNHS","id":1086322031141027800,"id_str":"1086322031141027840","indices":[15,27]}],"urls":[]}</t>
  </si>
  <si>
    <t>1521015872747364352</t>
  </si>
  <si>
    <t>Mon May 02 06:36:57 +0000 2022</t>
  </si>
  <si>
    <t>http://twitter.com/mpfeldhoff/statuses/1521015872747364352</t>
  </si>
  <si>
    <t>1521015838253494272</t>
  </si>
  <si>
    <t>nadjabossmann</t>
  </si>
  <si>
    <t>Mon May 02 06:36:49 +0000 2022</t>
  </si>
  <si>
    <t>768551087624298496</t>
  </si>
  <si>
    <t>http://pbs.twimg.com/profile_images/1444021721401597952/0lFqLdId_normal.jpg</t>
  </si>
  <si>
    <t>http://twitter.com/nadjabossmann/statuses/1521015838253494272</t>
  </si>
  <si>
    <t>1521015803642064897</t>
  </si>
  <si>
    <t>SusanJo43071601</t>
  </si>
  <si>
    <t>Mon May 02 06:36:41 +0000 2022</t>
  </si>
  <si>
    <t>786705929005924354</t>
  </si>
  <si>
    <t>http://pbs.twimg.com/profile_images/825666047541964800/3PZu-0m4_normal.jpg</t>
  </si>
  <si>
    <t>http://twitter.com/SusanJo43071601/statuses/1521015803642064897</t>
  </si>
  <si>
    <t>1521015801859485697</t>
  </si>
  <si>
    <t>ChezCastillonMW</t>
  </si>
  <si>
    <t>Mon May 02 06:36:40 +0000 2022</t>
  </si>
  <si>
    <t>30435420</t>
  </si>
  <si>
    <t>http://pbs.twimg.com/profile_images/378800000441892532/85357417df002745cc08feef9efbfcdd_normal.jpeg</t>
  </si>
  <si>
    <t>living in S W France...</t>
  </si>
  <si>
    <t>http://twitter.com/ChezCastillonMW/statuses/1521015801859485697</t>
  </si>
  <si>
    <t>1521015745513107456</t>
  </si>
  <si>
    <t>RadiateNappa</t>
  </si>
  <si>
    <t>Mon May 02 06:36:27 +0000 2022</t>
  </si>
  <si>
    <t>190800104</t>
  </si>
  <si>
    <t>Birmingham</t>
  </si>
  <si>
    <t>http://twitter.com/RadiateNappa/statuses/1521015745513107456</t>
  </si>
  <si>
    <t>1521015651741184000</t>
  </si>
  <si>
    <t>Mon May 02 06:36:05 +0000 2022</t>
  </si>
  <si>
    <t>http://twitter.com/JCharrison/statuses/1521015651741184000</t>
  </si>
  <si>
    <t>1521015649543335936</t>
  </si>
  <si>
    <t>stancbgreen</t>
  </si>
  <si>
    <t>Mon May 02 06:36:04 +0000 2022</t>
  </si>
  <si>
    <t>2879720944</t>
  </si>
  <si>
    <t>http://pbs.twimg.com/profile_images/1358398733839437825/gm7rXfAe_normal.jpg</t>
  </si>
  <si>
    <t>http://twitter.com/stancbgreen/statuses/1521015649543335936</t>
  </si>
  <si>
    <t>1521015627766550528</t>
  </si>
  <si>
    <t>RT @rec777777: @UB5simon We know neither @UKLabour or @LibDems can win in a fair and democratic way.
They'll cheat this time, then try to form a government of losers after the next GE.
Trouble is, it exposes @Keir_Starmer as a liar again.
He claimed he now supported #Brexit .</t>
  </si>
  <si>
    <t>Mon May 02 06:35:59 +0000 2022</t>
  </si>
  <si>
    <t>http://twitter.com/sandra4646/statuses/1521015627766550528</t>
  </si>
  <si>
    <t>{"hashtags":[],"symbols":[],"user_mentions":[{"screen_name":"rec777777","name":"REC","id":812295444604866600,"id_str":"812295444604866560","indices":[3,13]},{"screen_name":"UB5simon","name":"Simon Bye 🎪🔶","id":62595328,"id_str":"62595328","indices":[15,24]},{"screen_name":"UKLabour","name":"The Labour Party","id":14291684,"id_str":"14291684","indices":[41,50]},{"screen_name":"LibDems","name":"Liberal Democrats","id":5680622,"id_str":"5680622","indices":[54,62]}],"urls":[]}</t>
  </si>
  <si>
    <t>1521015563450994689</t>
  </si>
  <si>
    <t>weecass1888</t>
  </si>
  <si>
    <t>Mon May 02 06:35:44 +0000 2022</t>
  </si>
  <si>
    <t>253464864</t>
  </si>
  <si>
    <t>http://pbs.twimg.com/profile_images/682319906046668800/3REqIR1l_normal.jpg</t>
  </si>
  <si>
    <t>http://twitter.com/weecass1888/statuses/1521015563450994689</t>
  </si>
  <si>
    <t>1521015492181479428</t>
  </si>
  <si>
    <t>dombens</t>
  </si>
  <si>
    <t>Mon May 02 06:35:27 +0000 2022</t>
  </si>
  <si>
    <t>22515174</t>
  </si>
  <si>
    <t>http://pbs.twimg.com/profile_images/179554930/olgit2_normal.jpg</t>
  </si>
  <si>
    <t>Somewhere in London</t>
  </si>
  <si>
    <t>http://twitter.com/dombens/statuses/1521015492181479428</t>
  </si>
  <si>
    <t>1521015475509026817</t>
  </si>
  <si>
    <t>LeckyRichard</t>
  </si>
  <si>
    <t>Mon May 02 06:35:23 +0000 2022</t>
  </si>
  <si>
    <t>1185117354340081665</t>
  </si>
  <si>
    <t>http://pbs.twimg.com/profile_images/1357708264016871424/v2sUl2VE_normal.jpg</t>
  </si>
  <si>
    <t>http://twitter.com/LeckyRichard/statuses/1521015475509026817</t>
  </si>
  <si>
    <t>1521015468588425216</t>
  </si>
  <si>
    <t>RightArmOver3</t>
  </si>
  <si>
    <t>Mon May 02 06:35:21 +0000 2022</t>
  </si>
  <si>
    <t>1279829161201238018</t>
  </si>
  <si>
    <t>http://pbs.twimg.com/profile_images/1507622170016591879/MTIUs7Hg_normal.jpg</t>
  </si>
  <si>
    <t>Pavillion end.</t>
  </si>
  <si>
    <t>http://twitter.com/RightArmOver3/statuses/1521015468588425216</t>
  </si>
  <si>
    <t>1521015456697667585</t>
  </si>
  <si>
    <t>trixietrottsba1</t>
  </si>
  <si>
    <t>Mon May 02 06:35:18 +0000 2022</t>
  </si>
  <si>
    <t>1197079638201245696</t>
  </si>
  <si>
    <t>http://pbs.twimg.com/profile_images/1379800648955334664/f53V7Ay9_normal.jpg</t>
  </si>
  <si>
    <t xml:space="preserve">The Garden of England </t>
  </si>
  <si>
    <t>http://twitter.com/trixietrottsba1/statuses/1521015456697667585</t>
  </si>
  <si>
    <t>1521015443523313664</t>
  </si>
  <si>
    <t>tonybohan</t>
  </si>
  <si>
    <t>Mon May 02 06:35:15 +0000 2022</t>
  </si>
  <si>
    <t>11497012</t>
  </si>
  <si>
    <t>http://pbs.twimg.com/profile_images/1352569985453989888/lOOC-Bcz_normal.jpg</t>
  </si>
  <si>
    <t>Tremer, France</t>
  </si>
  <si>
    <t>http://twitter.com/tonybohan/statuses/1521015443523313664</t>
  </si>
  <si>
    <t>1521015388896735237</t>
  </si>
  <si>
    <t>Loofah57060</t>
  </si>
  <si>
    <t>Mon May 02 06:35:02 +0000 2022</t>
  </si>
  <si>
    <t>877848065121681409</t>
  </si>
  <si>
    <t>http://pbs.twimg.com/profile_images/1349021588721688584/Py1lYEYg_normal.jpg</t>
  </si>
  <si>
    <t>http://twitter.com/Loofah57060/statuses/1521015388896735237</t>
  </si>
  <si>
    <t>1521015311901863936</t>
  </si>
  <si>
    <t>nicnacpaddi</t>
  </si>
  <si>
    <t>Mon May 02 06:34:44 +0000 2022</t>
  </si>
  <si>
    <t>169645141</t>
  </si>
  <si>
    <t>http://pbs.twimg.com/profile_images/472441761919283200/5AnpECuN_normal.jpeg</t>
  </si>
  <si>
    <t>http://twitter.com/nicnacpaddi/statuses/1521015311901863936</t>
  </si>
  <si>
    <t>1521015289449697282</t>
  </si>
  <si>
    <t>Ilexargentia</t>
  </si>
  <si>
    <t>Mon May 02 06:34:38 +0000 2022</t>
  </si>
  <si>
    <t>1459076994625413121</t>
  </si>
  <si>
    <t>http://pbs.twimg.com/profile_images/1459078434353823772/llWv53Ww_normal.jpg</t>
  </si>
  <si>
    <t>http://twitter.com/Ilexargentia/statuses/1521015289449697282</t>
  </si>
  <si>
    <t>1521015285687455744</t>
  </si>
  <si>
    <t>ClareAdams</t>
  </si>
  <si>
    <t>Mon May 02 06:34:37 +0000 2022</t>
  </si>
  <si>
    <t>20225638</t>
  </si>
  <si>
    <t>http://pbs.twimg.com/profile_images/878442634/smallclare_normal.jpg</t>
  </si>
  <si>
    <t>http://twitter.com/ClareAdams/statuses/1521015285687455744</t>
  </si>
  <si>
    <t>1521015282273333248</t>
  </si>
  <si>
    <t>@Nigel_Farage @GBNEWS The only truth the British public needs to know is that you lied about #Brexit. https://t.co/NMzOmsMegJ</t>
  </si>
  <si>
    <t>http://twitter.com/NuncTempus/statuses/1521015282273333248</t>
  </si>
  <si>
    <t>{"hashtags":[{"text":"Brexit","indices":[93,100]}],"symbols":[],"user_mentions":[{"screen_name":"Nigel_Farage","name":"Nigel Farage","id":19017675,"id_str":"19017675","indices":[0,13]},{"screen_name":"GBNEWS","name":"GB News","id":1339166129110065200,"id_str":"1339166129110065152","indices":[14,21]}],"urls":[],"media":[{"id":1521015276824846300,"id_str":"1521015276824846338","indices":[102,125],"media_url":"http://pbs.twimg.com/media/FRu7VekWYAI8GFS.jpg","media_url_https":"https://pbs.twimg.com/media/FRu7VekWYAI8GFS.jpg","url":"https://t.co/NMzOmsMegJ","display_url":"pic.twitter.com/NMzOmsMegJ","expanded_url":"https://twitter.com/NuncTempus/status/1521015282273333248/photo/1","type":"photo","sizes":{"thumb":{"w":150,"h":150,"resize":"crop"},"large":{"w":1920,"h":1080,"resize":"fit"},"medium":{"w":1200,"h":675,"resize":"fit"},"small":{"w":680,"h":383,"resize":"fit"}}}]}</t>
  </si>
  <si>
    <t>1521015193354002434</t>
  </si>
  <si>
    <t>PAULKLAVAS1</t>
  </si>
  <si>
    <t>Mon May 02 06:34:15 +0000 2022</t>
  </si>
  <si>
    <t>459347003</t>
  </si>
  <si>
    <t>http://pbs.twimg.com/profile_images/1486421338118107137/tGvAKrny_normal.jpg</t>
  </si>
  <si>
    <t>The World 🇬🇷🇿🇦🇪🇺</t>
  </si>
  <si>
    <t>http://twitter.com/PAULKLAVAS1/statuses/1521015193354002434</t>
  </si>
  <si>
    <t>1521015192141934593</t>
  </si>
  <si>
    <t>Scrabble817</t>
  </si>
  <si>
    <t>328214539</t>
  </si>
  <si>
    <t>http://pbs.twimg.com/profile_images/1425169235/DavidA4_normal.jpg</t>
  </si>
  <si>
    <t>Woking, England</t>
  </si>
  <si>
    <t>http://twitter.com/Scrabble817/statuses/1521015192141934593</t>
  </si>
  <si>
    <t>1521015178812346371</t>
  </si>
  <si>
    <t>FoxeGuido</t>
  </si>
  <si>
    <t>Mon May 02 06:34:12 +0000 2022</t>
  </si>
  <si>
    <t>1156365048887033856</t>
  </si>
  <si>
    <t>http://pbs.twimg.com/profile_images/1156369900757237760/ioyCiGrx_normal.jpg</t>
  </si>
  <si>
    <t>http://twitter.com/FoxeGuido/statuses/1521015178812346371</t>
  </si>
  <si>
    <t>1521015174832050177</t>
  </si>
  <si>
    <t>AmandalikesRick</t>
  </si>
  <si>
    <t>Mon May 02 06:34:11 +0000 2022</t>
  </si>
  <si>
    <t>1140053297220464640</t>
  </si>
  <si>
    <t>http://pbs.twimg.com/profile_images/1498066873421901827/_RRzAEcQ_normal.jpg</t>
  </si>
  <si>
    <t>Guernsey, Channel Islands 🇬🇬</t>
  </si>
  <si>
    <t>http://twitter.com/AmandalikesRick/statuses/1521015174832050177</t>
  </si>
  <si>
    <t>1521015170792841216</t>
  </si>
  <si>
    <t>KMarxette</t>
  </si>
  <si>
    <t>Mon May 02 06:34:10 +0000 2022</t>
  </si>
  <si>
    <t>759098773540864000</t>
  </si>
  <si>
    <t>http://pbs.twimg.com/profile_images/1054420068753440769/QLB1qA3L_normal.jpg</t>
  </si>
  <si>
    <t>http://twitter.com/KMarxette/statuses/1521015170792841216</t>
  </si>
  <si>
    <t>1521015138312196096</t>
  </si>
  <si>
    <t>Always_a_Yes</t>
  </si>
  <si>
    <t>If the gammon had not supported the #Brexit tax avoiding #Tory scam, #Ukraine would not have happened.   
It played a big part of #Putin's risk assessment.</t>
  </si>
  <si>
    <t>Mon May 02 06:34:02 +0000 2022</t>
  </si>
  <si>
    <t>115625382</t>
  </si>
  <si>
    <t>http://pbs.twimg.com/profile_images/1518604537082302466/oMARr7At_normal.jpg</t>
  </si>
  <si>
    <t>TBC</t>
  </si>
  <si>
    <t>http://twitter.com/Always_a_Yes/statuses/1521015138312196096</t>
  </si>
  <si>
    <t>{"hashtags":[{"text":"Brexit","indices":[36,43]},{"text":"Tory","indices":[57,62]},{"text":"Ukraine","indices":[69,77]},{"text":"Putin","indices":[130,136]}],"symbols":[],"user_mentions":[],"urls":[]}</t>
  </si>
  <si>
    <t>1521015121539219459</t>
  </si>
  <si>
    <t>SAH_Rowan</t>
  </si>
  <si>
    <t>RT @ga_richardson: #UK was like the proverbial frog in a pot for 40+ yrs then, finally realizing what was happening, it hopped out in the nick of time. Best wishes to the other ~50 European nations including #EU27 but it should be clear that #Brexit was the best choice in 2016 #EUref. @Canzuk_APPG https://t.co/OT2fY9te6o</t>
  </si>
  <si>
    <t>Mon May 02 06:33:58 +0000 2022</t>
  </si>
  <si>
    <t>51431270</t>
  </si>
  <si>
    <t>http://pbs.twimg.com/profile_images/1490600081296433160/9fGlWpyJ_normal.jpg</t>
  </si>
  <si>
    <t>RT does not mean agree.</t>
  </si>
  <si>
    <t>http://twitter.com/SAH_Rowan/statuses/1521015121539219459</t>
  </si>
  <si>
    <t>{"hashtags":[{"text":"UK","indices":[19,22]}],"symbols":[],"user_mentions":[{"screen_name":"ga_richardson","name":"George Richardson","id":846078295,"id_str":"846078295","indices":[3,17]}],"urls":[]}</t>
  </si>
  <si>
    <t>1521015091990306821</t>
  </si>
  <si>
    <t>@AngelaRayner #RejoinEU needs to be your policy, rather than making #brexit work! Then I will consider voting @UKLabour</t>
  </si>
  <si>
    <t>Mon May 02 06:33:51 +0000 2022</t>
  </si>
  <si>
    <t>222748037</t>
  </si>
  <si>
    <t>AngelaRayner</t>
  </si>
  <si>
    <t>1521011327094906882</t>
  </si>
  <si>
    <t>http://twitter.com/ifg007/statuses/1521015091990306821</t>
  </si>
  <si>
    <t>{"hashtags":[{"text":"RejoinEU","indices":[14,23]},{"text":"brexit","indices":[68,75]}],"symbols":[],"user_mentions":[{"screen_name":"AngelaRayner","name":"Angela Rayner 🌹","id":222748037,"id_str":"222748037","indices":[0,13]},{"screen_name":"UKLabour","name":"The Labour Party","id":14291684,"id_str":"14291684","indices":[110,119]}],"urls":[]}</t>
  </si>
  <si>
    <t>1521015048877101056</t>
  </si>
  <si>
    <t>JervisKate</t>
  </si>
  <si>
    <t>Mon May 02 06:33:41 +0000 2022</t>
  </si>
  <si>
    <t>863654057822609408</t>
  </si>
  <si>
    <t>http://pbs.twimg.com/profile_images/870387123135930370/iTfugW8l_normal.jpg</t>
  </si>
  <si>
    <t>http://twitter.com/JervisKate/statuses/1521015048877101056</t>
  </si>
  <si>
    <t>1521015028757020673</t>
  </si>
  <si>
    <t>NickDWhitehead</t>
  </si>
  <si>
    <t>Mon May 02 06:33:36 +0000 2022</t>
  </si>
  <si>
    <t>974041699021410304</t>
  </si>
  <si>
    <t>http://pbs.twimg.com/profile_images/1466090045111255047/9_-luz5i_normal.jpg</t>
  </si>
  <si>
    <t>crowthorne, UK</t>
  </si>
  <si>
    <t>http://twitter.com/NickDWhitehead/statuses/1521015028757020673</t>
  </si>
  <si>
    <t>1521015026261315585</t>
  </si>
  <si>
    <t>EnglishNRomania</t>
  </si>
  <si>
    <t>865269438542696449</t>
  </si>
  <si>
    <t>http://pbs.twimg.com/profile_images/1378764298143551494/C-4VeXDz_normal.jpg</t>
  </si>
  <si>
    <t>Constanta, Romania</t>
  </si>
  <si>
    <t>http://twitter.com/EnglishNRomania/statuses/1521015026261315585</t>
  </si>
  <si>
    <t>1521015011048574976</t>
  </si>
  <si>
    <t>Paul62186251</t>
  </si>
  <si>
    <t>Mon May 02 06:33:32 +0000 2022</t>
  </si>
  <si>
    <t>1086354339894042625</t>
  </si>
  <si>
    <t>http://pbs.twimg.com/profile_images/1454153042207649794/mmrImTng_normal.jpg</t>
  </si>
  <si>
    <t>http://twitter.com/Paul62186251/statuses/1521015011048574976</t>
  </si>
  <si>
    <t>1521015009219948544</t>
  </si>
  <si>
    <t>Mon May 02 06:33:31 +0000 2022</t>
  </si>
  <si>
    <t>http://twitter.com/DbAshby/statuses/1521015009219948544</t>
  </si>
  <si>
    <t>1521014994174980096</t>
  </si>
  <si>
    <t>Dami1190</t>
  </si>
  <si>
    <t>I'd like to remind everyone in Northern Ireland of this: "The same people that sold you #Brexit are now asking you to go down the route of removing the NI protocol." 
Remember the former isn't going well; therefore, chose wisely on Thursday 5th May. 
#AE22 #AE2022</t>
  </si>
  <si>
    <t>Mon May 02 06:33:28 +0000 2022</t>
  </si>
  <si>
    <t>470222557</t>
  </si>
  <si>
    <t>http://pbs.twimg.com/profile_images/1437126151659458563/PE_W8vRt_normal.jpg</t>
  </si>
  <si>
    <t>http://twitter.com/Dami1190/statuses/1521014994174980096</t>
  </si>
  <si>
    <t>{"hashtags":[{"text":"Brexit","indices":[88,95]},{"text":"AE22","indices":[253,258]},{"text":"AE2022","indices":[259,266]}],"symbols":[],"user_mentions":[],"urls":[]}</t>
  </si>
  <si>
    <t>1521014985333219328</t>
  </si>
  <si>
    <t>chrisc_kent</t>
  </si>
  <si>
    <t>Mon May 02 06:33:26 +0000 2022</t>
  </si>
  <si>
    <t>164235955</t>
  </si>
  <si>
    <t>http://pbs.twimg.com/profile_images/1245856130972057604/YNde6TAT_normal.jpg</t>
  </si>
  <si>
    <t>Bacoor, Cavite, Philippines</t>
  </si>
  <si>
    <t>http://twitter.com/chrisc_kent/statuses/1521014985333219328</t>
  </si>
  <si>
    <t>1521014984305745920</t>
  </si>
  <si>
    <t>Hopalon89013906</t>
  </si>
  <si>
    <t>1316755463078371330</t>
  </si>
  <si>
    <t>http://twitter.com/Hopalon89013906/statuses/1521014984305745920</t>
  </si>
  <si>
    <t>1521014873609617408</t>
  </si>
  <si>
    <t>Ker1244</t>
  </si>
  <si>
    <t>Mon May 02 06:32:59 +0000 2022</t>
  </si>
  <si>
    <t>474269050</t>
  </si>
  <si>
    <t>http://pbs.twimg.com/profile_images/1505443536308690944/9EHn3dgG_normal.jpg</t>
  </si>
  <si>
    <t xml:space="preserve"> ToryParasite Island </t>
  </si>
  <si>
    <t>http://twitter.com/Ker1244/statuses/1521014873609617408</t>
  </si>
  <si>
    <t>1521014741136822272</t>
  </si>
  <si>
    <t>johngreenemusic</t>
  </si>
  <si>
    <t>Mon May 02 06:32:28 +0000 2022</t>
  </si>
  <si>
    <t>155170104</t>
  </si>
  <si>
    <t>http://pbs.twimg.com/profile_images/1468941730854707203/-7rGhi4x_normal.jpg</t>
  </si>
  <si>
    <t>Falmouth, UK</t>
  </si>
  <si>
    <t>http://twitter.com/johngreenemusic/statuses/1521014741136822272</t>
  </si>
  <si>
    <t>1521014726288986112</t>
  </si>
  <si>
    <t>Tom_StCroix</t>
  </si>
  <si>
    <t>Mon May 02 06:32:24 +0000 2022</t>
  </si>
  <si>
    <t>475846872</t>
  </si>
  <si>
    <t>http://twitter.com/Tom_StCroix/statuses/1521014726288986112</t>
  </si>
  <si>
    <t>1521014651626078208</t>
  </si>
  <si>
    <t>Iain643</t>
  </si>
  <si>
    <t>Reading how Bwit Nats are threatening to leave Scotland again
Hmm, 
Surely your bwitish #Brexit has proved that this is another 
Brilliant Bwitish idea in action 
If you want to leave go
xxx</t>
  </si>
  <si>
    <t>Mon May 02 06:32:06 +0000 2022</t>
  </si>
  <si>
    <t>2751873404</t>
  </si>
  <si>
    <t>http://pbs.twimg.com/profile_images/925267701995655168/-SaPFDNK_normal.jpg</t>
  </si>
  <si>
    <t>http://twitter.com/Iain643/statuses/1521014651626078208</t>
  </si>
  <si>
    <t>{"hashtags":[{"text":"Brexit","indices":[88,95]}],"symbols":[],"user_mentions":[],"urls":[]}</t>
  </si>
  <si>
    <t>1521014625231380482</t>
  </si>
  <si>
    <t>Mon May 02 06:32:00 +0000 2022</t>
  </si>
  <si>
    <t>http://twitter.com/LoziCamp/statuses/1521014625231380482</t>
  </si>
  <si>
    <t>1521014478065831942</t>
  </si>
  <si>
    <t>TK_Golf_Buys</t>
  </si>
  <si>
    <t>Mon May 02 06:31:25 +0000 2022</t>
  </si>
  <si>
    <t>127204945</t>
  </si>
  <si>
    <t>http://pbs.twimg.com/profile_images/780878515/131-1_normal.jpg</t>
  </si>
  <si>
    <t>http://twitter.com/TK_Golf_Buys/statuses/1521014478065831942</t>
  </si>
  <si>
    <t>1521014390656544770</t>
  </si>
  <si>
    <t>Vicktor1111</t>
  </si>
  <si>
    <t>Mon May 02 06:31:04 +0000 2022</t>
  </si>
  <si>
    <t>354411202</t>
  </si>
  <si>
    <t>http://pbs.twimg.com/profile_images/1496865295/00052_normal.jpg</t>
  </si>
  <si>
    <t>http://twitter.com/Vicktor1111/statuses/1521014390656544770</t>
  </si>
  <si>
    <t>1521014363863363584</t>
  </si>
  <si>
    <t>Mon May 02 06:30:58 +0000 2022</t>
  </si>
  <si>
    <t>http://twitter.com/TonyGentGD1/statuses/1521014363863363584</t>
  </si>
  <si>
    <t>1521014294011383813</t>
  </si>
  <si>
    <t>Mon May 02 06:30:41 +0000 2022</t>
  </si>
  <si>
    <t>http://twitter.com/TonyGentGD1/statuses/1521014294011383813</t>
  </si>
  <si>
    <t>1521014266492555264</t>
  </si>
  <si>
    <t>CampbellDonny</t>
  </si>
  <si>
    <t>Mon May 02 06:30:34 +0000 2022</t>
  </si>
  <si>
    <t>451808602</t>
  </si>
  <si>
    <t>http://pbs.twimg.com/profile_images/746375622188900352/iAckgS5R_normal.jpg</t>
  </si>
  <si>
    <t>Strathendrick, Scotland</t>
  </si>
  <si>
    <t>http://twitter.com/CampbellDonny/statuses/1521014266492555264</t>
  </si>
  <si>
    <t>1521014260096245760</t>
  </si>
  <si>
    <t>MarkInNorthWest</t>
  </si>
  <si>
    <t>Mon May 02 06:30:33 +0000 2022</t>
  </si>
  <si>
    <t>3192197441</t>
  </si>
  <si>
    <t>http://pbs.twimg.com/profile_images/1346882036888436739/2h6XsDqY_normal.jpg</t>
  </si>
  <si>
    <t>http://twitter.com/MarkInNorthWest/statuses/1521014260096245760</t>
  </si>
  <si>
    <t>1521014222892814336</t>
  </si>
  <si>
    <t>Mon May 02 06:30:24 +0000 2022</t>
  </si>
  <si>
    <t>http://twitter.com/helkala/statuses/1521014222892814336</t>
  </si>
  <si>
    <t>1521014220992790528</t>
  </si>
  <si>
    <t>http://twitter.com/TonyGentGD1/statuses/1521014220992790528</t>
  </si>
  <si>
    <t>1521014172925968385</t>
  </si>
  <si>
    <t>gushingtide</t>
  </si>
  <si>
    <t>Mon May 02 06:30:12 +0000 2022</t>
  </si>
  <si>
    <t>39012903</t>
  </si>
  <si>
    <t>http://pbs.twimg.com/profile_images/1245599046338637831/zaRQEOLX_normal.jpg</t>
  </si>
  <si>
    <t>http://twitter.com/gushingtide/statuses/1521014172925968385</t>
  </si>
  <si>
    <t>1521014155171569664</t>
  </si>
  <si>
    <t>Bryan_K1</t>
  </si>
  <si>
    <t>Mon May 02 06:30:08 +0000 2022</t>
  </si>
  <si>
    <t>547701351</t>
  </si>
  <si>
    <t>http://pbs.twimg.com/profile_images/1252164120503291910/prx5Ea9C_normal.jpg</t>
  </si>
  <si>
    <t>http://twitter.com/Bryan_K1/statuses/1521014155171569664</t>
  </si>
  <si>
    <t>1521014136309792768</t>
  </si>
  <si>
    <t>Mon May 02 06:30:03 +0000 2022</t>
  </si>
  <si>
    <t>http://twitter.com/TonyGentGD1/statuses/1521014136309792768</t>
  </si>
  <si>
    <t>1521014106551197696</t>
  </si>
  <si>
    <t>overwater001</t>
  </si>
  <si>
    <t>Mon May 02 06:29:56 +0000 2022</t>
  </si>
  <si>
    <t>126958934</t>
  </si>
  <si>
    <t>http://pbs.twimg.com/profile_images/921717795049689088/JQ-gPZx__normal.jpg</t>
  </si>
  <si>
    <t>Tuscany, Italy</t>
  </si>
  <si>
    <t>http://twitter.com/overwater001/statuses/1521014106551197696</t>
  </si>
  <si>
    <t>1521014057230295040</t>
  </si>
  <si>
    <t>davidmatterson</t>
  </si>
  <si>
    <t>Mon May 02 06:29:44 +0000 2022</t>
  </si>
  <si>
    <t>210535063</t>
  </si>
  <si>
    <t>http://twitter.com/davidmatterson/statuses/1521014057230295040</t>
  </si>
  <si>
    <t>1521014046111281152</t>
  </si>
  <si>
    <t>Mon May 02 06:29:42 +0000 2022</t>
  </si>
  <si>
    <t>http://twitter.com/TonyGentGD1/statuses/1521014046111281152</t>
  </si>
  <si>
    <t>1521014008211460098</t>
  </si>
  <si>
    <t>YvetteHenson</t>
  </si>
  <si>
    <t>Mon May 02 06:29:33 +0000 2022</t>
  </si>
  <si>
    <t>382559030</t>
  </si>
  <si>
    <t>http://pbs.twimg.com/profile_images/1459939849239158788/im8b-u3s_normal.jpg</t>
  </si>
  <si>
    <t>http://twitter.com/YvetteHenson/statuses/1521014008211460098</t>
  </si>
  <si>
    <t>1521013913264996352</t>
  </si>
  <si>
    <t>Well, you know it makes sense! We now know ever better that you @Conservatives &amp;amp; #ConKip racists' #Brexit alliance was backed by #WarCriminalPutin &amp;amp; promulgated by #NonDom #ToryMediaOligarchs!
Your party is full of #ToryCorruption #PutinsToryAssets
#TorySexPests
#ToryTraitors https://t.co/GWweiaH5H3 https://t.co/iEau9lnjG1</t>
  </si>
  <si>
    <t>Mon May 02 06:29:10 +0000 2022</t>
  </si>
  <si>
    <t>http://twitter.com/David_T_Evans/statuses/1521013913264996352</t>
  </si>
  <si>
    <t>{"hashtags":[{"text":"ConKip","indices":[85,92]},{"text":"Brexit","indices":[102,109]},{"text":"WarCriminalPutin","indices":[133,150]},{"text":"NonDom","indices":[172,179]},{"text":"ToryMediaOligarchs","indices":[180,199]},{"text":"ToryCorruption","indices":[224,239]},{"text":"PutinsToryAssets","indices":[240,257]},{"text":"TorySexPests","indices":[258,271]},{"text":"ToryTraitors","indices":[272,285]}],"symbols":[],"user_mentions":[{"screen_name":"Conservatives","name":"Conservatives","id":14281853,"id_str":"14281853","indices":[64,78]}],"urls":[{"url":"https://t.co/GWweiaH5H3","expanded_url":"https://twitter.com/BrandonLewis/status/1520783926066823169","display_url":"twitter.com/BrandonLewis/s…","indices":[286,309]}],"media":[{"id":1521013905954377700,"id_str":"1521013905954377728","indices":[310,333],"media_url":"http://pbs.twimg.com/media/FRu6FrrXEAAu7DQ.jpg","media_url_https":"https://pbs.twimg.com/media/FRu6FrrXEAAu7DQ.jpg","url":"https://t.co/iEau9lnjG1","display_url":"pic.twitter.com/iEau9lnjG1","expanded_url":"https://twitter.com/David_T_Evans/status/1521013913264996352/photo/1","type":"photo","sizes":{"thumb":{"w":150,"h":150,"resize":"crop"},"small":{"w":680,"h":420,"resize":"fit"},"large":{"w":1080,"h":667,"resize":"fit"},"medium":{"w":1080,"h":667,"resize":"fit"}}}]}</t>
  </si>
  <si>
    <t>1521013892733976576</t>
  </si>
  <si>
    <t>touchst0ne</t>
  </si>
  <si>
    <t>Mon May 02 06:29:05 +0000 2022</t>
  </si>
  <si>
    <t>859499834</t>
  </si>
  <si>
    <t>http://pbs.twimg.com/profile_images/711656308584357888/-uEJgOeT_normal.jpg</t>
  </si>
  <si>
    <t>http://twitter.com/touchst0ne/statuses/1521013892733976576</t>
  </si>
  <si>
    <t>1521013874992025601</t>
  </si>
  <si>
    <t>Jms7777Justin</t>
  </si>
  <si>
    <t>Mon May 02 06:29:01 +0000 2022</t>
  </si>
  <si>
    <t>3346365616</t>
  </si>
  <si>
    <t>http://pbs.twimg.com/profile_images/614327019845849088/JWJMhQbQ_normal.png</t>
  </si>
  <si>
    <t>http://twitter.com/Jms7777Justin/statuses/1521013874992025601</t>
  </si>
  <si>
    <t>1521013852351217666</t>
  </si>
  <si>
    <t>Tedestrela</t>
  </si>
  <si>
    <t>Mon May 02 06:28:56 +0000 2022</t>
  </si>
  <si>
    <t>194476904</t>
  </si>
  <si>
    <t>http://pbs.twimg.com/profile_images/1172472983237070848/_vPar8SP_normal.jpg</t>
  </si>
  <si>
    <t>Tynedale</t>
  </si>
  <si>
    <t>http://twitter.com/Tedestrela/statuses/1521013852351217666</t>
  </si>
  <si>
    <t>1521013818134081538</t>
  </si>
  <si>
    <t>mail_bird</t>
  </si>
  <si>
    <t>Mon May 02 06:28:47 +0000 2022</t>
  </si>
  <si>
    <t>481510455</t>
  </si>
  <si>
    <t>http://pbs.twimg.com/profile_images/669870911584120832/G01bEXl7_normal.jpg</t>
  </si>
  <si>
    <t>http://twitter.com/mail_bird/statuses/1521013818134081538</t>
  </si>
  <si>
    <t>1521013803080724481</t>
  </si>
  <si>
    <t>UrsusClan</t>
  </si>
  <si>
    <t>Mon May 02 06:28:44 +0000 2022</t>
  </si>
  <si>
    <t>1076169655713230848</t>
  </si>
  <si>
    <t>http://pbs.twimg.com/profile_images/1512749476036943878/GWvUt7Wx_normal.jpg</t>
  </si>
  <si>
    <t>Sussex &amp; Yorkshire, UK</t>
  </si>
  <si>
    <t>http://twitter.com/UrsusClan/statuses/1521013803080724481</t>
  </si>
  <si>
    <t>1521013784680316930</t>
  </si>
  <si>
    <t>Mon May 02 06:28:39 +0000 2022</t>
  </si>
  <si>
    <t>http://twitter.com/UrsusClan/statuses/1521013784680316930</t>
  </si>
  <si>
    <t>1521013727159541760</t>
  </si>
  <si>
    <t>Mon May 02 06:28:26 +0000 2022</t>
  </si>
  <si>
    <t>http://twitter.com/UrsusClan/statuses/1521013727159541760</t>
  </si>
  <si>
    <t>1521013626592808966</t>
  </si>
  <si>
    <t>damienburke1234</t>
  </si>
  <si>
    <t>@markjenkinsonmp Can you point out maybe half dozen #brexit benefits I mean 6 years on there should be about 100 or so, surely 😂😂😂😂😂</t>
  </si>
  <si>
    <t>Mon May 02 06:28:02 +0000 2022</t>
  </si>
  <si>
    <t>20496975</t>
  </si>
  <si>
    <t>http://pbs.twimg.com/profile_images/1493719603557634050/NXWVnlby_normal.jpg</t>
  </si>
  <si>
    <t>Frome, England</t>
  </si>
  <si>
    <t>http://twitter.com/damienburke1234/statuses/1521013626592808966</t>
  </si>
  <si>
    <t>{"hashtags":[{"text":"brexit","indices":[52,59]}],"symbols":[],"user_mentions":[{"screen_name":"markjenkinsonmp","name":"Mark Jenkinson MP","id":116228328,"id_str":"116228328","indices":[0,16]}],"urls":[]}</t>
  </si>
  <si>
    <t>1521013576986775552</t>
  </si>
  <si>
    <t>shellymott1</t>
  </si>
  <si>
    <t>Mon May 02 06:27:50 +0000 2022</t>
  </si>
  <si>
    <t>1268535901749116929</t>
  </si>
  <si>
    <t>http://pbs.twimg.com/profile_images/1513948389360259072/3QXlpbeR_normal.jpg</t>
  </si>
  <si>
    <t>http://twitter.com/shellymott1/statuses/1521013576986775552</t>
  </si>
  <si>
    <t>1521013558934441984</t>
  </si>
  <si>
    <t>Mike_k_Haden</t>
  </si>
  <si>
    <t>The anti #brexit brigade are swinging into election mode. Just remember labour wanted to negotiate an exit, then vote against it. 
#BackBoris</t>
  </si>
  <si>
    <t>Mon May 02 06:27:46 +0000 2022</t>
  </si>
  <si>
    <t>1512314529253928961</t>
  </si>
  <si>
    <t>http://pbs.twimg.com/profile_images/1521019628801208321/ga6uozLl_normal.jpg</t>
  </si>
  <si>
    <t>http://twitter.com/Mike_k_Haden/statuses/1521013558934441984</t>
  </si>
  <si>
    <t>{"hashtags":[{"text":"brexit","indices":[9,16]},{"text":"BackBoris","indices":[131,141]}],"symbols":[],"user_mentions":[],"urls":[]}</t>
  </si>
  <si>
    <t>1521013521122742272</t>
  </si>
  <si>
    <t>Nealy_OB</t>
  </si>
  <si>
    <t>Mon May 02 06:27:37 +0000 2022</t>
  </si>
  <si>
    <t>2795691367</t>
  </si>
  <si>
    <t>http://pbs.twimg.com/profile_images/977270570025877504/LSl1a7Tm_normal.jpg</t>
  </si>
  <si>
    <t>http://twitter.com/Nealy_OB/statuses/1521013521122742272</t>
  </si>
  <si>
    <t>1521013468245204993</t>
  </si>
  <si>
    <t>BonaparteFabri1</t>
  </si>
  <si>
    <t>Mon May 02 06:27:24 +0000 2022</t>
  </si>
  <si>
    <t>1382485728949506048</t>
  </si>
  <si>
    <t>http://pbs.twimg.com/profile_images/1445385419630252056/OUSE5A4q_normal.jpg</t>
  </si>
  <si>
    <t>Chiba-shi Chuo, Chiba</t>
  </si>
  <si>
    <t>http://twitter.com/BonaparteFabri1/statuses/1521013468245204993</t>
  </si>
  <si>
    <t>1521013454710231040</t>
  </si>
  <si>
    <t>imagesconcept</t>
  </si>
  <si>
    <t>@LanceForman Like rejoining the EU?? #Brexit #ToriesOut5thMay</t>
  </si>
  <si>
    <t>Mon May 02 06:27:21 +0000 2022</t>
  </si>
  <si>
    <t>757537572</t>
  </si>
  <si>
    <t>LanceForman</t>
  </si>
  <si>
    <t>309814105</t>
  </si>
  <si>
    <t>1520869562148954112</t>
  </si>
  <si>
    <t>http://pbs.twimg.com/profile_images/826556895330713606/Qxl6T4sK_normal.jpg</t>
  </si>
  <si>
    <t>Henley-on-Thames, England</t>
  </si>
  <si>
    <t>http://twitter.com/imagesconcept/statuses/1521013454710231040</t>
  </si>
  <si>
    <t>{"hashtags":[{"text":"Brexit","indices":[37,44]},{"text":"ToriesOut5thMay","indices":[45,61]}],"symbols":[],"user_mentions":[{"screen_name":"LanceForman","name":"Lance Forman","id":757537572,"id_str":"757537572","indices":[0,12]}],"urls":[]}</t>
  </si>
  <si>
    <t>1521013452969594883</t>
  </si>
  <si>
    <t>RichardSTOCKDA4</t>
  </si>
  <si>
    <t>Mon May 02 06:27:20 +0000 2022</t>
  </si>
  <si>
    <t>1242712465407979521</t>
  </si>
  <si>
    <t>http://pbs.twimg.com/profile_images/1326616742546853888/1FM6ZvvL_normal.jpg</t>
  </si>
  <si>
    <t>http://twitter.com/RichardSTOCKDA4/statuses/1521013452969594883</t>
  </si>
  <si>
    <t>1521013409856294915</t>
  </si>
  <si>
    <t>stoner1968</t>
  </si>
  <si>
    <t>Mon May 02 06:27:10 +0000 2022</t>
  </si>
  <si>
    <t>629393451</t>
  </si>
  <si>
    <t>http://pbs.twimg.com/profile_images/455287930781970432/xDPXY9yU_normal.jpeg</t>
  </si>
  <si>
    <t>http://twitter.com/stoner1968/statuses/1521013409856294915</t>
  </si>
  <si>
    <t>1521013360266985472</t>
  </si>
  <si>
    <t>John2000AD</t>
  </si>
  <si>
    <t>Mon May 02 06:26:58 +0000 2022</t>
  </si>
  <si>
    <t>1465321254366466048</t>
  </si>
  <si>
    <t>http://pbs.twimg.com/profile_images/1465322518730919942/GQayXjPu_normal.jpg</t>
  </si>
  <si>
    <t>http://twitter.com/John2000AD/statuses/1521013360266985472</t>
  </si>
  <si>
    <t>1521013350817316869</t>
  </si>
  <si>
    <t>Mon May 02 06:26:56 +0000 2022</t>
  </si>
  <si>
    <t>http://twitter.com/stoner1968/statuses/1521013350817316869</t>
  </si>
  <si>
    <t>1521013342214623233</t>
  </si>
  <si>
    <t>janfeghia</t>
  </si>
  <si>
    <t>Mon May 02 06:26:54 +0000 2022</t>
  </si>
  <si>
    <t>153904414</t>
  </si>
  <si>
    <t>http://pbs.twimg.com/profile_images/1489614905015779336/0lXDvpyv_normal.jpg</t>
  </si>
  <si>
    <t>http://twitter.com/janfeghia/statuses/1521013342214623233</t>
  </si>
  <si>
    <t>1521013290721234944</t>
  </si>
  <si>
    <t>toomuchbrexit</t>
  </si>
  <si>
    <t>@BrandonLewis If #brexit is such a great idea, why haven’t you introduced the import checks like we’re supposed to? I
Where are the benefits? 
#BrexitIsntWorking #brexitReality</t>
  </si>
  <si>
    <t>Mon May 02 06:26:42 +0000 2022</t>
  </si>
  <si>
    <t>889529041</t>
  </si>
  <si>
    <t>http://pbs.twimg.com/profile_images/1273638011385896962/QxmIriP8_normal.jpg</t>
  </si>
  <si>
    <t>http://twitter.com/toomuchbrexit/statuses/1521013290721234944</t>
  </si>
  <si>
    <t>{"hashtags":[{"text":"brexit","indices":[17,24]},{"text":"BrexitIsntWorking","indices":[143,161]},{"text":"brexitReality","indices":[162,176]}],"symbols":[],"user_mentions":[{"screen_name":"BrandonLewis","name":"Brandon Lewis","id":16884084,"id_str":"16884084","indices":[0,13]}],"urls":[]}</t>
  </si>
  <si>
    <t>1521013117135822848</t>
  </si>
  <si>
    <t>JonLegsby</t>
  </si>
  <si>
    <t>Mon May 02 06:26:00 +0000 2022</t>
  </si>
  <si>
    <t>382130689</t>
  </si>
  <si>
    <t>http://pbs.twimg.com/profile_images/1459586946062327811/dTSme5pe_normal.jpg</t>
  </si>
  <si>
    <t>Lincolnshire Wolds England</t>
  </si>
  <si>
    <t>http://twitter.com/JonLegsby/statuses/1521013117135822848</t>
  </si>
  <si>
    <t>1521013103026229248</t>
  </si>
  <si>
    <t>valerimelnyczuk</t>
  </si>
  <si>
    <t>Mon May 02 06:25:57 +0000 2022</t>
  </si>
  <si>
    <t>150357611</t>
  </si>
  <si>
    <t>http://pbs.twimg.com/profile_images/1185991819215167494/6bcF5HjK_normal.jpg</t>
  </si>
  <si>
    <t>Wales in my heart</t>
  </si>
  <si>
    <t>http://twitter.com/valerimelnyczuk/statuses/1521013103026229248</t>
  </si>
  <si>
    <t>1521013046960865281</t>
  </si>
  <si>
    <t>soundabuse</t>
  </si>
  <si>
    <t>Mon May 02 06:25:44 +0000 2022</t>
  </si>
  <si>
    <t>87649251</t>
  </si>
  <si>
    <t>http://pbs.twimg.com/profile_images/476480594629500928/N5EedWz9_normal.png</t>
  </si>
  <si>
    <t>http://twitter.com/soundabuse/statuses/1521013046960865281</t>
  </si>
  <si>
    <t>1521013014505431041</t>
  </si>
  <si>
    <t>Michell37191856</t>
  </si>
  <si>
    <t>Mon May 02 06:25:36 +0000 2022</t>
  </si>
  <si>
    <t>1508927327933186052</t>
  </si>
  <si>
    <t>http://twitter.com/Michell37191856/statuses/1521013014505431041</t>
  </si>
  <si>
    <t>1521012966581231616</t>
  </si>
  <si>
    <t>Mon May 02 06:25:24 +0000 2022</t>
  </si>
  <si>
    <t>http://twitter.com/Michell37191856/statuses/1521012966581231616</t>
  </si>
  <si>
    <t>1521012766265511936</t>
  </si>
  <si>
    <t>Mz_Kitten</t>
  </si>
  <si>
    <t>Mon May 02 06:24:37 +0000 2022</t>
  </si>
  <si>
    <t>25887957</t>
  </si>
  <si>
    <t>http://pbs.twimg.com/profile_images/1345824957897572354/xVvyc0Xs_normal.jpg</t>
  </si>
  <si>
    <t>http://twitter.com/Mz_Kitten/statuses/1521012766265511936</t>
  </si>
  <si>
    <t>1521012754139734016</t>
  </si>
  <si>
    <t>58paulb</t>
  </si>
  <si>
    <t>Mon May 02 06:24:34 +0000 2022</t>
  </si>
  <si>
    <t>3360268751</t>
  </si>
  <si>
    <t>http://pbs.twimg.com/profile_images/815514739208056832/qSa6SPSg_normal.jpg</t>
  </si>
  <si>
    <t xml:space="preserve"> 🇬🇧, UK, Europe.</t>
  </si>
  <si>
    <t>http://twitter.com/58paulb/statuses/1521012754139734016</t>
  </si>
  <si>
    <t>1521012746187415552</t>
  </si>
  <si>
    <t>Mon May 02 06:24:32 +0000 2022</t>
  </si>
  <si>
    <t>http://twitter.com/RichardHewison/statuses/1521012746187415552</t>
  </si>
  <si>
    <t>1521012686494081024</t>
  </si>
  <si>
    <t>DurhamWhines</t>
  </si>
  <si>
    <t>Remember when the British Standards mark used to mean something good.
Remember when we made the EU lift their standards.
Remember how a bunch a flag waving, nonce protecting, bigots started calling it 'red tape' because they couldn't profiteer using cheaper materials... #Brexit https://t.co/UH2qmLSP3V</t>
  </si>
  <si>
    <t>Mon May 02 06:24:18 +0000 2022</t>
  </si>
  <si>
    <t>926880749458018308</t>
  </si>
  <si>
    <t>http://pbs.twimg.com/profile_images/1429787776506023942/M4G6asVt_normal.jpg</t>
  </si>
  <si>
    <t>back at me mammies. 💦🧦🤏</t>
  </si>
  <si>
    <t>http://twitter.com/DurhamWhines/statuses/1521012686494081024</t>
  </si>
  <si>
    <t>{"hashtags":[{"text":"Brexit","indices":[273,280]}],"symbols":[],"user_mentions":[],"urls":[{"url":"https://t.co/UH2qmLSP3V","expanded_url":"https://twitter.com/timolarch/status/1521010795500511233","display_url":"twitter.com/timolarch/stat…","indices":[281,304]}]}</t>
  </si>
  <si>
    <t>1521012631460589568</t>
  </si>
  <si>
    <t>HSillitto</t>
  </si>
  <si>
    <t>Mon May 02 06:24:05 +0000 2022</t>
  </si>
  <si>
    <t>1300422446693187586</t>
  </si>
  <si>
    <t>http://pbs.twimg.com/profile_images/1300427272588005377/204mlNYz_normal.jpg</t>
  </si>
  <si>
    <t>http://twitter.com/HSillitto/statuses/1521012631460589568</t>
  </si>
  <si>
    <t>1521012628465848330</t>
  </si>
  <si>
    <t>TrowsdaleGary</t>
  </si>
  <si>
    <t>Then they declared “War on woke” which in their warped world of greedy insecurity meant “War on decency”. Anyone calling out injustice was fair game to target. Woke became the enemy to replace the EU once they’d stolen power and wanted retain it at all cost!! #StayWoke #Brexit https://t.co/3yChKYrYP4</t>
  </si>
  <si>
    <t>Mon May 02 06:24:04 +0000 2022</t>
  </si>
  <si>
    <t>27851796</t>
  </si>
  <si>
    <t>1521012622518374402</t>
  </si>
  <si>
    <t>http://pbs.twimg.com/profile_images/1508400544246906882/rZnvkUzU_normal.jpg</t>
  </si>
  <si>
    <t>http://twitter.com/TrowsdaleGary/statuses/1521012628465848330</t>
  </si>
  <si>
    <t>{"hashtags":[{"text":"StayWoke","indices":[260,269]},{"text":"Brexit","indices":[270,277]}],"symbols":[],"user_mentions":[],"urls":[],"media":[{"id":1521012624967848000,"id_str":"1521012624967847941","indices":[278,301],"media_url":"http://pbs.twimg.com/media/FRu47HoX0AUS-cD.jpg","media_url_https":"https://pbs.twimg.com/media/FRu47HoX0AUS-cD.jpg","url":"https://t.co/3yChKYrYP4","display_url":"pic.twitter.com/3yChKYrYP4","expanded_url":"https://twitter.com/TrowsdaleGary/status/1521012628465848330/photo/1","type":"photo","sizes":{"thumb":{"w":150,"h":150,"resize":"crop"},"medium":{"w":615,"h":590,"resize":"fit"},"small":{"w":615,"h":590,"resize":"fit"},"large":{"w":615,"h":590,"resize":"fit"}}}]}</t>
  </si>
  <si>
    <t>The people pulling the strings of vote leave did it purely out of greed, self interest and lust for power. It was more about tax avoidance for mega rich than anything else. They targeted people triggered by immigration and created an xenophobic narrative they related to #Brexit</t>
  </si>
  <si>
    <t>Mon May 02 06:24:02 +0000 2022</t>
  </si>
  <si>
    <t>1521008932805922818</t>
  </si>
  <si>
    <t>http://twitter.com/TrowsdaleGary/statuses/1521012622518374402</t>
  </si>
  <si>
    <t>{"hashtags":[{"text":"Brexit","indices":[271,278]}],"symbols":[],"user_mentions":[],"urls":[]}</t>
  </si>
  <si>
    <t>1521012608811339776</t>
  </si>
  <si>
    <t>MirandaPinch</t>
  </si>
  <si>
    <t>Mon May 02 06:23:59 +0000 2022</t>
  </si>
  <si>
    <t>92199095</t>
  </si>
  <si>
    <t>http://twitter.com/MirandaPinch/statuses/1521012608811339776</t>
  </si>
  <si>
    <t>1521012555279474688</t>
  </si>
  <si>
    <t>ElizabethBangs</t>
  </si>
  <si>
    <t>Mon May 02 06:23:46 +0000 2022</t>
  </si>
  <si>
    <t>184409207</t>
  </si>
  <si>
    <t>http://pbs.twimg.com/profile_images/748869522275307520/_5Ujhxgq_normal.jpg</t>
  </si>
  <si>
    <t>http://twitter.com/ElizabethBangs/statuses/1521012555279474688</t>
  </si>
  <si>
    <t>1521012555057139712</t>
  </si>
  <si>
    <t>___angelheart__</t>
  </si>
  <si>
    <t>1462329507642228738</t>
  </si>
  <si>
    <t>http://pbs.twimg.com/profile_images/1498239585989664769/w6UQZDfW_normal.jpg</t>
  </si>
  <si>
    <t>Surrey, UK, Europe, The World.</t>
  </si>
  <si>
    <t>http://twitter.com/___angelheart__/statuses/1521012555057139712</t>
  </si>
  <si>
    <t>1521012524983930885</t>
  </si>
  <si>
    <t>Mon May 02 06:23:39 +0000 2022</t>
  </si>
  <si>
    <t>http://twitter.com/MirandaPinch/statuses/1521012524983930885</t>
  </si>
  <si>
    <t>1521012497658040320</t>
  </si>
  <si>
    <t>Mon May 02 06:23:33 +0000 2022</t>
  </si>
  <si>
    <t>http://twitter.com/___angelheart__/statuses/1521012497658040320</t>
  </si>
  <si>
    <t>1521012476132921344</t>
  </si>
  <si>
    <t>pimp_creative</t>
  </si>
  <si>
    <t>Mon May 02 06:23:28 +0000 2022</t>
  </si>
  <si>
    <t>1227737777632088066</t>
  </si>
  <si>
    <t>http://pbs.twimg.com/profile_images/1289501836521742336/2nbBGnIy_normal.jpg</t>
  </si>
  <si>
    <t>http://twitter.com/pimp_creative/statuses/1521012476132921344</t>
  </si>
  <si>
    <t>1521012465781420032</t>
  </si>
  <si>
    <t>@DeborahMeaden @AngelaRayner Oh yeh I remember this fool, the #brexiteer being affected by his very own #brexit but just can’t bring himself to admit #BrexitIsntWorking 😂😂😂😂😂</t>
  </si>
  <si>
    <t>Mon May 02 06:23:25 +0000 2022</t>
  </si>
  <si>
    <t>368240745</t>
  </si>
  <si>
    <t>DeborahMeaden</t>
  </si>
  <si>
    <t>1520797180570787843</t>
  </si>
  <si>
    <t>http://twitter.com/damienburke1234/statuses/1521012465781420032</t>
  </si>
  <si>
    <t>{"hashtags":[{"text":"brexiteer","indices":[62,72]},{"text":"brexit","indices":[104,111]},{"text":"BrexitIsntWorking","indices":[150,168]}],"symbols":[],"user_mentions":[{"screen_name":"DeborahMeaden","name":"Deborah Meaden 🇺🇦","id":368240745,"id_str":"368240745","indices":[0,14]},{"screen_name":"AngelaRayner","name":"Angela Rayner 🌹","id":222748037,"id_str":"222748037","indices":[15,28]}],"urls":[]}</t>
  </si>
  <si>
    <t>1521012456323227648</t>
  </si>
  <si>
    <t>Mon May 02 06:23:23 +0000 2022</t>
  </si>
  <si>
    <t>http://twitter.com/___angelheart__/statuses/1521012456323227648</t>
  </si>
  <si>
    <t>1521012452078596096</t>
  </si>
  <si>
    <t>BrianGoredemaBr</t>
  </si>
  <si>
    <t>Mon May 02 06:23:22 +0000 2022</t>
  </si>
  <si>
    <t>1962995245</t>
  </si>
  <si>
    <t>http://pbs.twimg.com/profile_images/701432128303661057/UTXpEBCI_normal.jpg</t>
  </si>
  <si>
    <t>Kenilworth, England</t>
  </si>
  <si>
    <t>http://twitter.com/BrianGoredemaBr/statuses/1521012452078596096</t>
  </si>
  <si>
    <t>1521012434164670464</t>
  </si>
  <si>
    <t>noreent1234</t>
  </si>
  <si>
    <t>Mon May 02 06:23:18 +0000 2022</t>
  </si>
  <si>
    <t>583518194</t>
  </si>
  <si>
    <t>http://pbs.twimg.com/profile_images/1501324734998491139/c1Km7phT_normal.jpg</t>
  </si>
  <si>
    <t>http://twitter.com/noreent1234/statuses/1521012434164670464</t>
  </si>
  <si>
    <t>1521012396428611585</t>
  </si>
  <si>
    <t>beech78</t>
  </si>
  <si>
    <t>Mon May 02 06:23:09 +0000 2022</t>
  </si>
  <si>
    <t>28097613</t>
  </si>
  <si>
    <t>http://pbs.twimg.com/profile_images/613365791979925504/Fsn961iE_normal.jpg</t>
  </si>
  <si>
    <t>ÜT: 51.617947,0.320505</t>
  </si>
  <si>
    <t>http://twitter.com/beech78/statuses/1521012396428611585</t>
  </si>
  <si>
    <t>1521012371648614400</t>
  </si>
  <si>
    <t>Mon May 02 06:23:03 +0000 2022</t>
  </si>
  <si>
    <t>http://twitter.com/___angelheart__/statuses/1521012371648614400</t>
  </si>
  <si>
    <t>1521012306041352192</t>
  </si>
  <si>
    <t>ecklwald</t>
  </si>
  <si>
    <t>Mon May 02 06:22:47 +0000 2022</t>
  </si>
  <si>
    <t>1115731328786288640</t>
  </si>
  <si>
    <t>http://pbs.twimg.com/profile_images/1497879078585737218/JoPIgiqJ_normal.jpg</t>
  </si>
  <si>
    <t>http://twitter.com/ecklwald/statuses/1521012306041352192</t>
  </si>
  <si>
    <t>1521012208121044992</t>
  </si>
  <si>
    <t>annyarej</t>
  </si>
  <si>
    <t>Mon May 02 06:22:24 +0000 2022</t>
  </si>
  <si>
    <t>2317003029</t>
  </si>
  <si>
    <t>http://pbs.twimg.com/profile_images/430015464144900096/g02kN9Ox_normal.jpeg</t>
  </si>
  <si>
    <t>Lancs, UK</t>
  </si>
  <si>
    <t>http://twitter.com/annyarej/statuses/1521012208121044992</t>
  </si>
  <si>
    <t>1521012195936681984</t>
  </si>
  <si>
    <t>Frasier67Blank</t>
  </si>
  <si>
    <t>Mon May 02 06:22:21 +0000 2022</t>
  </si>
  <si>
    <t>1487559904529424388</t>
  </si>
  <si>
    <t>http://pbs.twimg.com/profile_images/1487560014126624774/CVTQ7xDj_normal.jpg</t>
  </si>
  <si>
    <t>http://twitter.com/Frasier67Blank/statuses/1521012195936681984</t>
  </si>
  <si>
    <t>1521012103989055488</t>
  </si>
  <si>
    <t>Mon May 02 06:21:59 +0000 2022</t>
  </si>
  <si>
    <t>http://twitter.com/annyarej/statuses/1521012103989055488</t>
  </si>
  <si>
    <t>1521012101958959105</t>
  </si>
  <si>
    <t>skamugasa</t>
  </si>
  <si>
    <t>Mon May 02 06:21:58 +0000 2022</t>
  </si>
  <si>
    <t>814303373109276673</t>
  </si>
  <si>
    <t>http://pbs.twimg.com/profile_images/1373084965810835457/xgQJ5dnr_normal.jpg</t>
  </si>
  <si>
    <t>http://twitter.com/skamugasa/statuses/1521012101958959105</t>
  </si>
  <si>
    <t>1521012098062557184</t>
  </si>
  <si>
    <t>Chairmanbenr</t>
  </si>
  <si>
    <t>Mon May 02 06:21:57 +0000 2022</t>
  </si>
  <si>
    <t>86273926</t>
  </si>
  <si>
    <t>http://pbs.twimg.com/profile_images/1145613639/abf6a88f-df56-4adc-9df0-3a712d845398_normal.png</t>
  </si>
  <si>
    <t>http://twitter.com/Chairmanbenr/statuses/1521012098062557184</t>
  </si>
  <si>
    <t>1521012068786266112</t>
  </si>
  <si>
    <t>Mon May 02 06:21:50 +0000 2022</t>
  </si>
  <si>
    <t>http://twitter.com/annyarej/statuses/1521012068786266112</t>
  </si>
  <si>
    <t>1521012058015285251</t>
  </si>
  <si>
    <t>PaulGir80767244</t>
  </si>
  <si>
    <t>Mon May 02 06:21:48 +0000 2022</t>
  </si>
  <si>
    <t>1109107422478680066</t>
  </si>
  <si>
    <t>http://pbs.twimg.com/profile_images/1340954609620283395/jMMs99Qi_normal.jpg</t>
  </si>
  <si>
    <t>http://twitter.com/PaulGir80767244/statuses/1521012058015285251</t>
  </si>
  <si>
    <t>1521012057281343488</t>
  </si>
  <si>
    <t>Happytoberight</t>
  </si>
  <si>
    <t>748177617036185600</t>
  </si>
  <si>
    <t>http://pbs.twimg.com/profile_images/1272537405644513280/v-jCB9iz_normal.jpg</t>
  </si>
  <si>
    <t>http://twitter.com/Happytoberight/statuses/1521012057281343488</t>
  </si>
  <si>
    <t>1521012049387692032</t>
  </si>
  <si>
    <t>BylineTimes</t>
  </si>
  <si>
    <t>Mon May 02 06:21:46 +0000 2022</t>
  </si>
  <si>
    <t>1035418272764715008</t>
  </si>
  <si>
    <t>http://pbs.twimg.com/profile_images/1173644302876102656/qKaKPCbc_normal.jpg</t>
  </si>
  <si>
    <t>http://twitter.com/BylineTimes/statuses/1521012049387692032</t>
  </si>
  <si>
    <t>1521012046149697536</t>
  </si>
  <si>
    <t>Mon May 02 06:21:45 +0000 2022</t>
  </si>
  <si>
    <t>http://twitter.com/ecklwald/statuses/1521012046149697536</t>
  </si>
  <si>
    <t>1521012032887308288</t>
  </si>
  <si>
    <t>@owen_whiteley @freddouglass765 @UKLabour @Keir_Starmer It's not about acquiescing to Johnson Eorl, it's that Starmer's convincing no one.His endorsement of BJ's appalling TCA &amp;amp; absurd decision to rule out the EU's preferred #Brexit (UK joining EEA Single Market)will cost him votes: Leavers don't believe him &amp;amp; Remainers feel betrayed.</t>
  </si>
  <si>
    <t>Mon May 02 06:21:42 +0000 2022</t>
  </si>
  <si>
    <t>1462385480100683777</t>
  </si>
  <si>
    <t>owen_whiteley</t>
  </si>
  <si>
    <t>1521008668489269249</t>
  </si>
  <si>
    <t>http://twitter.com/philiparrogers/statuses/1521012032887308288</t>
  </si>
  <si>
    <t>{"hashtags":[{"text":"Brexit","indices":[229,236]}],"symbols":[],"user_mentions":[{"screen_name":"owen_whiteley","name":"Eorl Owen the Woke, Earldorman of Wokeshire","id":1462385480100683800,"id_str":"1462385480100683777","indices":[0,14]},{"screen_name":"freddouglass765","name":"Fred Douglass","id":1065337422806949900,"id_str":"1065337422806949889","indices":[15,31]},{"screen_name":"UKLabour","name":"The Labour Party","id":14291684,"id_str":"14291684","indices":[32,41]},{"screen_name":"Keir_Starmer","name":"Keir Starmer","id":2425571623,"id_str":"2425571623","indices":[42,55]}],"urls":[]}</t>
  </si>
  <si>
    <t>1521011965606436865</t>
  </si>
  <si>
    <t>katecooper</t>
  </si>
  <si>
    <t>Mon May 02 06:21:26 +0000 2022</t>
  </si>
  <si>
    <t>22345804</t>
  </si>
  <si>
    <t>http://pbs.twimg.com/profile_images/864874528631115776/jQO_9Bzu_normal.jpg</t>
  </si>
  <si>
    <t>http://twitter.com/katecooper/statuses/1521011965606436865</t>
  </si>
  <si>
    <t>1521011952415383553</t>
  </si>
  <si>
    <t>Mon May 02 06:21:23 +0000 2022</t>
  </si>
  <si>
    <t>http://twitter.com/annyarej/statuses/1521011952415383553</t>
  </si>
  <si>
    <t>1521011756528721921</t>
  </si>
  <si>
    <t>ASaramelkonian</t>
  </si>
  <si>
    <t>Mon May 02 06:20:36 +0000 2022</t>
  </si>
  <si>
    <t>796332030917300225</t>
  </si>
  <si>
    <t>http://pbs.twimg.com/profile_images/1417728055892717569/CwUIcw-C_normal.jpg</t>
  </si>
  <si>
    <t>http://twitter.com/ASaramelkonian/statuses/1521011756528721921</t>
  </si>
  <si>
    <t>1521011747850760192</t>
  </si>
  <si>
    <t>Ann06957684</t>
  </si>
  <si>
    <t>Mon May 02 06:20:34 +0000 2022</t>
  </si>
  <si>
    <t>1167437935710560257</t>
  </si>
  <si>
    <t>http://pbs.twimg.com/profile_images/1490690115445870592/C33DufNm_normal.jpg</t>
  </si>
  <si>
    <t>http://twitter.com/Ann06957684/statuses/1521011747850760192</t>
  </si>
  <si>
    <t>1521011730889023489</t>
  </si>
  <si>
    <t>Mon May 02 06:20:30 +0000 2022</t>
  </si>
  <si>
    <t>http://twitter.com/davidmatterson/statuses/1521011730889023489</t>
  </si>
  <si>
    <t>1521011696986476544</t>
  </si>
  <si>
    <t>lesterbroom48</t>
  </si>
  <si>
    <t>Mon May 02 06:20:22 +0000 2022</t>
  </si>
  <si>
    <t>2466792789</t>
  </si>
  <si>
    <t>http://pbs.twimg.com/profile_images/1498897800142237701/QAHpdXNg_normal.jpg</t>
  </si>
  <si>
    <t>http://twitter.com/lesterbroom48/statuses/1521011696986476544</t>
  </si>
  <si>
    <t>1521011683120107520</t>
  </si>
  <si>
    <t>lis1bee</t>
  </si>
  <si>
    <t>Mon May 02 06:20:18 +0000 2022</t>
  </si>
  <si>
    <t>169072803</t>
  </si>
  <si>
    <t>http://pbs.twimg.com/profile_images/1478009565774061573/Vlh6_v3D_normal.jpg</t>
  </si>
  <si>
    <t>Somerset, England</t>
  </si>
  <si>
    <t>http://twitter.com/lis1bee/statuses/1521011683120107520</t>
  </si>
  <si>
    <t>1521011678401421315</t>
  </si>
  <si>
    <t>Mon May 02 06:20:17 +0000 2022</t>
  </si>
  <si>
    <t>http://twitter.com/lesterbroom48/statuses/1521011678401421315</t>
  </si>
  <si>
    <t>1521011662647697408</t>
  </si>
  <si>
    <t>Mon May 02 06:20:14 +0000 2022</t>
  </si>
  <si>
    <t>http://twitter.com/lesterbroom48/statuses/1521011662647697408</t>
  </si>
  <si>
    <t>1521011605634494464</t>
  </si>
  <si>
    <t>CllrjackieC</t>
  </si>
  <si>
    <t>This is a Tory/Brexit impact. Read the article, it is very damaging about the fall out from #Brexit and not a mention of the pandemic, just #BrexitIsntWorking for the UK.
Bank of England ‘duty bound’ to trigger recession to curb inflation https://t.co/py62OJYW7S</t>
  </si>
  <si>
    <t>Mon May 02 06:20:00 +0000 2022</t>
  </si>
  <si>
    <t>962628738713300993</t>
  </si>
  <si>
    <t>http://pbs.twimg.com/profile_images/1489003881002639367/CbJHsZBV_normal.jpg</t>
  </si>
  <si>
    <t>Llangattock Powys Wales</t>
  </si>
  <si>
    <t>http://twitter.com/CllrjackieC/statuses/1521011605634494464</t>
  </si>
  <si>
    <t>{"hashtags":[{"text":"Brexit","indices":[92,99]},{"text":"BrexitIsntWorking","indices":[140,158]}],"symbols":[],"user_mentions":[],"urls":[{"url":"https://t.co/py62OJYW7S","expanded_url":"https://www.theguardian.com/business/2022/may/01/bank-of-england-duty-bound-to-trigger-recession-to-curb-inflation?CMP=share_btn_tw","display_url":"theguardian.com/business/2022/…","indices":[240,263]}]}</t>
  </si>
  <si>
    <t>1521011580548304896</t>
  </si>
  <si>
    <t>Mon May 02 06:19:54 +0000 2022</t>
  </si>
  <si>
    <t>http://twitter.com/lesterbroom48/statuses/1521011580548304896</t>
  </si>
  <si>
    <t>1521011555437002753</t>
  </si>
  <si>
    <t>KowMark</t>
  </si>
  <si>
    <t>Mon May 02 06:19:48 +0000 2022</t>
  </si>
  <si>
    <t>455200625</t>
  </si>
  <si>
    <t>http://pbs.twimg.com/profile_images/1513089037711597570/ybRqJDJq_normal.jpg</t>
  </si>
  <si>
    <t>http://twitter.com/KowMark/statuses/1521011555437002753</t>
  </si>
  <si>
    <t>1521011550944993280</t>
  </si>
  <si>
    <t>andrisiggporson</t>
  </si>
  <si>
    <t>Mon May 02 06:19:47 +0000 2022</t>
  </si>
  <si>
    <t>1392228439</t>
  </si>
  <si>
    <t>http://pbs.twimg.com/profile_images/1499337040189665282/1PkoPNmN_normal.jpg</t>
  </si>
  <si>
    <t>http://twitter.com/andrisiggporson/statuses/1521011550944993280</t>
  </si>
  <si>
    <t>1521011535560298496</t>
  </si>
  <si>
    <t>Mon May 02 06:19:43 +0000 2022</t>
  </si>
  <si>
    <t>http://twitter.com/lesterbroom48/statuses/1521011535560298496</t>
  </si>
  <si>
    <t>1521011529734397952</t>
  </si>
  <si>
    <t>hullfair</t>
  </si>
  <si>
    <t>Mon May 02 06:19:42 +0000 2022</t>
  </si>
  <si>
    <t>126319621</t>
  </si>
  <si>
    <t>http://pbs.twimg.com/profile_images/1227565993813315585/e2R2IxjU_normal.jpg</t>
  </si>
  <si>
    <t>Kingston-upon-Hull</t>
  </si>
  <si>
    <t>http://twitter.com/hullfair/statuses/1521011529734397952</t>
  </si>
  <si>
    <t>1521011394862366721</t>
  </si>
  <si>
    <t>tober70986277</t>
  </si>
  <si>
    <t>#Brexit is “80% responsible” for the UK’s soaring inflation. https://t.co/Za1de1MTcK</t>
  </si>
  <si>
    <t>Mon May 02 06:19:10 +0000 2022</t>
  </si>
  <si>
    <t>1037917070489526273</t>
  </si>
  <si>
    <t>http://pbs.twimg.com/profile_images/1349052028467761154/7oPmEKrF_normal.jpg</t>
  </si>
  <si>
    <t xml:space="preserve">Planet Earth, MWay </t>
  </si>
  <si>
    <t>http://twitter.com/tober70986277/statuses/1521011394862366721</t>
  </si>
  <si>
    <t>{"hashtags":[{"text":"Brexit","indices":[0,7]}],"symbols":[],"user_mentions":[],"urls":[{"url":"https://t.co/Za1de1MTcK","expanded_url":"https://twitter.com/sunscotnational/status/1520673627443662849","display_url":"twitter.com/sunscotnationa…","indices":[61,84]}]}</t>
  </si>
  <si>
    <t>1521011353732923392</t>
  </si>
  <si>
    <t>MourinCelia</t>
  </si>
  <si>
    <t>Mon May 02 06:19:00 +0000 2022</t>
  </si>
  <si>
    <t>805399353582120960</t>
  </si>
  <si>
    <t>http://twitter.com/MourinCelia/statuses/1521011353732923392</t>
  </si>
  <si>
    <t>1521011319104675841</t>
  </si>
  <si>
    <t>TonySch71961942</t>
  </si>
  <si>
    <t>RT @TheresaMayOTR: #Brexit means white out</t>
  </si>
  <si>
    <t>Mon May 02 06:18:52 +0000 2022</t>
  </si>
  <si>
    <t>1151212372268396544</t>
  </si>
  <si>
    <t>http://pbs.twimg.com/profile_images/1514599227912904704/ME38zDtC_normal.jpg</t>
  </si>
  <si>
    <t xml:space="preserve">SE Asia, </t>
  </si>
  <si>
    <t>http://twitter.com/TonySch71961942/statuses/1521011319104675841</t>
  </si>
  <si>
    <t>{"hashtags":[{"text":"Brexit","indices":[19,26]}],"symbols":[],"user_mentions":[{"screen_name":"TheresaMayOTR","name":"Theresa May OTR","id":861918081957933000,"id_str":"861918081957933056","indices":[3,17]}],"urls":[]}</t>
  </si>
  <si>
    <t>1521011243993161728</t>
  </si>
  <si>
    <t>PalmaHelene</t>
  </si>
  <si>
    <t>La commission européenne signerait là la mort de l'UE. Si l'UE ne respecte pas les principes intangibles de liberté d'expression et de liberté de la presse, il faudra la quitter. Il y a 6 ans je pensais les Britanniques fous. Aujourd'hui je pense qu'ils ont eu raison. #Brexit https://t.co/9el8O3N6KH</t>
  </si>
  <si>
    <t>Mon May 02 06:18:34 +0000 2022</t>
  </si>
  <si>
    <t>1429820774681042945</t>
  </si>
  <si>
    <t>http://pbs.twimg.com/profile_images/1429821123139674115/J-Obx0By_normal.jpg</t>
  </si>
  <si>
    <t>http://twitter.com/PalmaHelene/statuses/1521011243993161728</t>
  </si>
  <si>
    <t>{"hashtags":[{"text":"Brexit","indices":[269,276]}],"symbols":[],"user_mentions":[],"urls":[{"url":"https://t.co/9el8O3N6KH","expanded_url":"https://twitter.com/AlienorAubigne/status/1520671810903322624","display_url":"twitter.com/AlienorAubigne…","indices":[277,300]}]}</t>
  </si>
  <si>
    <t>1521011228218474500</t>
  </si>
  <si>
    <t>OScaramucci</t>
  </si>
  <si>
    <t>Mon May 02 06:18:30 +0000 2022</t>
  </si>
  <si>
    <t>1273283270</t>
  </si>
  <si>
    <t>http://pbs.twimg.com/profile_images/378800000505572670/9e3e66ea9cef2018985cba66fd999154_normal.jpeg</t>
  </si>
  <si>
    <t>http://twitter.com/OScaramucci/statuses/1521011228218474500</t>
  </si>
  <si>
    <t>1521011226570104832</t>
  </si>
  <si>
    <t>johnrallan</t>
  </si>
  <si>
    <t>2362726963</t>
  </si>
  <si>
    <t>http://pbs.twimg.com/profile_images/1113454104439918593/IdcYnr8j_normal.png</t>
  </si>
  <si>
    <t>http://twitter.com/johnrallan/statuses/1521011226570104832</t>
  </si>
  <si>
    <t>1521011213911613441</t>
  </si>
  <si>
    <t>CharlotteWyman1</t>
  </si>
  <si>
    <t>Mon May 02 06:18:27 +0000 2022</t>
  </si>
  <si>
    <t>580002457</t>
  </si>
  <si>
    <t>http://pbs.twimg.com/profile_images/1481052023650934785/nzHkTIYM_normal.jpg</t>
  </si>
  <si>
    <t>http://twitter.com/CharlotteWyman1/statuses/1521011213911613441</t>
  </si>
  <si>
    <t>1521011204075962368</t>
  </si>
  <si>
    <t>MHartleyJones</t>
  </si>
  <si>
    <t>Mon May 02 06:18:24 +0000 2022</t>
  </si>
  <si>
    <t>228008865</t>
  </si>
  <si>
    <t>http://pbs.twimg.com/profile_images/1474290699529035780/zjou0DP7_normal.jpg</t>
  </si>
  <si>
    <t>http://twitter.com/MHartleyJones/statuses/1521011204075962368</t>
  </si>
  <si>
    <t>1521011189878337541</t>
  </si>
  <si>
    <t>pleadbeter</t>
  </si>
  <si>
    <t>Mon May 02 06:18:21 +0000 2022</t>
  </si>
  <si>
    <t>69246867</t>
  </si>
  <si>
    <t>http://pbs.twimg.com/profile_images/443260730/s0014crop_normal.jpg</t>
  </si>
  <si>
    <t>http://twitter.com/pleadbeter/statuses/1521011189878337541</t>
  </si>
  <si>
    <t>1521011173285584896</t>
  </si>
  <si>
    <t>Mon May 02 06:18:17 +0000 2022</t>
  </si>
  <si>
    <t>http://twitter.com/OScaramucci/statuses/1521011173285584896</t>
  </si>
  <si>
    <t>1521011153488465920</t>
  </si>
  <si>
    <t>gallop_gill</t>
  </si>
  <si>
    <t>Mon May 02 06:18:12 +0000 2022</t>
  </si>
  <si>
    <t>1178230015961554945</t>
  </si>
  <si>
    <t>http://pbs.twimg.com/profile_images/1505442598823108609/wd7ho0_4_normal.jpg</t>
  </si>
  <si>
    <t>http://twitter.com/gallop_gill/statuses/1521011153488465920</t>
  </si>
  <si>
    <t>1521011009338712064</t>
  </si>
  <si>
    <t>dazf777</t>
  </si>
  <si>
    <t>Mon May 02 06:17:38 +0000 2022</t>
  </si>
  <si>
    <t>879709526</t>
  </si>
  <si>
    <t>http://twitter.com/dazf777/statuses/1521011009338712064</t>
  </si>
  <si>
    <t>1521010995212214272</t>
  </si>
  <si>
    <t>bly_mon</t>
  </si>
  <si>
    <t>Mon May 02 06:17:34 +0000 2022</t>
  </si>
  <si>
    <t>1483433094900293636</t>
  </si>
  <si>
    <t>http://twitter.com/bly_mon/statuses/1521010995212214272</t>
  </si>
  <si>
    <t>1521010992083263489</t>
  </si>
  <si>
    <t>http://twitter.com/OScaramucci/statuses/1521010992083263489</t>
  </si>
  <si>
    <t>1521010891281641478</t>
  </si>
  <si>
    <t>carolgately</t>
  </si>
  <si>
    <t>Mon May 02 06:17:10 +0000 2022</t>
  </si>
  <si>
    <t>759959737</t>
  </si>
  <si>
    <t>http://pbs.twimg.com/profile_images/749473283259629568/I8dmH63W_normal.jpg</t>
  </si>
  <si>
    <t>http://twitter.com/carolgately/statuses/1521010891281641478</t>
  </si>
  <si>
    <t>1521010861292277761</t>
  </si>
  <si>
    <t>Picss3o</t>
  </si>
  <si>
    <t>Mon May 02 06:17:03 +0000 2022</t>
  </si>
  <si>
    <t>3308229562</t>
  </si>
  <si>
    <t>http://pbs.twimg.com/profile_images/1344603689252761601/RIHzYB1f_normal.jpg</t>
  </si>
  <si>
    <t>A small and backward island</t>
  </si>
  <si>
    <t>http://twitter.com/Picss3o/statuses/1521010861292277761</t>
  </si>
  <si>
    <t>1521010843042910210</t>
  </si>
  <si>
    <t>alexcburrows</t>
  </si>
  <si>
    <t>Mon May 02 06:16:58 +0000 2022</t>
  </si>
  <si>
    <t>112500296</t>
  </si>
  <si>
    <t>http://pbs.twimg.com/profile_images/2532412390/57e71461-dc08-4b73-ae9b-e11a2ff4b625_normal.png</t>
  </si>
  <si>
    <t>http://twitter.com/alexcburrows/statuses/1521010843042910210</t>
  </si>
  <si>
    <t>1521010819592507393</t>
  </si>
  <si>
    <t>Brown666W</t>
  </si>
  <si>
    <t>Mon May 02 06:16:53 +0000 2022</t>
  </si>
  <si>
    <t>2532528332</t>
  </si>
  <si>
    <t>http://pbs.twimg.com/profile_images/1034869894746124288/1Y35hkp0_normal.jpg</t>
  </si>
  <si>
    <t xml:space="preserve">🏴󠁧󠁢󠁳󠁣󠁴󠁿 </t>
  </si>
  <si>
    <t>http://twitter.com/Brown666W/statuses/1521010819592507393</t>
  </si>
  <si>
    <t>1521010799006953472</t>
  </si>
  <si>
    <t>Mon May 02 06:16:48 +0000 2022</t>
  </si>
  <si>
    <t>http://twitter.com/RichardCMB/statuses/1521010799006953472</t>
  </si>
  <si>
    <t>1521010792719699969</t>
  </si>
  <si>
    <t>Mon May 02 06:16:46 +0000 2022</t>
  </si>
  <si>
    <t>http://twitter.com/Picss3o/statuses/1521010792719699969</t>
  </si>
  <si>
    <t>1521010780635901952</t>
  </si>
  <si>
    <t>RichardWitts</t>
  </si>
  <si>
    <t>Mon May 02 06:16:43 +0000 2022</t>
  </si>
  <si>
    <t>1267503223193116672</t>
  </si>
  <si>
    <t>http://pbs.twimg.com/profile_images/1267504057402392578/PDykHJTM_normal.jpg</t>
  </si>
  <si>
    <t>http://twitter.com/RichardWitts/statuses/1521010780635901952</t>
  </si>
  <si>
    <t>1521010754299834368</t>
  </si>
  <si>
    <t>KT7015</t>
  </si>
  <si>
    <t>Mon May 02 06:16:37 +0000 2022</t>
  </si>
  <si>
    <t>1061673439214362627</t>
  </si>
  <si>
    <t>http://pbs.twimg.com/profile_images/1403584994338091008/_sRpnA1z_normal.jpg</t>
  </si>
  <si>
    <t>http://twitter.com/KT7015/statuses/1521010754299834368</t>
  </si>
  <si>
    <t>1521010733978472448</t>
  </si>
  <si>
    <t>Mon May 02 06:16:32 +0000 2022</t>
  </si>
  <si>
    <t>http://twitter.com/Picss3o/statuses/1521010733978472448</t>
  </si>
  <si>
    <t>1521010712952385536</t>
  </si>
  <si>
    <t>GigiPrim21</t>
  </si>
  <si>
    <t>Mon May 02 06:16:27 +0000 2022</t>
  </si>
  <si>
    <t>199024694</t>
  </si>
  <si>
    <t>http://pbs.twimg.com/profile_images/1380591168275296260/pXX8XFk2_normal.jpg</t>
  </si>
  <si>
    <t>http://twitter.com/GigiPrim21/statuses/1521010712952385536</t>
  </si>
  <si>
    <t>1521010705629073413</t>
  </si>
  <si>
    <t>botanic_my</t>
  </si>
  <si>
    <t>RT @58paulb: #RejoinEU #FBPE #Brexit https://t.co/Ey8hgYzfBX</t>
  </si>
  <si>
    <t>Mon May 02 06:16:25 +0000 2022</t>
  </si>
  <si>
    <t>1092800759517855745</t>
  </si>
  <si>
    <t>&lt;a href="https://wordpress.com/view/mybotanicgarden899231844.wordpress.com" rel="nofollow"&gt;MyBotanicGarden&lt;/a&gt;</t>
  </si>
  <si>
    <t>http://pbs.twimg.com/profile_images/1188048406561918981/MHEPajYL_normal.jpg</t>
  </si>
  <si>
    <t>http://twitter.com/botanic_my/statuses/1521010705629073413</t>
  </si>
  <si>
    <t>{"hashtags":[{"text":"RejoinEU","indices":[13,22]},{"text":"FBPE","indices":[23,28]},{"text":"Brexit","indices":[29,36]}],"symbols":[],"user_mentions":[{"screen_name":"58paulb","name":"Paul the Other One🏴󠁧󠁢󠁥󠁮󠁧󠁿🇬🇧🤘🍷🏉🐱","id":3360268751,"id_str":"3360268751","indices":[3,11]}],"urls":[{"url":"https://t.co/Ey8hgYzfBX","expanded_url":"https://twitter.com/Facts4euOrg/status/1521008121753346049","display_url":"twitter.com/Facts4euOrg/st…","indices":[37,60]}]}</t>
  </si>
  <si>
    <t>1521010694631608324</t>
  </si>
  <si>
    <t>alba6363</t>
  </si>
  <si>
    <t>Mon May 02 06:16:23 +0000 2022</t>
  </si>
  <si>
    <t>1678699488</t>
  </si>
  <si>
    <t>http://pbs.twimg.com/profile_images/1268268959968702472/qM1fvngK_normal.jpg</t>
  </si>
  <si>
    <t>http://twitter.com/alba6363/statuses/1521010694631608324</t>
  </si>
  <si>
    <t>1521010665187651584</t>
  </si>
  <si>
    <t>Mon May 02 06:16:16 +0000 2022</t>
  </si>
  <si>
    <t>http://twitter.com/GigiPrim21/statuses/1521010665187651584</t>
  </si>
  <si>
    <t>1521010659474948098</t>
  </si>
  <si>
    <t>RAMJAC3</t>
  </si>
  <si>
    <t>Mon May 02 06:16:14 +0000 2022</t>
  </si>
  <si>
    <t>1155341045921660928</t>
  </si>
  <si>
    <t>http://pbs.twimg.com/profile_images/1497495015299420163/aPo4nM0R_normal.jpg</t>
  </si>
  <si>
    <t>http://twitter.com/RAMJAC3/statuses/1521010659474948098</t>
  </si>
  <si>
    <t>1521010546530734081</t>
  </si>
  <si>
    <t>#RejoinEU #FBPE #Brexit https://t.co/Ey8hgYzfBX</t>
  </si>
  <si>
    <t>Mon May 02 06:15:47 +0000 2022</t>
  </si>
  <si>
    <t>http://twitter.com/58paulb/statuses/1521010546530734081</t>
  </si>
  <si>
    <t>{"hashtags":[{"text":"RejoinEU","indices":[0,9]},{"text":"FBPE","indices":[10,15]},{"text":"Brexit","indices":[16,23]}],"symbols":[],"user_mentions":[],"urls":[{"url":"https://t.co/Ey8hgYzfBX","expanded_url":"https://twitter.com/Facts4euOrg/status/1521008121753346049","display_url":"twitter.com/Facts4euOrg/st…","indices":[24,47]}]}</t>
  </si>
  <si>
    <t>1521010403018514432</t>
  </si>
  <si>
    <t>ChrisHam0912</t>
  </si>
  <si>
    <t>Mon May 02 06:15:13 +0000 2022</t>
  </si>
  <si>
    <t>1203863494258548737</t>
  </si>
  <si>
    <t>http://pbs.twimg.com/profile_images/1211968168115212288/Lb1cMhwy_normal.jpg</t>
  </si>
  <si>
    <t>Canterbury; Würzburg,N.Bavaria</t>
  </si>
  <si>
    <t>http://twitter.com/ChrisHam0912/statuses/1521010403018514432</t>
  </si>
  <si>
    <t>1521010364300906498</t>
  </si>
  <si>
    <t>lalaloopsie74</t>
  </si>
  <si>
    <t>Mon May 02 06:15:04 +0000 2022</t>
  </si>
  <si>
    <t>1096507153416892416</t>
  </si>
  <si>
    <t>http://pbs.twimg.com/profile_images/1264603653064798209/ct4GdW8V_normal.jpg</t>
  </si>
  <si>
    <t>http://twitter.com/lalaloopsie74/statuses/1521010364300906498</t>
  </si>
  <si>
    <t>1521010300027351042</t>
  </si>
  <si>
    <t>NeilJamesWeekes</t>
  </si>
  <si>
    <t>Mon May 02 06:14:49 +0000 2022</t>
  </si>
  <si>
    <t>4456802175</t>
  </si>
  <si>
    <t>http://pbs.twimg.com/profile_images/1512182188602712068/Uw_lh_0x_normal.jpg</t>
  </si>
  <si>
    <t>Wessex, England, Great Britain</t>
  </si>
  <si>
    <t>http://twitter.com/NeilJamesWeekes/statuses/1521010300027351042</t>
  </si>
  <si>
    <t>1521010286114844674</t>
  </si>
  <si>
    <t>martin97903661</t>
  </si>
  <si>
    <t>Mon May 02 06:14:45 +0000 2022</t>
  </si>
  <si>
    <t>2866284167</t>
  </si>
  <si>
    <t>http://pbs.twimg.com/profile_images/1498231052321660929/-C_DeN8k_normal.jpg</t>
  </si>
  <si>
    <t>UK unfortunately</t>
  </si>
  <si>
    <t>http://twitter.com/martin97903661/statuses/1521010286114844674</t>
  </si>
  <si>
    <t>1521010279366148096</t>
  </si>
  <si>
    <t>janetm50723412</t>
  </si>
  <si>
    <t>Mon May 02 06:14:44 +0000 2022</t>
  </si>
  <si>
    <t>1120079106027216896</t>
  </si>
  <si>
    <t>http://pbs.twimg.com/profile_images/1120081238058991616/HwLDju0F_normal.jpg</t>
  </si>
  <si>
    <t>West Suffolk</t>
  </si>
  <si>
    <t>http://twitter.com/janetm50723412/statuses/1521010279366148096</t>
  </si>
  <si>
    <t>1521010227965014016</t>
  </si>
  <si>
    <t>GM_RayKeene</t>
  </si>
  <si>
    <t>Mon May 02 06:14:32 +0000 2022</t>
  </si>
  <si>
    <t>220017202</t>
  </si>
  <si>
    <t>http://pbs.twimg.com/profile_images/1198981412877193217/K29PeUph_normal.jpg</t>
  </si>
  <si>
    <t>http://twitter.com/GM_RayKeene/statuses/1521010227965014016</t>
  </si>
  <si>
    <t>1521010215176577024</t>
  </si>
  <si>
    <t>Mon May 02 06:14:28 +0000 2022</t>
  </si>
  <si>
    <t>http://twitter.com/martin97903661/statuses/1521010215176577024</t>
  </si>
  <si>
    <t>1521010178031767552</t>
  </si>
  <si>
    <t>newmeadowsgap</t>
  </si>
  <si>
    <t>Mon May 02 06:14:20 +0000 2022</t>
  </si>
  <si>
    <t>408786745</t>
  </si>
  <si>
    <t>http://pbs.twimg.com/profile_images/2889686410/224599243618deaa05f2f999a1b7821e_normal.jpeg</t>
  </si>
  <si>
    <t>http://twitter.com/newmeadowsgap/statuses/1521010178031767552</t>
  </si>
  <si>
    <t>1521010162043138049</t>
  </si>
  <si>
    <t>healthyopinion</t>
  </si>
  <si>
    <t>@chrisgreybrexit In 2016, many commentators had a view on the damaging impact of #brexit on #dentistry affecting workforce through to materials and education
@NHSEngland’s chief dental officer said that a Brexit will not get in the way of NHS dentistry going forward
https://t.co/18mi0a9BrC</t>
  </si>
  <si>
    <t>Mon May 02 06:14:16 +0000 2022</t>
  </si>
  <si>
    <t>830808076756328448</t>
  </si>
  <si>
    <t>chrisgreybrexit</t>
  </si>
  <si>
    <t>362852730</t>
  </si>
  <si>
    <t>1520843183432818688</t>
  </si>
  <si>
    <t>http://pbs.twimg.com/profile_images/1517880738011664384/h82xkx0N_normal.jpg</t>
  </si>
  <si>
    <t>http://twitter.com/healthyopinion/statuses/1521010162043138049</t>
  </si>
  <si>
    <t>{"hashtags":[{"text":"brexit","indices":[81,88]},{"text":"dentistry","indices":[92,102]}],"symbols":[],"user_mentions":[{"screen_name":"chrisgreybrexit","name":"Chris Grey 🇺🇦","id":830808076756328400,"id_str":"830808076756328448","indices":[0,16]},{"screen_name":"NHSEngland","name":"NHS England and NHS Improvement","id":551426814,"id_str":"551426814","indices":[159,170]}],"urls":[{"url":"https://t.co/18mi0a9BrC","expanded_url":"https://dentistry.co.uk/2016/07/06/brexit-will-not-get-in-the-way-of-nhs-dentistry/","display_url":"dentistry.co.uk/2016/07/06/bre…","indices":[269,292]}]}</t>
  </si>
  <si>
    <t>1521010132204806144</t>
  </si>
  <si>
    <t>abi1005</t>
  </si>
  <si>
    <t>RT @NotaTory67: @LanceForman You have the brass neck to complain about price rises caused in no small part by the #Brexit you supported and enabled. Do you think we don’t see you, Forman? https://t.co/HGVtiawOce</t>
  </si>
  <si>
    <t>Mon May 02 06:14:09 +0000 2022</t>
  </si>
  <si>
    <t>303129661</t>
  </si>
  <si>
    <t>http://pbs.twimg.com/profile_images/1520297848998449152/-g8rCBRp_normal.jpg</t>
  </si>
  <si>
    <t>http://twitter.com/abi1005/statuses/1521010132204806144</t>
  </si>
  <si>
    <t>{"hashtags":[{"text":"Brexit","indices":[114,121]}],"symbols":[],"user_mentions":[{"screen_name":"NotaTory67","name":"Lord DomB of Vladivostok #FBPE","id":1289061062,"id_str":"1289061062","indices":[3,14]},{"screen_name":"LanceForman","name":"Lance Forman","id":757537572,"id_str":"757537572","indices":[16,28]}],"urls":[]}</t>
  </si>
  <si>
    <t>1521010126869700608</t>
  </si>
  <si>
    <t>Mon May 02 06:14:07 +0000 2022</t>
  </si>
  <si>
    <t>http://twitter.com/martin97903661/statuses/1521010126869700608</t>
  </si>
  <si>
    <t>1521010004840570882</t>
  </si>
  <si>
    <t>fatchaz61</t>
  </si>
  <si>
    <t>Mon May 02 06:13:38 +0000 2022</t>
  </si>
  <si>
    <t>1247254371290812417</t>
  </si>
  <si>
    <t>http://pbs.twimg.com/profile_images/1507286962469847065/G4GeQiAJ_normal.jpg</t>
  </si>
  <si>
    <t>http://twitter.com/fatchaz61/statuses/1521010004840570882</t>
  </si>
  <si>
    <t>1521009994300334080</t>
  </si>
  <si>
    <t>BelgiumDip</t>
  </si>
  <si>
    <t>Mon May 02 06:13:36 +0000 2022</t>
  </si>
  <si>
    <t>631016178</t>
  </si>
  <si>
    <t>http://pbs.twimg.com/profile_images/1371816650815778817/X15yDSEK_normal.jpg</t>
  </si>
  <si>
    <t>http://twitter.com/BelgiumDip/statuses/1521009994300334080</t>
  </si>
  <si>
    <t>1521009952260775938</t>
  </si>
  <si>
    <t>neighbour_kx</t>
  </si>
  <si>
    <t>Mon May 02 06:13:26 +0000 2022</t>
  </si>
  <si>
    <t>563924333</t>
  </si>
  <si>
    <t>http://pbs.twimg.com/profile_images/596769950620057603/7BEP0t8e_normal.jpg</t>
  </si>
  <si>
    <t xml:space="preserve">London, England UK </t>
  </si>
  <si>
    <t>http://twitter.com/neighbour_kx/statuses/1521009952260775938</t>
  </si>
  <si>
    <t>1521009898145865733</t>
  </si>
  <si>
    <t>L_Western</t>
  </si>
  <si>
    <t>Mon May 02 06:13:13 +0000 2022</t>
  </si>
  <si>
    <t>1553925764</t>
  </si>
  <si>
    <t>http://pbs.twimg.com/profile_images/1352715926534291457/s9mXLmNB_normal.jpg</t>
  </si>
  <si>
    <t>http://twitter.com/L_Western/statuses/1521009898145865733</t>
  </si>
  <si>
    <t>1521009886015938560</t>
  </si>
  <si>
    <t>Mon May 02 06:13:10 +0000 2022</t>
  </si>
  <si>
    <t>http://twitter.com/GM_RayKeene/statuses/1521009886015938560</t>
  </si>
  <si>
    <t>1521009880030662656</t>
  </si>
  <si>
    <t>WizBish</t>
  </si>
  <si>
    <t>Yay! Farmers are voting with their feet. Liberal Democrats are the one party brave enough to address the damage #Brexit has inflicted and to plan for closer EU relations. https://t.co/33YDMVWI2q</t>
  </si>
  <si>
    <t>Mon May 02 06:13:09 +0000 2022</t>
  </si>
  <si>
    <t>2402093269</t>
  </si>
  <si>
    <t>http://pbs.twimg.com/profile_images/980937061086781441/isfep4Fs_normal.jpg</t>
  </si>
  <si>
    <t>http://twitter.com/WizBish/statuses/1521009880030662656</t>
  </si>
  <si>
    <t>{"hashtags":[{"text":"Brexit","indices":[112,119]}],"symbols":[],"user_mentions":[],"urls":[{"url":"https://t.co/33YDMVWI2q","expanded_url":"https://twitter.com/edwardjdavey/status/1519274431717257216","display_url":"twitter.com/edwardjdavey/s…","indices":[171,194]}]}</t>
  </si>
  <si>
    <t>1521009861416431617</t>
  </si>
  <si>
    <t>Mon May 02 06:13:04 +0000 2022</t>
  </si>
  <si>
    <t>http://twitter.com/L_Western/statuses/1521009861416431617</t>
  </si>
  <si>
    <t>1521009834912591875</t>
  </si>
  <si>
    <t>Mon May 02 06:12:58 +0000 2022</t>
  </si>
  <si>
    <t>http://twitter.com/L_Western/statuses/1521009834912591875</t>
  </si>
  <si>
    <t>1521009812925992960</t>
  </si>
  <si>
    <t>rolandbullivant</t>
  </si>
  <si>
    <t>Mon May 02 06:12:53 +0000 2022</t>
  </si>
  <si>
    <t>18380518</t>
  </si>
  <si>
    <t>http://pbs.twimg.com/profile_images/1420327902/RB05-170611_normal.jpg</t>
  </si>
  <si>
    <t>http://twitter.com/rolandbullivant/statuses/1521009812925992960</t>
  </si>
  <si>
    <t>1521009783494565889</t>
  </si>
  <si>
    <t>davidtphillips</t>
  </si>
  <si>
    <t>Mon May 02 06:12:46 +0000 2022</t>
  </si>
  <si>
    <t>19283913</t>
  </si>
  <si>
    <t>http://pbs.twimg.com/profile_images/2897808156/6863a68b50215479a62fc2c747295396_normal.jpeg</t>
  </si>
  <si>
    <t>http://twitter.com/davidtphillips/statuses/1521009783494565889</t>
  </si>
  <si>
    <t>1521009771490549761</t>
  </si>
  <si>
    <t>Biberbach</t>
  </si>
  <si>
    <t>Mon May 02 06:12:43 +0000 2022</t>
  </si>
  <si>
    <t>381471670</t>
  </si>
  <si>
    <t>http://pbs.twimg.com/profile_images/839845901820694532/7z3C_FDp_normal.jpg</t>
  </si>
  <si>
    <t>http://twitter.com/Biberbach/statuses/1521009771490549761</t>
  </si>
  <si>
    <t>1521009744248545281</t>
  </si>
  <si>
    <t>Bazbike</t>
  </si>
  <si>
    <t>Mon May 02 06:12:36 +0000 2022</t>
  </si>
  <si>
    <t>290039056</t>
  </si>
  <si>
    <t>http://pbs.twimg.com/profile_images/1420004169491091483/ZUiS4Dxc_normal.jpg</t>
  </si>
  <si>
    <t>Cumbria</t>
  </si>
  <si>
    <t>http://twitter.com/Bazbike/statuses/1521009744248545281</t>
  </si>
  <si>
    <t>1521009742931533825</t>
  </si>
  <si>
    <t>http://twitter.com/L_Western/statuses/1521009742931533825</t>
  </si>
  <si>
    <t>1521009719980273666</t>
  </si>
  <si>
    <t>Mon May 02 06:12:30 +0000 2022</t>
  </si>
  <si>
    <t>http://twitter.com/SallyAnneWalker/statuses/1521009719980273666</t>
  </si>
  <si>
    <t>1521009704947879936</t>
  </si>
  <si>
    <t>Szipi27</t>
  </si>
  <si>
    <t>Mon May 02 06:12:27 +0000 2022</t>
  </si>
  <si>
    <t>262086755</t>
  </si>
  <si>
    <t>http://pbs.twimg.com/profile_images/1513276166068740105/WWeHKiGQ_normal.jpg</t>
  </si>
  <si>
    <t>http://twitter.com/Szipi27/statuses/1521009704947879936</t>
  </si>
  <si>
    <t>1521009673763184642</t>
  </si>
  <si>
    <t>Annettewhatmou1</t>
  </si>
  <si>
    <t>Mon May 02 06:12:19 +0000 2022</t>
  </si>
  <si>
    <t>1151396792480817152</t>
  </si>
  <si>
    <t>http://twitter.com/Annettewhatmou1/statuses/1521009673763184642</t>
  </si>
  <si>
    <t>1521009668516155392</t>
  </si>
  <si>
    <t>BobHopcraft</t>
  </si>
  <si>
    <t>RT @RichardHewison: @BobHS @CHarri87 Well - we do have the sharpest of the #Brexit voting minds in govt at least
…just one of the reasons it was always doomed to fail</t>
  </si>
  <si>
    <t>Mon May 02 06:12:18 +0000 2022</t>
  </si>
  <si>
    <t>258873883</t>
  </si>
  <si>
    <t>http://pbs.twimg.com/profile_images/1298056201/image_normal.jpg</t>
  </si>
  <si>
    <t>Hertfordshire, England</t>
  </si>
  <si>
    <t>http://twitter.com/BobHopcraft/statuses/1521009668516155392</t>
  </si>
  <si>
    <t>{"hashtags":[{"text":"Brexit","indices":[75,82]}],"symbols":[],"user_mentions":[{"screen_name":"RichardHewison","name":"Richard Hewison","id":1381836553467613200,"id_str":"1381836553467613186","indices":[3,18]},{"screen_name":"BobHS","name":"Bob the Elder 💚💙","id":40204560,"id_str":"40204560","indices":[20,26]},{"screen_name":"CHarri87","name":"Chris Harrison","id":875431880677634000,"id_str":"875431880677634048","indices":[27,36]}],"urls":[]}</t>
  </si>
  <si>
    <t>1521009657946546182</t>
  </si>
  <si>
    <t>Evilgenius222</t>
  </si>
  <si>
    <t>Mon May 02 06:12:16 +0000 2022</t>
  </si>
  <si>
    <t>706465516131655680</t>
  </si>
  <si>
    <t>http://pbs.twimg.com/profile_images/1230451694149857280/nsbyRXTD_normal.jpg</t>
  </si>
  <si>
    <t>http://twitter.com/Evilgenius222/statuses/1521009657946546182</t>
  </si>
  <si>
    <t>1521009643904028673</t>
  </si>
  <si>
    <t>Mon May 02 06:12:12 +0000 2022</t>
  </si>
  <si>
    <t>http://twitter.com/Bryan_K1/statuses/1521009643904028673</t>
  </si>
  <si>
    <t>1521009640456310785</t>
  </si>
  <si>
    <t>cbjhunter</t>
  </si>
  <si>
    <t>Mon May 02 06:12:11 +0000 2022</t>
  </si>
  <si>
    <t>247809713</t>
  </si>
  <si>
    <t>http://pbs.twimg.com/profile_images/2597096317/image_normal.jpg</t>
  </si>
  <si>
    <t>cornwall</t>
  </si>
  <si>
    <t>http://twitter.com/cbjhunter/statuses/1521009640456310785</t>
  </si>
  <si>
    <t>1521009535560949763</t>
  </si>
  <si>
    <t>Mon May 02 06:11:46 +0000 2022</t>
  </si>
  <si>
    <t>http://twitter.com/martin97903661/statuses/1521009535560949763</t>
  </si>
  <si>
    <t>1521009503872892928</t>
  </si>
  <si>
    <t>RosMcM</t>
  </si>
  <si>
    <t>Mon May 02 06:11:39 +0000 2022</t>
  </si>
  <si>
    <t>238515963</t>
  </si>
  <si>
    <t>http://pbs.twimg.com/profile_images/1405038837915660290/m64SQr-O_normal.jpg</t>
  </si>
  <si>
    <t xml:space="preserve">York </t>
  </si>
  <si>
    <t>http://twitter.com/RosMcM/statuses/1521009503872892928</t>
  </si>
  <si>
    <t>1521009477964738560</t>
  </si>
  <si>
    <t>Mon May 02 06:11:33 +0000 2022</t>
  </si>
  <si>
    <t>http://twitter.com/martin97903661/statuses/1521009477964738560</t>
  </si>
  <si>
    <t>1521009456452153344</t>
  </si>
  <si>
    <t>Deasbad</t>
  </si>
  <si>
    <t>Mon May 02 06:11:28 +0000 2022</t>
  </si>
  <si>
    <t>2768195631</t>
  </si>
  <si>
    <t>http://pbs.twimg.com/profile_images/537609030513201152/Wt95SZ5N_normal.jpeg</t>
  </si>
  <si>
    <t>http://twitter.com/Deasbad/statuses/1521009456452153344</t>
  </si>
  <si>
    <t>1521009356291993600</t>
  </si>
  <si>
    <t>PaulHawes</t>
  </si>
  <si>
    <t>Mon May 02 06:11:04 +0000 2022</t>
  </si>
  <si>
    <t>123306019</t>
  </si>
  <si>
    <t>http://pbs.twimg.com/profile_images/1083827008151408641/EGKB9WkS_normal.png</t>
  </si>
  <si>
    <t>Great Malvern, England</t>
  </si>
  <si>
    <t>http://twitter.com/PaulHawes/statuses/1521009356291993600</t>
  </si>
  <si>
    <t>1521009289678229506</t>
  </si>
  <si>
    <t>ASlightReturn1</t>
  </si>
  <si>
    <t>Mon May 02 06:10:48 +0000 2022</t>
  </si>
  <si>
    <t>1217376274013937665</t>
  </si>
  <si>
    <t>http://pbs.twimg.com/profile_images/1217377616316989441/bG55aBJ4_normal.jpg</t>
  </si>
  <si>
    <t>http://twitter.com/ASlightReturn1/statuses/1521009289678229506</t>
  </si>
  <si>
    <t>1521009251329753088</t>
  </si>
  <si>
    <t>Revolution354</t>
  </si>
  <si>
    <t>RT @dave161256: @Anna_Soubry #Brexit changed the Conservative party into the far-right English National party.</t>
  </si>
  <si>
    <t>Mon May 02 06:10:39 +0000 2022</t>
  </si>
  <si>
    <t>345462945</t>
  </si>
  <si>
    <t>http://twitter.com/Revolution354/statuses/1521009251329753088</t>
  </si>
  <si>
    <t>{"hashtags":[{"text":"Brexit","indices":[29,36]}],"symbols":[],"user_mentions":[{"screen_name":"dave161256","name":"David Evans","id":3773942013,"id_str":"3773942013","indices":[3,14]},{"screen_name":"Anna_Soubry","name":"Anna Soubry","id":326184301,"id_str":"326184301","indices":[16,28]}],"urls":[]}</t>
  </si>
  <si>
    <t>1521009249031278595</t>
  </si>
  <si>
    <t>BrassGun2</t>
  </si>
  <si>
    <t>Mon May 02 06:10:38 +0000 2022</t>
  </si>
  <si>
    <t>732093071568056320</t>
  </si>
  <si>
    <t>http://twitter.com/BrassGun2/statuses/1521009249031278595</t>
  </si>
  <si>
    <t>1521009158769844225</t>
  </si>
  <si>
    <t>Mon May 02 06:10:17 +0000 2022</t>
  </si>
  <si>
    <t>http://twitter.com/DespiteBrexbot/statuses/1521009158769844225</t>
  </si>
  <si>
    <t>1521009103245611008</t>
  </si>
  <si>
    <t>TBHonestlizz</t>
  </si>
  <si>
    <t>Mon May 02 06:10:03 +0000 2022</t>
  </si>
  <si>
    <t>716009929</t>
  </si>
  <si>
    <t>http://pbs.twimg.com/profile_images/1497120570512662534/tYFGnxWU_normal.jpg</t>
  </si>
  <si>
    <t xml:space="preserve">A country thats lost its way </t>
  </si>
  <si>
    <t>http://twitter.com/TBHonestlizz/statuses/1521009103245611008</t>
  </si>
  <si>
    <t>1521009084992045056</t>
  </si>
  <si>
    <t>Northum65478582</t>
  </si>
  <si>
    <t>Mon May 02 06:09:59 +0000 2022</t>
  </si>
  <si>
    <t>1091753366303227905</t>
  </si>
  <si>
    <t>http://pbs.twimg.com/profile_images/1497510073379262465/wnfUDU7e_normal.jpg</t>
  </si>
  <si>
    <t>http://twitter.com/Northum65478582/statuses/1521009084992045056</t>
  </si>
  <si>
    <t>1521008987264753665</t>
  </si>
  <si>
    <t>spencerh06</t>
  </si>
  <si>
    <t>Mon May 02 06:09:36 +0000 2022</t>
  </si>
  <si>
    <t>719130922646433792</t>
  </si>
  <si>
    <t>http://pbs.twimg.com/profile_images/719139941574385665/o0Az2s6I_normal.jpg</t>
  </si>
  <si>
    <t>http://twitter.com/spencerh06/statuses/1521008987264753665</t>
  </si>
  <si>
    <t>1521008930519982080</t>
  </si>
  <si>
    <t>Leaving the EU was a monumental mistake. The entire campaign was a disaster with both sides demonstrating the worse of our democracy. It became all about populism and self promoting personal agendas. So how do we move on from the archaic state we now find ourselves in? #Brexit https://t.co/pFa2Mpg87u</t>
  </si>
  <si>
    <t>Mon May 02 06:09:22 +0000 2022</t>
  </si>
  <si>
    <t>http://twitter.com/TrowsdaleGary/statuses/1521008930519982080</t>
  </si>
  <si>
    <t>{"hashtags":[{"text":"Brexit","indices":[270,277]}],"symbols":[],"user_mentions":[],"urls":[],"media":[{"id":1521008926472523800,"id_str":"1521008926472523776","indices":[278,301],"media_url":"http://pbs.twimg.com/media/FRu1j1qX0AAm6Oi.jpg","media_url_https":"https://pbs.twimg.com/media/FRu1j1qX0AAm6Oi.jpg","url":"https://t.co/pFa2Mpg87u","display_url":"pic.twitter.com/pFa2Mpg87u","expanded_url":"https://twitter.com/TrowsdaleGary/status/1521008930519982080/photo/1","type":"photo","sizes":{"thumb":{"w":150,"h":150,"resize":"crop"},"large":{"w":1300,"h":731,"resize":"fit"},"medium":{"w":1200,"h":675,"resize":"fit"},"small":{"w":680,"h":382,"resize":"fit"}}}]}</t>
  </si>
  <si>
    <t>1521008902904725504</t>
  </si>
  <si>
    <t>BovineWisdom</t>
  </si>
  <si>
    <t>@cjsnowdon #Brexit is a fools paradise. Your kids and their kids and their kids are now excluded from freely accessing the labour market of one of the largest economic blocs on the planet.....very sad.....it will be undone</t>
  </si>
  <si>
    <t>Mon May 02 06:09:16 +0000 2022</t>
  </si>
  <si>
    <t>144658847</t>
  </si>
  <si>
    <t>cjsnowdon</t>
  </si>
  <si>
    <t>238559537</t>
  </si>
  <si>
    <t>1520708220527988736</t>
  </si>
  <si>
    <t>http://pbs.twimg.com/profile_images/1515220540235079685/snrxLtR1_normal.jpg</t>
  </si>
  <si>
    <t>http://twitter.com/BovineWisdom/statuses/1521008902904725504</t>
  </si>
  <si>
    <t>{"hashtags":[{"text":"Brexit","indices":[11,18]}],"symbols":[],"user_mentions":[{"screen_name":"cjsnowdon","name":"Christopher Snowdon 🇺🇦","id":144658847,"id_str":"144658847","indices":[0,10]}],"urls":[]}</t>
  </si>
  <si>
    <t>1521008879152283648</t>
  </si>
  <si>
    <t>itchingseason</t>
  </si>
  <si>
    <t>Mon May 02 06:09:10 +0000 2022</t>
  </si>
  <si>
    <t>979732400098947072</t>
  </si>
  <si>
    <t>http://pbs.twimg.com/profile_images/1448888414753939469/E_BGW7CA_normal.jpg</t>
  </si>
  <si>
    <t xml:space="preserve">A Humdrum Town </t>
  </si>
  <si>
    <t>http://twitter.com/itchingseason/statuses/1521008879152283648</t>
  </si>
  <si>
    <t>1521008867517292544</t>
  </si>
  <si>
    <t>davidjmyershot2</t>
  </si>
  <si>
    <t>Mon May 02 06:09:07 +0000 2022</t>
  </si>
  <si>
    <t>1171352144223625216</t>
  </si>
  <si>
    <t>http://pbs.twimg.com/profile_images/1520442184369065984/K5TfX9Hl_normal.jpg</t>
  </si>
  <si>
    <t>http://twitter.com/davidjmyershot2/statuses/1521008867517292544</t>
  </si>
  <si>
    <t>1521008866133221376</t>
  </si>
  <si>
    <t>Architarist</t>
  </si>
  <si>
    <t>284927152</t>
  </si>
  <si>
    <t>http://pbs.twimg.com/profile_images/1355085958320893953/i6xIYUI-_normal.jpg</t>
  </si>
  <si>
    <t>http://twitter.com/Architarist/statuses/1521008866133221376</t>
  </si>
  <si>
    <t>1521008791373942785</t>
  </si>
  <si>
    <t>tomski_hiscox</t>
  </si>
  <si>
    <t>Mon May 02 06:08:49 +0000 2022</t>
  </si>
  <si>
    <t>302220737</t>
  </si>
  <si>
    <t>http://pbs.twimg.com/profile_images/713588049700106240/qH6ds_W__normal.jpg</t>
  </si>
  <si>
    <t>http://twitter.com/tomski_hiscox/statuses/1521008791373942785</t>
  </si>
  <si>
    <t>1521008782117150722</t>
  </si>
  <si>
    <t>RoadRun18571613</t>
  </si>
  <si>
    <t>Mon May 02 06:08:47 +0000 2022</t>
  </si>
  <si>
    <t>1398300719590121481</t>
  </si>
  <si>
    <t>http://pbs.twimg.com/profile_images/1518563400334417920/h6ZzBJsC_normal.jpg</t>
  </si>
  <si>
    <t>http://twitter.com/RoadRun18571613/statuses/1521008782117150722</t>
  </si>
  <si>
    <t>1521008762387111936</t>
  </si>
  <si>
    <t>JulieCuninghame</t>
  </si>
  <si>
    <t>Mon May 02 06:08:42 +0000 2022</t>
  </si>
  <si>
    <t>25113881</t>
  </si>
  <si>
    <t>http://pbs.twimg.com/profile_images/227938108/jules_normal.bmp</t>
  </si>
  <si>
    <t xml:space="preserve">Middleton on sea </t>
  </si>
  <si>
    <t>http://twitter.com/JulieCuninghame/statuses/1521008762387111936</t>
  </si>
  <si>
    <t>1521008747157536768</t>
  </si>
  <si>
    <t>davidnoland71</t>
  </si>
  <si>
    <t>Mon May 02 06:08:38 +0000 2022</t>
  </si>
  <si>
    <t>2905396475</t>
  </si>
  <si>
    <t>http://pbs.twimg.com/profile_images/1118992813121781760/c7_mdY22_normal.jpg</t>
  </si>
  <si>
    <t>Skipton and the Dales</t>
  </si>
  <si>
    <t>http://twitter.com/davidnoland71/statuses/1521008747157536768</t>
  </si>
  <si>
    <t>1521008675166556161</t>
  </si>
  <si>
    <t>Mon May 02 06:08:21 +0000 2022</t>
  </si>
  <si>
    <t>http://twitter.com/JulieCuninghame/statuses/1521008675166556161</t>
  </si>
  <si>
    <t>1521008603196542977</t>
  </si>
  <si>
    <t>jimmyvilla1961</t>
  </si>
  <si>
    <t>Mon May 02 06:08:04 +0000 2022</t>
  </si>
  <si>
    <t>4151434108</t>
  </si>
  <si>
    <t>http://pbs.twimg.com/profile_images/663854890247147520/YB6SlDMQ_normal.jpg</t>
  </si>
  <si>
    <t>Shrewsbury, England</t>
  </si>
  <si>
    <t>http://twitter.com/jimmyvilla1961/statuses/1521008603196542977</t>
  </si>
  <si>
    <t>1521008574482329600</t>
  </si>
  <si>
    <t>diplomacyxx</t>
  </si>
  <si>
    <t>This is British exceptionalism. There are 3 categories for populations in #EU:
• National citizens
• EU/EEA citizens
• All others
#Brexit moved #UK from category 2 to 3. 
Reasonable accommodations = We’re superior to all others. Give us a special 4th category!
No, we won’t. https://t.co/YSFHSjtQHZ</t>
  </si>
  <si>
    <t>Mon May 02 06:07:57 +0000 2022</t>
  </si>
  <si>
    <t>4405366461</t>
  </si>
  <si>
    <t>http://pbs.twimg.com/profile_images/1519317195163058176/mrwfoS7v_normal.jpg</t>
  </si>
  <si>
    <t>http://twitter.com/diplomacyxx/statuses/1521008574482329600</t>
  </si>
  <si>
    <t>{"hashtags":[{"text":"EU","indices":[74,77]},{"text":"Brexit","indices":[131,138]},{"text":"UK","indices":[145,148]}],"symbols":[],"user_mentions":[],"urls":[{"url":"https://t.co/YSFHSjtQHZ","expanded_url":"https://twitter.com/juliahb1/status/1520862255730114561","display_url":"twitter.com/juliahb1/statu…","indices":[277,300]}]}</t>
  </si>
  <si>
    <t>1521008551329677313</t>
  </si>
  <si>
    <t>isolawilde306</t>
  </si>
  <si>
    <t>Mon May 02 06:07:52 +0000 2022</t>
  </si>
  <si>
    <t>1499688826662535170</t>
  </si>
  <si>
    <t>http://pbs.twimg.com/profile_images/1499688987618906113/KFUm7TDC_normal.png</t>
  </si>
  <si>
    <t>http://twitter.com/isolawilde306/statuses/1521008551329677313</t>
  </si>
  <si>
    <t>1521008507834839041</t>
  </si>
  <si>
    <t>ArtsCombined</t>
  </si>
  <si>
    <t>Mon May 02 06:07:41 +0000 2022</t>
  </si>
  <si>
    <t>1107257485713395718</t>
  </si>
  <si>
    <t>http://pbs.twimg.com/profile_images/1268276415604162562/eQBAjcr1_normal.png</t>
  </si>
  <si>
    <t>http://twitter.com/ArtsCombined/statuses/1521008507834839041</t>
  </si>
  <si>
    <t>1521008500402491393</t>
  </si>
  <si>
    <t>verruckte_welt_</t>
  </si>
  <si>
    <t>@InnaMiller13 Meines Erachtens bemüht sich jeder die DEU als erster aus der Landkarte verschwinden zu lassen !
#Polen #Litaun #Ukraine #Brexit
Artikel vom 07.07.2016 &amp;gt;&amp;gt;
Litauen fordert militärische Führungsrolle Deutschlands (via @AZ_Augsburg) https://t.co/4m3HyMubwP</t>
  </si>
  <si>
    <t>Mon May 02 06:07:40 +0000 2022</t>
  </si>
  <si>
    <t>1512866566098100226</t>
  </si>
  <si>
    <t>InnaMiller13</t>
  </si>
  <si>
    <t>1203693067523493888</t>
  </si>
  <si>
    <t>1520765697080635393</t>
  </si>
  <si>
    <t>http://pbs.twimg.com/profile_images/1513876437752852483/g3ChhmHE_normal.jpg</t>
  </si>
  <si>
    <t>Germany NRW</t>
  </si>
  <si>
    <t>http://twitter.com/verruckte_welt_/statuses/1521008500402491393</t>
  </si>
  <si>
    <t>{"hashtags":[{"text":"Polen","indices":[111,117]},{"text":"Litaun","indices":[118,125]},{"text":"Ukraine","indices":[126,134]},{"text":"Brexit","indices":[135,142]}],"symbols":[],"user_mentions":[{"screen_name":"InnaMiller13","name":"Inna Miller","id":1512866566098100200,"id_str":"1512866566098100226","indices":[0,13]},{"screen_name":"AZ_Augsburg","name":"AugsburgerAllgemeine","id":24150568,"id_str":"24150568","indices":[236,248]}],"urls":[{"url":"https://t.co/4m3HyMubwP","expanded_url":"https://azol.de/38377832","display_url":"azol.de/38377832","indices":[250,273]}]}</t>
  </si>
  <si>
    <t>1521008384740409344</t>
  </si>
  <si>
    <t>apcousins</t>
  </si>
  <si>
    <t>Mon May 02 06:07:12 +0000 2022</t>
  </si>
  <si>
    <t>2406114273</t>
  </si>
  <si>
    <t>http://pbs.twimg.com/profile_images/1346950330085502980/CNzSJX0L_normal.jpg</t>
  </si>
  <si>
    <t>http://twitter.com/apcousins/statuses/1521008384740409344</t>
  </si>
  <si>
    <t>1521008235645489153</t>
  </si>
  <si>
    <t>ATVG2k20</t>
  </si>
  <si>
    <t>Mon May 02 06:06:37 +0000 2022</t>
  </si>
  <si>
    <t>67358198</t>
  </si>
  <si>
    <t>http://pbs.twimg.com/profile_images/1484311758604947457/zRzi3fJs_normal.jpg</t>
  </si>
  <si>
    <t>http://twitter.com/ATVG2k20/statuses/1521008235645489153</t>
  </si>
  <si>
    <t>1521008187150938112</t>
  </si>
  <si>
    <t>IndyGraceland</t>
  </si>
  <si>
    <t>Mon May 02 06:06:25 +0000 2022</t>
  </si>
  <si>
    <t>1300877491</t>
  </si>
  <si>
    <t>http://pbs.twimg.com/profile_images/1107346340290445312/VqPFo3YF_normal.png</t>
  </si>
  <si>
    <t>Closer than you think</t>
  </si>
  <si>
    <t>http://twitter.com/IndyGraceland/statuses/1521008187150938112</t>
  </si>
  <si>
    <t>1521008121753346049</t>
  </si>
  <si>
    <t>Facts4euOrg</t>
  </si>
  <si>
    <t>Now confirmed – the UK dodged a bullet by leaving the EU.
EU Conference sets a clear path towards a 'United States of Europe'. For your #Brexit summary click here: https://t.co/KQO2CqAXxr https://t.co/0MJwliIskh</t>
  </si>
  <si>
    <t>Mon May 02 06:06:09 +0000 2022</t>
  </si>
  <si>
    <t>846269051630424064</t>
  </si>
  <si>
    <t>http://pbs.twimg.com/profile_images/1325387338596438016/7FXdC8DZ_normal.jpg</t>
  </si>
  <si>
    <t>http://twitter.com/Facts4euOrg/statuses/1521008121753346049</t>
  </si>
  <si>
    <t>{"hashtags":[{"text":"Brexit","indices":[137,144]}],"symbols":[],"user_mentions":[],"urls":[{"url":"https://t.co/KQO2CqAXxr","expanded_url":"https://facts4eu.org/news/2022_may_eu_federal_statism","display_url":"facts4eu.org/news/2022_may_…","indices":[165,188]}],"media":[{"id":1521008061112012800,"id_str":"1521008061112012801","indices":[189,212],"media_url":"http://pbs.twimg.com/media/FRu0xd8WUAEvzmm.jpg","media_url_https":"https://pbs.twimg.com/media/FRu0xd8WUAEvzmm.jpg","url":"https://t.co/0MJwliIskh","display_url":"pic.twitter.com/0MJwliIskh","expanded_url":"https://twitter.com/Facts4euOrg/status/1521008121753346049/photo/1","type":"photo","sizes":{"thumb":{"w":150,"h":150,"resize":"crop"},"large":{"w":600,"h":320,"resize":"fit"},"small":{"w":600,"h":320,"resize":"fit"},"medium":{"w":600,"h":320,"resize":"fit"}}}]}</t>
  </si>
  <si>
    <t>1521008023757537281</t>
  </si>
  <si>
    <t>JoRichardsKent</t>
  </si>
  <si>
    <t>@ArtBear1000 @NileGardiner Yikes! 😳
#Brexit</t>
  </si>
  <si>
    <t>Mon May 02 06:05:46 +0000 2022</t>
  </si>
  <si>
    <t>419927046</t>
  </si>
  <si>
    <t>1520893344444039170</t>
  </si>
  <si>
    <t>http://pbs.twimg.com/profile_images/1517406754472140800/dFwR9rB5_normal.jpg</t>
  </si>
  <si>
    <t>http://twitter.com/JoRichardsKent/statuses/1521008023757537281</t>
  </si>
  <si>
    <t>{"hashtags":[{"text":"Brexit","indices":[37,44]}],"symbols":[],"user_mentions":[{"screen_name":"ArtBear1000","name":"Duke Art of Barnard Castle💙#StandWithUkraine #NHS","id":1466732494036816000,"id_str":"1466732494036815874","indices":[0,12]},{"screen_name":"NileGardiner","name":"Nile Gardiner","id":849880970,"id_str":"849880970","indices":[13,26]}],"urls":[]}</t>
  </si>
  <si>
    <t>1521007827074101248</t>
  </si>
  <si>
    <t>Mon May 02 06:04:59 +0000 2022</t>
  </si>
  <si>
    <t>http://twitter.com/gallop_gill/statuses/1521007827074101248</t>
  </si>
  <si>
    <t>1521007743884267520</t>
  </si>
  <si>
    <t>JuneMcg05903673</t>
  </si>
  <si>
    <t>Mon May 02 06:04:39 +0000 2022</t>
  </si>
  <si>
    <t>1297885605096042496</t>
  </si>
  <si>
    <t>http://pbs.twimg.com/profile_images/1510634767900979202/p02jakWi_normal.jpg</t>
  </si>
  <si>
    <t>http://twitter.com/JuneMcg05903673/statuses/1521007743884267520</t>
  </si>
  <si>
    <t>1521007678239260672</t>
  </si>
  <si>
    <t>jplunky</t>
  </si>
  <si>
    <t>Mon May 02 06:04:24 +0000 2022</t>
  </si>
  <si>
    <t>48423168</t>
  </si>
  <si>
    <t>http://pbs.twimg.com/profile_images/2589194046/qi2zc63qjsx2ka4d4wgd_normal.jpeg</t>
  </si>
  <si>
    <t>http://twitter.com/jplunky/statuses/1521007678239260672</t>
  </si>
  <si>
    <t>1521007674431000576</t>
  </si>
  <si>
    <t>SiouxsieShoo</t>
  </si>
  <si>
    <t>@AngelaCahill17 @MiniBees @GyllKing I think the least attractive side of #Brexit Twitter is the “imaginary enemy” side of it.</t>
  </si>
  <si>
    <t>Mon May 02 06:04:23 +0000 2022</t>
  </si>
  <si>
    <t>1301786561521086464</t>
  </si>
  <si>
    <t>AngelaCahill17</t>
  </si>
  <si>
    <t>3590998752</t>
  </si>
  <si>
    <t>1520760929117523968</t>
  </si>
  <si>
    <t>http://pbs.twimg.com/profile_images/1278368670851325953/rbuDrrC8_normal.jpg</t>
  </si>
  <si>
    <t>Night City</t>
  </si>
  <si>
    <t>http://twitter.com/SiouxsieShoo/statuses/1521007674431000576</t>
  </si>
  <si>
    <t>{"hashtags":[{"text":"Brexit","indices":[73,80]}],"symbols":[],"user_mentions":[{"screen_name":"AngelaCahill17","name":"Ángela Tenerife ProEU💙🇪🇺🇪🇸🇺🇦🙏🐶","id":1301786561521086500,"id_str":"1301786561521086464","indices":[0,15]},{"screen_name":"MiniBees","name":"Charlotte Forde","id":1855555868,"id_str":"1855555868","indices":[16,25]},{"screen_name":"GyllKing","name":"Lady Sir Gyll King","id":1292863282165026800,"id_str":"1292863282165026817","indices":[26,35]}],"urls":[]}</t>
  </si>
  <si>
    <t>1521007595531735040</t>
  </si>
  <si>
    <t>ah_issa</t>
  </si>
  <si>
    <t>Mon May 02 06:04:04 +0000 2022</t>
  </si>
  <si>
    <t>52098514</t>
  </si>
  <si>
    <t>http://pbs.twimg.com/profile_images/671664881066598400/LvphYpYs_normal.jpg</t>
  </si>
  <si>
    <t>http://twitter.com/ah_issa/statuses/1521007595531735040</t>
  </si>
  <si>
    <t>1521007589915561991</t>
  </si>
  <si>
    <t>CornishSkipper</t>
  </si>
  <si>
    <t>Mon May 02 06:04:03 +0000 2022</t>
  </si>
  <si>
    <t>228686553</t>
  </si>
  <si>
    <t>http://pbs.twimg.com/profile_images/1135273605732999169/oRdA_MRr_normal.jpg</t>
  </si>
  <si>
    <t>http://twitter.com/CornishSkipper/statuses/1521007589915561991</t>
  </si>
  <si>
    <t>1521007544084353024</t>
  </si>
  <si>
    <t>JaneLockwood18</t>
  </si>
  <si>
    <t>Mon May 02 06:03:52 +0000 2022</t>
  </si>
  <si>
    <t>897425133136224256</t>
  </si>
  <si>
    <t>http://pbs.twimg.com/profile_images/1261193950842499073/QlcfazSp_normal.jpg</t>
  </si>
  <si>
    <t>http://twitter.com/JaneLockwood18/statuses/1521007544084353024</t>
  </si>
  <si>
    <t>1521007414027370497</t>
  </si>
  <si>
    <t>LakeHonor</t>
  </si>
  <si>
    <t>Mon May 02 06:03:21 +0000 2022</t>
  </si>
  <si>
    <t>3362838341</t>
  </si>
  <si>
    <t>http://twitter.com/LakeHonor/statuses/1521007414027370497</t>
  </si>
  <si>
    <t>1521007263296761856</t>
  </si>
  <si>
    <t>Scout342</t>
  </si>
  <si>
    <t>Mon May 02 06:02:45 +0000 2022</t>
  </si>
  <si>
    <t>23761307</t>
  </si>
  <si>
    <t>http://pbs.twimg.com/profile_images/1504826660717215758/0bCh4IxE_normal.jpg</t>
  </si>
  <si>
    <t>Proud European</t>
  </si>
  <si>
    <t>http://twitter.com/Scout342/statuses/1521007263296761856</t>
  </si>
  <si>
    <t>1521007120673607680</t>
  </si>
  <si>
    <t>vhaeraun456</t>
  </si>
  <si>
    <t>Mon May 02 06:02:11 +0000 2022</t>
  </si>
  <si>
    <t>712252495</t>
  </si>
  <si>
    <t>http://twitter.com/vhaeraun456/statuses/1521007120673607680</t>
  </si>
  <si>
    <t>1521007107037835264</t>
  </si>
  <si>
    <t>M_Tibbles</t>
  </si>
  <si>
    <t>Mon May 02 06:02:07 +0000 2022</t>
  </si>
  <si>
    <t>236715836</t>
  </si>
  <si>
    <t>http://pbs.twimg.com/profile_images/1509366645298368519/8lZnJnNC_normal.jpg</t>
  </si>
  <si>
    <t>Cornwall or Vancouver BC</t>
  </si>
  <si>
    <t>http://twitter.com/M_Tibbles/statuses/1521007107037835264</t>
  </si>
  <si>
    <t>1521007096354988034</t>
  </si>
  <si>
    <t>@markjenkinsonmp #Brexit is going anyway. It's only a matter of time: https://t.co/DAYld0mUOI</t>
  </si>
  <si>
    <t>Mon May 02 06:02:05 +0000 2022</t>
  </si>
  <si>
    <t>http://twitter.com/PaulWhelan745/statuses/1521007096354988034</t>
  </si>
  <si>
    <t>{"hashtags":[{"text":"Brexit","indices":[17,24]}],"symbols":[],"user_mentions":[{"screen_name":"markjenkinsonmp","name":"Mark Jenkinson MP","id":116228328,"id_str":"116228328","indices":[0,16]}],"urls":[{"url":"https://t.co/DAYld0mUOI","expanded_url":"https://paulwhelanwriting.blogspot.com/2020/12/the-unsettled-settlement-uk-eu-trade.html","display_url":"paulwhelanwriting.blogspot.com/2020/12/the-un…","indices":[70,93]}]}</t>
  </si>
  <si>
    <t>1521007063224172545</t>
  </si>
  <si>
    <t>Mon May 02 06:01:57 +0000 2022</t>
  </si>
  <si>
    <t>http://twitter.com/themarkloan/statuses/1521007063224172545</t>
  </si>
  <si>
    <t>1521007058115604483</t>
  </si>
  <si>
    <t>FrankSt34499711</t>
  </si>
  <si>
    <t>Mon May 02 06:01:56 +0000 2022</t>
  </si>
  <si>
    <t>1257759899121049605</t>
  </si>
  <si>
    <t>http://pbs.twimg.com/profile_images/1383421373029093380/HCuxFV5h_normal.jpg</t>
  </si>
  <si>
    <t>http://twitter.com/FrankSt34499711/statuses/1521007058115604483</t>
  </si>
  <si>
    <t>1521007026410823681</t>
  </si>
  <si>
    <t>WilliamMcGowa15</t>
  </si>
  <si>
    <t>Mon May 02 06:01:48 +0000 2022</t>
  </si>
  <si>
    <t>2536670344</t>
  </si>
  <si>
    <t>http://pbs.twimg.com/profile_images/892441715872866304/2JM6P2F__normal.jpg</t>
  </si>
  <si>
    <t>http://twitter.com/WilliamMcGowa15/statuses/1521007026410823681</t>
  </si>
  <si>
    <t>1521006987655499779</t>
  </si>
  <si>
    <t>B123Bradley</t>
  </si>
  <si>
    <t>Mon May 02 06:01:39 +0000 2022</t>
  </si>
  <si>
    <t>3234034758</t>
  </si>
  <si>
    <t>http://pbs.twimg.com/profile_images/1393169761622765569/IVWhY7YE_normal.jpg</t>
  </si>
  <si>
    <t>http://twitter.com/B123Bradley/statuses/1521006987655499779</t>
  </si>
  <si>
    <t>1521006961977868288</t>
  </si>
  <si>
    <t>RayStallwood</t>
  </si>
  <si>
    <t>Mon May 02 06:01:33 +0000 2022</t>
  </si>
  <si>
    <t>4148650815</t>
  </si>
  <si>
    <t>http://pbs.twimg.com/profile_images/1464315441736818694/KarJiYqg_normal.jpg</t>
  </si>
  <si>
    <t xml:space="preserve">Morecambe </t>
  </si>
  <si>
    <t>http://twitter.com/RayStallwood/statuses/1521006961977868288</t>
  </si>
  <si>
    <t>1521006954260443137</t>
  </si>
  <si>
    <t>proknifesharpe</t>
  </si>
  <si>
    <t>Mon May 02 06:01:31 +0000 2022</t>
  </si>
  <si>
    <t>2771344117</t>
  </si>
  <si>
    <t>http://pbs.twimg.com/profile_images/947145058096173057/gLefixwO_normal.jpg</t>
  </si>
  <si>
    <t xml:space="preserve"> UK</t>
  </si>
  <si>
    <t>http://twitter.com/proknifesharpe/statuses/1521006954260443137</t>
  </si>
  <si>
    <t>1521006931518935040</t>
  </si>
  <si>
    <t>Renaultgek</t>
  </si>
  <si>
    <t>@guyverhofstadt You are a terrible democrat ! ( Same as many in the #EU )
Such importand matters , which affect people's live so much ( in a worse way ) , should people vote for themselves !
#NEXIT #BREXIT #EU #Leave</t>
  </si>
  <si>
    <t>Mon May 02 06:01:26 +0000 2022</t>
  </si>
  <si>
    <t>856010760</t>
  </si>
  <si>
    <t>guyverhofstadt</t>
  </si>
  <si>
    <t>24502059</t>
  </si>
  <si>
    <t>1520336571945426945</t>
  </si>
  <si>
    <t>http://pbs.twimg.com/profile_images/1456902106691026947/lS4kGa4O_normal.jpg</t>
  </si>
  <si>
    <t xml:space="preserve">Twente en omstreken </t>
  </si>
  <si>
    <t>http://twitter.com/Renaultgek/statuses/1521006931518935040</t>
  </si>
  <si>
    <t>{"hashtags":[{"text":"EU","indices":[68,71]},{"text":"NEXIT","indices":[191,197]},{"text":"BREXIT","indices":[198,205]},{"text":"EU","indices":[206,209]},{"text":"Leave","indices":[210,216]}],"symbols":[],"user_mentions":[{"screen_name":"guyverhofstadt","name":"Guy Verhofstadt","id":856010760,"id_str":"856010760","indices":[0,15]}],"urls":[]}</t>
  </si>
  <si>
    <t>1521006867748724736</t>
  </si>
  <si>
    <t>BrightonBoothy</t>
  </si>
  <si>
    <t>The catastrophic act of national self-harm that was #Brexit continues to hurt the ordinary people of Britain who believed the LIES told to them by the duplicitous charlatans who won’t be remotely affected by these higher prices. https://t.co/pMJ5PU1tOJ</t>
  </si>
  <si>
    <t>Mon May 02 06:01:10 +0000 2022</t>
  </si>
  <si>
    <t>399952131</t>
  </si>
  <si>
    <t>http://pbs.twimg.com/profile_images/1385100489298165760/EqIvb9g__normal.jpg</t>
  </si>
  <si>
    <t>http://twitter.com/BrightonBoothy/statuses/1521006867748724736</t>
  </si>
  <si>
    <t>{"hashtags":[{"text":"Brexit","indices":[52,59]}],"symbols":[],"user_mentions":[],"urls":[{"url":"https://t.co/pMJ5PU1tOJ","expanded_url":"https://twitter.com/henrymance/status/1520743390639529984","display_url":"twitter.com/henrymance/sta…","indices":[229,252]}]}</t>
  </si>
  <si>
    <t>1521006812195180544</t>
  </si>
  <si>
    <t>Mon May 02 06:00:57 +0000 2022</t>
  </si>
  <si>
    <t>http://twitter.com/WilliamMcGowa15/statuses/1521006812195180544</t>
  </si>
  <si>
    <t>1521006805861687296</t>
  </si>
  <si>
    <t>abbyaug</t>
  </si>
  <si>
    <t>Mon May 02 06:00:56 +0000 2022</t>
  </si>
  <si>
    <t>99167707</t>
  </si>
  <si>
    <t>http://pbs.twimg.com/profile_images/1519725820482396163/KV_ARzlq_normal.jpg</t>
  </si>
  <si>
    <t>Wiltshire - UK</t>
  </si>
  <si>
    <t>http://twitter.com/abbyaug/statuses/1521006805861687296</t>
  </si>
  <si>
    <t>1521006783321579520</t>
  </si>
  <si>
    <t>Mon May 02 06:00:50 +0000 2022</t>
  </si>
  <si>
    <t>http://twitter.com/abbyaug/statuses/1521006783321579520</t>
  </si>
  <si>
    <t>1521006775012626435</t>
  </si>
  <si>
    <t>stultarna</t>
  </si>
  <si>
    <t>Mon May 02 06:00:48 +0000 2022</t>
  </si>
  <si>
    <t>20837824</t>
  </si>
  <si>
    <t>http://pbs.twimg.com/profile_images/1010575830555258880/9WsYHLQX_normal.jpg</t>
  </si>
  <si>
    <t>Tamworth, England</t>
  </si>
  <si>
    <t>http://twitter.com/stultarna/statuses/1521006775012626435</t>
  </si>
  <si>
    <t>1521006769518043136</t>
  </si>
  <si>
    <t>Mon May 02 06:00:47 +0000 2022</t>
  </si>
  <si>
    <t>http://twitter.com/WilliamMcGowa15/statuses/1521006769518043136</t>
  </si>
  <si>
    <t>1521006743165313025</t>
  </si>
  <si>
    <t>freeWorld2</t>
  </si>
  <si>
    <t>Mon May 02 06:00:41 +0000 2022</t>
  </si>
  <si>
    <t>47435872</t>
  </si>
  <si>
    <t>http://pbs.twimg.com/profile_images/264443839/standfreewithIran_bigger_bigger_normal.jpg</t>
  </si>
  <si>
    <t>liberal. Animal politicum</t>
  </si>
  <si>
    <t>http://twitter.com/freeWorld2/statuses/1521006743165313025</t>
  </si>
  <si>
    <t>1521006649904926721</t>
  </si>
  <si>
    <t>Mon May 02 06:00:18 +0000 2022</t>
  </si>
  <si>
    <t>http://twitter.com/WilliamMcGowa15/statuses/1521006649904926721</t>
  </si>
  <si>
    <t>1521006593223102464</t>
  </si>
  <si>
    <t>Mon May 02 06:00:05 +0000 2022</t>
  </si>
  <si>
    <t>http://twitter.com/PaulGir80767244/statuses/1521006593223102464</t>
  </si>
  <si>
    <t>1521006588722663426</t>
  </si>
  <si>
    <t>Mon May 02 06:00:04 +0000 2022</t>
  </si>
  <si>
    <t>http://twitter.com/WilliamMcGowa15/statuses/1521006588722663426</t>
  </si>
  <si>
    <t>1521006500264792064</t>
  </si>
  <si>
    <t>Mon May 02 05:59:43 +0000 2022</t>
  </si>
  <si>
    <t>http://twitter.com/WilliamMcGowa15/statuses/1521006500264792064</t>
  </si>
  <si>
    <t>1521006488650665991</t>
  </si>
  <si>
    <t>Slimbarry2</t>
  </si>
  <si>
    <t>Mon May 02 05:59:40 +0000 2022</t>
  </si>
  <si>
    <t>1225414579976536064</t>
  </si>
  <si>
    <t>http://pbs.twimg.com/profile_images/1421092845029634053/MwAQw31Z_normal.jpg</t>
  </si>
  <si>
    <t>At my desk</t>
  </si>
  <si>
    <t>http://twitter.com/Slimbarry2/statuses/1521006488650665991</t>
  </si>
  <si>
    <t>1521006468098572288</t>
  </si>
  <si>
    <t>vickyjane261</t>
  </si>
  <si>
    <t>Mon May 02 05:59:35 +0000 2022</t>
  </si>
  <si>
    <t>1017371983460347905</t>
  </si>
  <si>
    <t>http://twitter.com/vickyjane261/statuses/1521006468098572288</t>
  </si>
  <si>
    <t>1521006440302981120</t>
  </si>
  <si>
    <t>Mon May 02 05:59:28 +0000 2022</t>
  </si>
  <si>
    <t>http://twitter.com/vickyjane261/statuses/1521006440302981120</t>
  </si>
  <si>
    <t>1521006419771895808</t>
  </si>
  <si>
    <t>Keiradior2M</t>
  </si>
  <si>
    <t>accused of interfering in the US presidential election in 2016 that saw Donald Trump win the presidency.
They are also suspected of assisting the #Brexit victory. https://t.co/kV5oqNIb7c</t>
  </si>
  <si>
    <t>Mon May 02 05:59:24 +0000 2022</t>
  </si>
  <si>
    <t>1501477814796791811</t>
  </si>
  <si>
    <t>1521006412956110848</t>
  </si>
  <si>
    <t>http://pbs.twimg.com/profile_images/1511723129290297353/5TcTP15q_normal.jpg</t>
  </si>
  <si>
    <t>Herne Bay, England</t>
  </si>
  <si>
    <t>http://twitter.com/Keiradior2M/statuses/1521006419771895808</t>
  </si>
  <si>
    <t>{"hashtags":[{"text":"Brexit","indices":[146,153]}],"symbols":[],"user_mentions":[],"urls":[],"media":[{"id":1521006418169680000,"id_str":"1521006418169679872","indices":[163,186],"media_url":"http://pbs.twimg.com/media/FRuzR1gX0AAUsw2.jpg","media_url_https":"https://pbs.twimg.com/media/FRuzR1gX0AAUsw2.jpg","url":"https://t.co/kV5oqNIb7c","display_url":"pic.twitter.com/kV5oqNIb7c","expanded_url":"https://twitter.com/Keiradior2M/status/1521006419771895808/photo/1","type":"photo","sizes":{"thumb":{"w":150,"h":150,"resize":"crop"},"small":{"w":680,"h":503,"resize":"fit"},"medium":{"w":828,"h":612,"resize":"fit"},"large":{"w":828,"h":612,"resize":"fit"}}}]}</t>
  </si>
  <si>
    <t>1521006418358415360</t>
  </si>
  <si>
    <t>Dorothy97638586</t>
  </si>
  <si>
    <t>Mon May 02 05:59:23 +0000 2022</t>
  </si>
  <si>
    <t>1259410263587147776</t>
  </si>
  <si>
    <t>http://pbs.twimg.com/profile_images/1432280732647440385/IVyi8O5S_normal.jpg</t>
  </si>
  <si>
    <t>🇬🇧 - 🇺🇲</t>
  </si>
  <si>
    <t>http://twitter.com/Dorothy97638586/statuses/1521006418358415360</t>
  </si>
  <si>
    <t>1521006391439335425</t>
  </si>
  <si>
    <t>Mon May 02 05:59:17 +0000 2022</t>
  </si>
  <si>
    <t>http://twitter.com/vickyjane261/statuses/1521006391439335425</t>
  </si>
  <si>
    <t>1521006264440000514</t>
  </si>
  <si>
    <t>BrainColne</t>
  </si>
  <si>
    <t>Mon May 02 05:58:47 +0000 2022</t>
  </si>
  <si>
    <t>1199263202963537920</t>
  </si>
  <si>
    <t>http://pbs.twimg.com/profile_images/1199267692265562114/1YiskGIi_normal.jpg</t>
  </si>
  <si>
    <t>near river Colne</t>
  </si>
  <si>
    <t>http://twitter.com/BrainColne/statuses/1521006264440000514</t>
  </si>
  <si>
    <t>1521006219082801153</t>
  </si>
  <si>
    <t>Mon May 02 05:58:36 +0000 2022</t>
  </si>
  <si>
    <t>http://twitter.com/BrainColne/statuses/1521006219082801153</t>
  </si>
  <si>
    <t>1521006094189043712</t>
  </si>
  <si>
    <t>PeteBeech1</t>
  </si>
  <si>
    <t>Mon May 02 05:58:06 +0000 2022</t>
  </si>
  <si>
    <t>352433965</t>
  </si>
  <si>
    <t>http://twitter.com/PeteBeech1/statuses/1521006094189043712</t>
  </si>
  <si>
    <t>1521006092066635777</t>
  </si>
  <si>
    <t>Mon May 02 05:58:05 +0000 2022</t>
  </si>
  <si>
    <t>http://twitter.com/BrainColne/statuses/1521006092066635777</t>
  </si>
  <si>
    <t>1521006041609220096</t>
  </si>
  <si>
    <t>JL_998</t>
  </si>
  <si>
    <t>Mon May 02 05:57:53 +0000 2022</t>
  </si>
  <si>
    <t>1071633122</t>
  </si>
  <si>
    <t>http://pbs.twimg.com/profile_images/1448987532234997775/4x3LDyFH_normal.jpg</t>
  </si>
  <si>
    <t>http://twitter.com/JL_998/statuses/1521006041609220096</t>
  </si>
  <si>
    <t>1521006006217719808</t>
  </si>
  <si>
    <t>Mon May 02 05:57:45 +0000 2022</t>
  </si>
  <si>
    <t>http://twitter.com/JL_998/statuses/1521006006217719808</t>
  </si>
  <si>
    <t>1521005967802044416</t>
  </si>
  <si>
    <t>mwrddrwg</t>
  </si>
  <si>
    <t>Mon May 02 05:57:36 +0000 2022</t>
  </si>
  <si>
    <t>1267886042587291648</t>
  </si>
  <si>
    <t>http://pbs.twimg.com/profile_images/1497209244613029890/HHeQwsjz_normal.jpg</t>
  </si>
  <si>
    <t>Cymru,  Ewrop</t>
  </si>
  <si>
    <t>http://twitter.com/mwrddrwg/statuses/1521005967802044416</t>
  </si>
  <si>
    <t>1521005935765995522</t>
  </si>
  <si>
    <t>@BobHS @CHarri87 Well - we do have the sharpest of the #Brexit voting minds in govt at least
…just one of the reasons it was always doomed to fail</t>
  </si>
  <si>
    <t>Mon May 02 05:57:28 +0000 2022</t>
  </si>
  <si>
    <t>40204560</t>
  </si>
  <si>
    <t>BobHS</t>
  </si>
  <si>
    <t>1520732451559157761</t>
  </si>
  <si>
    <t>http://twitter.com/RichardHewison/statuses/1521005935765995522</t>
  </si>
  <si>
    <t>{"hashtags":[{"text":"Brexit","indices":[55,62]}],"symbols":[],"user_mentions":[{"screen_name":"BobHS","name":"Bob the Elder 💚💙","id":40204560,"id_str":"40204560","indices":[0,6]},{"screen_name":"CHarri87","name":"Chris Harrison","id":875431880677634000,"id_str":"875431880677634048","indices":[7,16]}],"urls":[]}</t>
  </si>
  <si>
    <t>1521005900718292992</t>
  </si>
  <si>
    <t>frenchieinlimbo</t>
  </si>
  <si>
    <t>accused of interfering in the US presidential election in 2016 that saw Donald Trump win the presidency.
They are also suspected of assisting the #Brexit victory. https://t.co/V4D81CAn4t</t>
  </si>
  <si>
    <t>Mon May 02 05:57:20 +0000 2022</t>
  </si>
  <si>
    <t>898453457409114112</t>
  </si>
  <si>
    <t>1521005894053548033</t>
  </si>
  <si>
    <t>http://pbs.twimg.com/profile_images/1496854365054947335/Zdz6gNNa_normal.jpg</t>
  </si>
  <si>
    <t>http://twitter.com/frenchieinlimbo/statuses/1521005900718292992</t>
  </si>
  <si>
    <t>{"hashtags":[{"text":"Brexit","indices":[146,153]}],"symbols":[],"user_mentions":[],"urls":[],"media":[{"id":1521005898638016500,"id_str":"1521005898638016513","indices":[163,186],"media_url":"http://pbs.twimg.com/media/FRuyzmGXwAEpXas.jpg","media_url_https":"https://pbs.twimg.com/media/FRuyzmGXwAEpXas.jpg","url":"https://t.co/V4D81CAn4t","display_url":"pic.twitter.com/V4D81CAn4t","expanded_url":"https://twitter.com/frenchieinlimbo/status/1521005900718292992/photo/1","type":"photo","sizes":{"thumb":{"w":150,"h":150,"resize":"crop"},"small":{"w":680,"h":503,"resize":"fit"},"medium":{"w":828,"h":612,"resize":"fit"},"large":{"w":828,"h":612,"resize":"fit"}}}]}</t>
  </si>
  <si>
    <t>1521005838760124420</t>
  </si>
  <si>
    <t>SimonGardner18</t>
  </si>
  <si>
    <t>Mon May 02 05:57:05 +0000 2022</t>
  </si>
  <si>
    <t>2352900408</t>
  </si>
  <si>
    <t>http://pbs.twimg.com/profile_images/1293582830061191168/2AAOrFbd_normal.jpg</t>
  </si>
  <si>
    <t>http://twitter.com/SimonGardner18/statuses/1521005838760124420</t>
  </si>
  <si>
    <t>1521005760922230785</t>
  </si>
  <si>
    <t>elibo_17</t>
  </si>
  <si>
    <t>Mon May 02 05:56:46 +0000 2022</t>
  </si>
  <si>
    <t>873290594583547904</t>
  </si>
  <si>
    <t>http://pbs.twimg.com/profile_images/1413628983703396354/i1kkEmZQ_normal.jpg</t>
  </si>
  <si>
    <t>http://twitter.com/elibo_17/statuses/1521005760922230785</t>
  </si>
  <si>
    <t>1521005724020715520</t>
  </si>
  <si>
    <t>Mon May 02 05:56:38 +0000 2022</t>
  </si>
  <si>
    <t>http://twitter.com/JL_998/statuses/1521005724020715520</t>
  </si>
  <si>
    <t>1521005620949831680</t>
  </si>
  <si>
    <t>Mon May 02 05:56:13 +0000 2022</t>
  </si>
  <si>
    <t>http://twitter.com/elibo_17/statuses/1521005620949831680</t>
  </si>
  <si>
    <t>1521005611156131841</t>
  </si>
  <si>
    <t>Mon May 02 05:56:11 +0000 2022</t>
  </si>
  <si>
    <t>http://twitter.com/JulieBJewellery/statuses/1521005611156131841</t>
  </si>
  <si>
    <t>1521005527773417476</t>
  </si>
  <si>
    <t>mariamuser</t>
  </si>
  <si>
    <t>RT @Dr__H__Lekter: #JohnsonOut97 #ScottishIndependence #JohnsonTheLiar #Brexit #BrexitHasFailed #NeverTrustATory #LiarNotALeader #ToryLiars #ToriesOut5thMay #TorySleaze #VoteLabour #Growlergate #gingergrowler #ToryShambles #ToryLies #ToryCorruption  Angela Rayner thatcher Sexist of the Year https://t.co/XF92ak4MJK</t>
  </si>
  <si>
    <t>Mon May 02 05:55:51 +0000 2022</t>
  </si>
  <si>
    <t>44157878</t>
  </si>
  <si>
    <t>http://pbs.twimg.com/profile_images/1507197815532965889/CSGHCobB_normal.jpg</t>
  </si>
  <si>
    <t>Milan 🇮🇹London🏴󠁧󠁢󠁥󠁮󠁧󠁿</t>
  </si>
  <si>
    <t>http://twitter.com/mariamuser/statuses/1521005527773417476</t>
  </si>
  <si>
    <t>1521005525357506562</t>
  </si>
  <si>
    <t>Mon May 02 05:55:50 +0000 2022</t>
  </si>
  <si>
    <t>http://twitter.com/JL_998/statuses/1521005525357506562</t>
  </si>
  <si>
    <t>1521005424169955330</t>
  </si>
  <si>
    <t>Maerdydd</t>
  </si>
  <si>
    <t>Mon May 02 05:55:26 +0000 2022</t>
  </si>
  <si>
    <t>2788899783</t>
  </si>
  <si>
    <t>http://pbs.twimg.com/profile_images/1489892512995098625/vA_vbgCQ_normal.jpg</t>
  </si>
  <si>
    <t>http://twitter.com/Maerdydd/statuses/1521005424169955330</t>
  </si>
  <si>
    <t>1521005418230824960</t>
  </si>
  <si>
    <t>Warren1Point</t>
  </si>
  <si>
    <t>Interesting thread. Clearly there is an issue in British politics, it seems that #Brexit has given some a feeling of achievement &amp;amp; power through lies &amp;amp; deceit. Something that will endure as long as the Tories hold power. #GTTO https://t.co/tnmNCxgU0T</t>
  </si>
  <si>
    <t>Mon May 02 05:55:25 +0000 2022</t>
  </si>
  <si>
    <t>1419755916094853122</t>
  </si>
  <si>
    <t>http://pbs.twimg.com/profile_images/1497451318763528195/_-gxHfag_normal.jpg</t>
  </si>
  <si>
    <t>The North of Ireland</t>
  </si>
  <si>
    <t>http://twitter.com/Warren1Point/statuses/1521005418230824960</t>
  </si>
  <si>
    <t>{"hashtags":[{"text":"Brexit","indices":[81,88]},{"text":"GTTO","indices":[229,234]}],"symbols":[],"user_mentions":[],"urls":[{"url":"https://t.co/tnmNCxgU0T","expanded_url":"https://twitter.com/steveparks/status/1520765009973886977","display_url":"twitter.com/steveparks/sta…","indices":[235,258]}]}</t>
  </si>
  <si>
    <t>1521005408617484289</t>
  </si>
  <si>
    <t>Mon May 02 05:55:22 +0000 2022</t>
  </si>
  <si>
    <t>http://twitter.com/JL_998/statuses/1521005408617484289</t>
  </si>
  <si>
    <t>1521005391383089153</t>
  </si>
  <si>
    <t>AbbieFerdinand1</t>
  </si>
  <si>
    <t>Mon May 02 05:55:18 +0000 2022</t>
  </si>
  <si>
    <t>745888445076209664</t>
  </si>
  <si>
    <t>http://pbs.twimg.com/profile_images/1405384309066801154/O7gjQN6H_normal.jpg</t>
  </si>
  <si>
    <t>http://twitter.com/AbbieFerdinand1/statuses/1521005391383089153</t>
  </si>
  <si>
    <t>1521005251897307138</t>
  </si>
  <si>
    <t>bigtrembles</t>
  </si>
  <si>
    <t>Mon May 02 05:54:45 +0000 2022</t>
  </si>
  <si>
    <t>238699096</t>
  </si>
  <si>
    <t>http://pbs.twimg.com/profile_images/1501587974642884613/6KKOT7VM_normal.jpg</t>
  </si>
  <si>
    <t>http://twitter.com/bigtrembles/statuses/1521005251897307138</t>
  </si>
  <si>
    <t>1521005216879071233</t>
  </si>
  <si>
    <t>RT @Dr__H__Lekter: #JohnsonOut97 #ScottishIndependence #JohnsonTheLiar #Brexit #BrexitHasFailed #NeverTrustATory #LiarNotALeader #ToryLiars #ToriesOut5thMay #TorySleaze #VoteLabour #Growlergate #gingergrowler #ToryShambles #ToryLies #ToryCorruption  Angela Rayner thatcher Sexist of the Year https://t.co/IjHiMNwreu</t>
  </si>
  <si>
    <t>Mon May 02 05:54:37 +0000 2022</t>
  </si>
  <si>
    <t>http://twitter.com/mariamuser/statuses/1521005216879071233</t>
  </si>
  <si>
    <t>1521005208767279106</t>
  </si>
  <si>
    <t>Mon May 02 05:54:35 +0000 2022</t>
  </si>
  <si>
    <t>http://twitter.com/AbbieFerdinand1/statuses/1521005208767279106</t>
  </si>
  <si>
    <t>1521005135614390272</t>
  </si>
  <si>
    <t>Mon May 02 05:54:17 +0000 2022</t>
  </si>
  <si>
    <t>http://twitter.com/John2000AD/statuses/1521005135614390272</t>
  </si>
  <si>
    <t>1521005118048681984</t>
  </si>
  <si>
    <t>dave161256</t>
  </si>
  <si>
    <t>@Anna_Soubry #Brexit changed the Conservative party into the far-right English National party.</t>
  </si>
  <si>
    <t>Mon May 02 05:54:13 +0000 2022</t>
  </si>
  <si>
    <t>3773942013</t>
  </si>
  <si>
    <t>1520749253878075392</t>
  </si>
  <si>
    <t>http://pbs.twimg.com/profile_images/1253232651403702272/VHczTO8m_normal.jpg</t>
  </si>
  <si>
    <t>http://twitter.com/dave161256/statuses/1521005118048681984</t>
  </si>
  <si>
    <t>{"hashtags":[{"text":"Brexit","indices":[13,20]}],"symbols":[],"user_mentions":[{"screen_name":"Anna_Soubry","name":"Anna Soubry","id":326184301,"id_str":"326184301","indices":[0,12]}],"urls":[]}</t>
  </si>
  <si>
    <t>1521005045193625600</t>
  </si>
  <si>
    <t>Mon May 02 05:53:56 +0000 2022</t>
  </si>
  <si>
    <t>http://twitter.com/bigtrembles/statuses/1521005045193625600</t>
  </si>
  <si>
    <t>1521004992781594624</t>
  </si>
  <si>
    <t>Mon May 02 05:53:43 +0000 2022</t>
  </si>
  <si>
    <t>http://twitter.com/bigtrembles/statuses/1521004992781594624</t>
  </si>
  <si>
    <t>1521004897197506560</t>
  </si>
  <si>
    <t>Turner_PhD</t>
  </si>
  <si>
    <t>@ukiswitheu Never mentioned #Brexit once as an issue!</t>
  </si>
  <si>
    <t>Mon May 02 05:53:21 +0000 2022</t>
  </si>
  <si>
    <t>1278401163373707267</t>
  </si>
  <si>
    <t>ukiswitheu</t>
  </si>
  <si>
    <t>2368954034</t>
  </si>
  <si>
    <t>1520802749964853248</t>
  </si>
  <si>
    <t>http://pbs.twimg.com/profile_images/544404043586883584/U556Lhha_normal.jpeg</t>
  </si>
  <si>
    <t>http://twitter.com/Turner_PhD/statuses/1521004897197506560</t>
  </si>
  <si>
    <t>{"hashtags":[{"text":"Brexit","indices":[28,35]}],"symbols":[],"user_mentions":[{"screen_name":"ukiswitheu","name":"UK is with EU","id":1278401163373707300,"id_str":"1278401163373707267","indices":[0,11]}],"urls":[]}</t>
  </si>
  <si>
    <t>1521004837705498626</t>
  </si>
  <si>
    <t>Accomlondon</t>
  </si>
  <si>
    <t>Mon May 02 05:53:06 +0000 2022</t>
  </si>
  <si>
    <t>254092902</t>
  </si>
  <si>
    <t>http://pbs.twimg.com/profile_images/1367290725/maggiewebsite_normal.jpg</t>
  </si>
  <si>
    <t>http://twitter.com/Accomlondon/statuses/1521004837705498626</t>
  </si>
  <si>
    <t>Revealed: The English beaches with the dirtiest bathing water https://t.co/EkXqdApBrC  Sewage contamination  of beaches  another  #Brexit benefit #TorySewageParty  @GMB  #KayBurley  @BBCBreakfast  @Conservatives @UKLabour @GMB #GBNews #R4today #BrexitReality</t>
  </si>
  <si>
    <t>Mon May 02 05:52:33 +0000 2022</t>
  </si>
  <si>
    <t>http://twitter.com/etxberria55/statuses/1521004699201200130</t>
  </si>
  <si>
    <t>{"hashtags":[{"text":"Brexit","indices":[130,137]},{"text":"TorySewageParty","indices":[146,162]},{"text":"KayBurley","indices":[170,180]},{"text":"GBNews","indices":[227,234]},{"text":"R4today","indices":[235,243]},{"text":"BrexitReality","indices":[244,258]}],"symbols":[],"user_mentions":[{"screen_name":"GMB","name":"Good Morning Britain","id":19424427,"id_str":"19424427","indices":[164,168]},{"screen_name":"BBCBreakfast","name":"BBC Breakfast","id":143415291,"id_str":"143415291","indices":[182,195]},{"screen_name":"Conservatives","name":"Conservatives","id":14281853,"id_str":"14281853","indices":[197,211]},{"screen_name":"UKLabour","name":"The Labour Party","id":14291684,"id_str":"14291684","indices":[212,221]},{"screen_name":"GMB","name":"Good Morning Britain","id":19424427,"id_str":"19424427","indices":[222,226]}],"urls":[{"url":"https://t.co/EkXqdApBrC","expanded_url":"https://uk.news.yahoo.com/tynemouth-cullercoat-wharfe-at-cromwheel-ilkley-heacham-in-west-norfolk-and-weston-bay-in-westen-super-mare-192437169.html","display_url":"uk.news.yahoo.com/tynemouth-cull…","indices":[62,85]}]}</t>
  </si>
  <si>
    <t>1521004644398661634</t>
  </si>
  <si>
    <t>@IainCroker @vanmaneuro Excellent point. It’s all well and good scoring daft #Brexit points on Twitter for likes and retweets. But what does this move by Spain actually achieve?</t>
  </si>
  <si>
    <t>Mon May 02 05:52:20 +0000 2022</t>
  </si>
  <si>
    <t>2167167106</t>
  </si>
  <si>
    <t>IainCroker</t>
  </si>
  <si>
    <t>1520822128551112705</t>
  </si>
  <si>
    <t>http://twitter.com/SiouxsieShoo/statuses/1521004644398661634</t>
  </si>
  <si>
    <t>{"hashtags":[{"text":"Brexit","indices":[77,84]}],"symbols":[],"user_mentions":[{"screen_name":"IainCroker","name":"Iain Croker #FBPE 🇪🇺","id":2167167106,"id_str":"2167167106","indices":[0,11]},{"screen_name":"vanmaneuro","name":"ciaran the euro courier 🇪🇺🇮🇪","id":548289031,"id_str":"548289031","indices":[12,23]}],"urls":[]}</t>
  </si>
  <si>
    <t>1521004625104670721</t>
  </si>
  <si>
    <t>Markkocpfc</t>
  </si>
  <si>
    <t>Mon May 02 05:52:16 +0000 2022</t>
  </si>
  <si>
    <t>1502696535104049158</t>
  </si>
  <si>
    <t>http://pbs.twimg.com/profile_images/1515208991424536576/CTkhrxpN_normal.jpg</t>
  </si>
  <si>
    <t>http://twitter.com/Markkocpfc/statuses/1521004625104670721</t>
  </si>
  <si>
    <t>1521004528228777985</t>
  </si>
  <si>
    <t>RT @Dr__H__Lekter: #JohnsonOut97 #ScottishIndependence #JohnsonTheLiar #Brexit #BrexitHasFailed #NeverTrustATory #LiarNotALeader #ToryLiars #ToriesOut5thMay #TorySleaze #VoteLabour #Growlergate #gingergrowler #ToryShambles #ToryLies #ToryCorruption  Angela Rayner thatcher Sexist of the Year https://t.co/kJRxblpNsO</t>
  </si>
  <si>
    <t>Mon May 02 05:51:53 +0000 2022</t>
  </si>
  <si>
    <t>http://twitter.com/mariamuser/statuses/1521004528228777985</t>
  </si>
  <si>
    <t>1521004475447713798</t>
  </si>
  <si>
    <t>Mon May 02 05:51:40 +0000 2022</t>
  </si>
  <si>
    <t>http://twitter.com/MartinHarper62/statuses/1521004475447713798</t>
  </si>
  <si>
    <t>1521004443147374593</t>
  </si>
  <si>
    <t>CamilleHurn</t>
  </si>
  <si>
    <t>RT @Dwalingen: @nnienass #Nexit
#Brexit
#Frexit
#Italexit
#Grexit
#Polexit
#Czexit
#Dexit
#Spexit
#EUisTheProblem https://t.co/f5OiDhD5W6</t>
  </si>
  <si>
    <t>Mon May 02 05:51:32 +0000 2022</t>
  </si>
  <si>
    <t>2201496456</t>
  </si>
  <si>
    <t>http://pbs.twimg.com/profile_images/1505058041770778630/y7BhP8YC_normal.jpg</t>
  </si>
  <si>
    <t>Bear Cave</t>
  </si>
  <si>
    <t>http://twitter.com/CamilleHurn/statuses/1521004443147374593</t>
  </si>
  <si>
    <t>{"hashtags":[{"text":"Nexit","indices":[25,31]},{"text":"Brexit","indices":[32,39]},{"text":"Frexit","indices":[40,47]},{"text":"Italexit","indices":[48,57]},{"text":"Grexit","indices":[58,65]},{"text":"Polexit","indices":[66,74]},{"text":"Czexit","indices":[75,82]},{"text":"Dexit","indices":[83,89]},{"text":"Spexit","indices":[90,97]},{"text":"EUisTheProblem","indices":[100,115]}],"symbols":[],"user_mentions":[{"screen_name":"Dwalingen","name":"Mis Standen 🚜","id":891059384,"id_str":"891059384","indices":[3,13]},{"screen_name":"nnienass","name":"Niklas Nienaß","id":147947516,"id_str":"147947516","indices":[15,24]}],"urls":[],"media":[{"id":1521002235408302000,"id_str":"1521002235408302080","indices":[116,139],"media_url":"http://pbs.twimg.com/media/FRuveXgWQAAbjmM.jpg","media_url_https":"https://pbs.twimg.com/media/FRuveXgWQAAbjmM.jpg","url":"https://t.co/f5OiDhD5W6","display_url":"pic.twitter.com/f5OiDhD5W6","expanded_url":"https://twitter.com/Dwalingen/status/1521002244111482881/photo/1","type":"photo","sizes":{"large":{"w":1160,"h":788,"resize":"fit"},"thumb":{"w":150,"h":150,"resize":"crop"},"small":{"w":680,"h":462,"resize":"fit"},"medium":{"w":1160,"h":788,"resize":"fit"}},"source_status_id":1521002244111483000,"source_status_id_str":"1521002244111482881","source_user_id":891059384,"source_user_id_str":"891059384"}]}</t>
  </si>
  <si>
    <t>1521004406879182848</t>
  </si>
  <si>
    <t>workinlikeamum</t>
  </si>
  <si>
    <t>Mon May 02 05:51:24 +0000 2022</t>
  </si>
  <si>
    <t>1486682560767967233</t>
  </si>
  <si>
    <t>http://pbs.twimg.com/profile_images/1489126691129765891/t7moQ5y2_normal.jpg</t>
  </si>
  <si>
    <t>http://twitter.com/workinlikeamum/statuses/1521004406879182848</t>
  </si>
  <si>
    <t>1521004392849285120</t>
  </si>
  <si>
    <t>JE_Hillier</t>
  </si>
  <si>
    <t>Mon May 02 05:51:20 +0000 2022</t>
  </si>
  <si>
    <t>603372839</t>
  </si>
  <si>
    <t>http://pbs.twimg.com/profile_images/1498607923215441921/R4EgMXC9_normal.jpg</t>
  </si>
  <si>
    <t>http://twitter.com/JE_Hillier/statuses/1521004392849285120</t>
  </si>
  <si>
    <t>1521004363824701444</t>
  </si>
  <si>
    <t>thepetermesser</t>
  </si>
  <si>
    <t>Mon May 02 05:51:13 +0000 2022</t>
  </si>
  <si>
    <t>757969034646261760</t>
  </si>
  <si>
    <t>http://pbs.twimg.com/profile_images/757973124222689280/4XEeRFOJ_normal.jpg</t>
  </si>
  <si>
    <t>http://twitter.com/thepetermesser/statuses/1521004363824701444</t>
  </si>
  <si>
    <t>1521004262226112519</t>
  </si>
  <si>
    <t>RT @Dr__H__Lekter: #JohnsonOut97 #ScottishIndependence #JohnsonTheLiar #Brexit #BrexitHasFailed #NeverTrustATory #LiarNotALeader #ToryLiars #ToriesOut5thMay #TorySleaze #VoteLabour #Growlergate #gingergrowler #ToryShambles #ToryLies #ToryCorruption  Angela Rayner thatcher Sexist of the Year https://t.co/LQwnbqT9M1</t>
  </si>
  <si>
    <t>Mon May 02 05:50:49 +0000 2022</t>
  </si>
  <si>
    <t>http://twitter.com/mariamuser/statuses/1521004262226112519</t>
  </si>
  <si>
    <t>1521004254844096512</t>
  </si>
  <si>
    <t>TraceyAplin1</t>
  </si>
  <si>
    <t>Mon May 02 05:50:47 +0000 2022</t>
  </si>
  <si>
    <t>930560839534497795</t>
  </si>
  <si>
    <t>http://pbs.twimg.com/profile_images/1478318435746603008/P7Dy7yZ7_normal.jpg</t>
  </si>
  <si>
    <t>http://twitter.com/TraceyAplin1/statuses/1521004254844096512</t>
  </si>
  <si>
    <t>1521004068919033858</t>
  </si>
  <si>
    <t>mark147852</t>
  </si>
  <si>
    <t>@GBNEWS @Nigel_Farage It's almost as though the central advertised benefit of #brexit was fabricated! https://t.co/GusFpMeGJd</t>
  </si>
  <si>
    <t>Mon May 02 05:50:03 +0000 2022</t>
  </si>
  <si>
    <t>1339166129110065152</t>
  </si>
  <si>
    <t>GBNEWS</t>
  </si>
  <si>
    <t>2887707453</t>
  </si>
  <si>
    <t>1520999624240209922</t>
  </si>
  <si>
    <t>http://pbs.twimg.com/profile_images/1344929783365427200/SM5QFO6A_normal.jpg</t>
  </si>
  <si>
    <t>http://twitter.com/mark147852/statuses/1521004068919033858</t>
  </si>
  <si>
    <t>{"hashtags":[{"text":"brexit","indices":[78,85]}],"symbols":[],"user_mentions":[{"screen_name":"GBNEWS","name":"GB News","id":1339166129110065200,"id_str":"1339166129110065152","indices":[0,7]},{"screen_name":"Nigel_Farage","name":"Nigel Farage","id":19017675,"id_str":"19017675","indices":[8,21]}],"urls":[],"media":[{"id":1521004053358071800,"id_str":"1521004053358071809","indices":[102,125],"media_url":"http://pbs.twimg.com/media/FRuxIL5WUAE8tUY.jpg","media_url_https":"https://pbs.twimg.com/media/FRuxIL5WUAE8tUY.jpg","url":"https://t.co/GusFpMeGJd","display_url":"pic.twitter.com/GusFpMeGJd","expanded_url":"https://twitter.com/mark147852/status/1521004068919033858/photo/1","type":"photo","sizes":{"thumb":{"w":150,"h":150,"resize":"crop"},"medium":{"w":1084,"h":625,"resize":"fit"},"large":{"w":1084,"h":625,"resize":"fit"},"small":{"w":680,"h":392,"resize":"fit"}}}]}</t>
  </si>
  <si>
    <t>1521003969119719424</t>
  </si>
  <si>
    <t>WiddecombeB</t>
  </si>
  <si>
    <t>Mon May 02 05:49:39 +0000 2022</t>
  </si>
  <si>
    <t>1152253682760781824</t>
  </si>
  <si>
    <t>http://pbs.twimg.com/profile_images/1163913767127789568/bV1APDX-_normal.jpg</t>
  </si>
  <si>
    <t xml:space="preserve">Plague Island </t>
  </si>
  <si>
    <t>http://twitter.com/WiddecombeB/statuses/1521003969119719424</t>
  </si>
  <si>
    <t>1521003926367227905</t>
  </si>
  <si>
    <t>richardpantlin</t>
  </si>
  <si>
    <t>Mon May 02 05:49:29 +0000 2022</t>
  </si>
  <si>
    <t>51875167</t>
  </si>
  <si>
    <t>http://pbs.twimg.com/profile_images/1273385880053563393/GNt0yhwU_normal.jpg</t>
  </si>
  <si>
    <t>Oxford, UK</t>
  </si>
  <si>
    <t>http://twitter.com/richardpantlin/statuses/1521003926367227905</t>
  </si>
  <si>
    <t>1521003875548995584</t>
  </si>
  <si>
    <t>marcusfidge</t>
  </si>
  <si>
    <t>Mon May 02 05:49:17 +0000 2022</t>
  </si>
  <si>
    <t>2288028092</t>
  </si>
  <si>
    <t>http://pbs.twimg.com/profile_images/792623357304987648/35beELYF_normal.jpg</t>
  </si>
  <si>
    <t>http://twitter.com/marcusfidge/statuses/1521003875548995584</t>
  </si>
  <si>
    <t>1521003559055249409</t>
  </si>
  <si>
    <t>Kel70824886</t>
  </si>
  <si>
    <t>Mon May 02 05:48:02 +0000 2022</t>
  </si>
  <si>
    <t>1094159152396582913</t>
  </si>
  <si>
    <t>http://pbs.twimg.com/profile_images/1372194369088937991/4AR-ZY1I_normal.jpg</t>
  </si>
  <si>
    <t>http://twitter.com/Kel70824886/statuses/1521003559055249409</t>
  </si>
  <si>
    <t>1521003552839196672</t>
  </si>
  <si>
    <t>Mon May 02 05:48:00 +0000 2022</t>
  </si>
  <si>
    <t>http://pbs.twimg.com/profile_images/1337458027989962753/6S4K-2ly_normal.jpg</t>
  </si>
  <si>
    <t>Richmond, North Yorks. UK</t>
  </si>
  <si>
    <t>http://twitter.com/audouin1b/statuses/1521003552839196672</t>
  </si>
  <si>
    <t>1521003506592890880</t>
  </si>
  <si>
    <t>JackHen16271194</t>
  </si>
  <si>
    <t>Remember the remainers from the #MSM and pro EU propagandist organisations such as the BBC who told us Airbus operations in the UK would cease after Brexit ?
Hasn't happened, in fact the UK Airbus operation is going from strength to strength.
#Brexit 
#Airbus
#BrexitSuccess https://t.co/WD9FtYB0M2</t>
  </si>
  <si>
    <t>Mon May 02 05:47:49 +0000 2022</t>
  </si>
  <si>
    <t>1364308324423004162</t>
  </si>
  <si>
    <t>http://pbs.twimg.com/profile_images/1364310685103108104/fRvVL4Hv_normal.jpg</t>
  </si>
  <si>
    <t>http://twitter.com/JackHen16271194/statuses/1521003506592890880</t>
  </si>
  <si>
    <t>{"hashtags":[{"text":"MSM","indices":[32,36]},{"text":"Brexit","indices":[243,250]},{"text":"Airbus","indices":[252,259]},{"text":"BrexitSuccess","indices":[260,274]}],"symbols":[],"user_mentions":[],"urls":[{"url":"https://t.co/WD9FtYB0M2","expanded_url":"https://twitter.com/Jefferson_MFG/status/1520997617852993536","display_url":"twitter.com/Jefferson_MFG/…","indices":[275,298]}]}</t>
  </si>
  <si>
    <t>1521003397981351937</t>
  </si>
  <si>
    <t>Myerskate92Kate</t>
  </si>
  <si>
    <t>Mon May 02 05:47:23 +0000 2022</t>
  </si>
  <si>
    <t>1250032712</t>
  </si>
  <si>
    <t>http://pbs.twimg.com/profile_images/760203504510242818/SDbA5UKR_normal.jpg</t>
  </si>
  <si>
    <t>http://twitter.com/Myerskate92Kate/statuses/1521003397981351937</t>
  </si>
  <si>
    <t>1521003393703100417</t>
  </si>
  <si>
    <t>Sharpy47</t>
  </si>
  <si>
    <t>Mon May 02 05:47:22 +0000 2022</t>
  </si>
  <si>
    <t>285203858</t>
  </si>
  <si>
    <t>http://pbs.twimg.com/profile_images/1277898363082506240/7jxf-3I7_normal.jpg</t>
  </si>
  <si>
    <t>http://twitter.com/Sharpy47/statuses/1521003393703100417</t>
  </si>
  <si>
    <t>1521003350904512513</t>
  </si>
  <si>
    <t>csrvermaak</t>
  </si>
  <si>
    <t>@uMarhobane This is exactly why #Brexit</t>
  </si>
  <si>
    <t>Mon May 02 05:47:12 +0000 2022</t>
  </si>
  <si>
    <t>1140227234864742400</t>
  </si>
  <si>
    <t>uMarhobane</t>
  </si>
  <si>
    <t>4065595275</t>
  </si>
  <si>
    <t>1520998873816350722</t>
  </si>
  <si>
    <t>http://pbs.twimg.com/profile_images/1374039971821142016/U887X-U2_normal.jpg</t>
  </si>
  <si>
    <t>http://twitter.com/csrvermaak/statuses/1521003350904512513</t>
  </si>
  <si>
    <t>{"hashtags":[{"text":"Brexit","indices":[32,39]}],"symbols":[],"user_mentions":[{"screen_name":"uMarhobane","name":"Robert Duigan","id":1140227234864742400,"id_str":"1140227234864742400","indices":[0,11]}],"urls":[]}</t>
  </si>
  <si>
    <t>1521003301701095424</t>
  </si>
  <si>
    <t>JosieParr1</t>
  </si>
  <si>
    <t>Mon May 02 05:47:00 +0000 2022</t>
  </si>
  <si>
    <t>785107546449272833</t>
  </si>
  <si>
    <t>http://pbs.twimg.com/profile_images/1344700656842661888/LUFsp1z__normal.jpg</t>
  </si>
  <si>
    <t>http://twitter.com/JosieParr1/statuses/1521003301701095424</t>
  </si>
  <si>
    <t>1521003248685142016</t>
  </si>
  <si>
    <t>alexbellars</t>
  </si>
  <si>
    <t>RT @IndyVoices: Editorial: Jacob Rees-Mogg promotes the opportunities of ‘not getting Brexit done’ https://t.co/cfkZ791D0n #Brexit #JacobReesMogg</t>
  </si>
  <si>
    <t>Mon May 02 05:46:48 +0000 2022</t>
  </si>
  <si>
    <t>20303768</t>
  </si>
  <si>
    <t>http://pbs.twimg.com/profile_images/1512499620492058635/3myVeOAA_normal.jpg</t>
  </si>
  <si>
    <t>http://twitter.com/alexbellars/statuses/1521003248685142016</t>
  </si>
  <si>
    <t>{"hashtags":[{"text":"Brexit","indices":[123,130]}],"symbols":[],"user_mentions":[{"screen_name":"IndyVoices","name":"Independent Voices","id":270569708,"id_str":"270569708","indices":[3,14]}],"urls":[{"url":"https://t.co/cfkZ791D0n","expanded_url":"https://bit.ly/37TWR1C","display_url":"bit.ly/37TWR1C","indices":[99,122]}]}</t>
  </si>
  <si>
    <t>1521003168745902081</t>
  </si>
  <si>
    <t>Richardson86Joe</t>
  </si>
  <si>
    <t>Mon May 02 05:46:28 +0000 2022</t>
  </si>
  <si>
    <t>2330167031</t>
  </si>
  <si>
    <t>http://pbs.twimg.com/profile_images/433622827171086337/3BXjoVjL_normal.jpeg</t>
  </si>
  <si>
    <t>Bromsgrove, England</t>
  </si>
  <si>
    <t>http://twitter.com/Richardson86Joe/statuses/1521003168745902081</t>
  </si>
  <si>
    <t>1521003129189380096</t>
  </si>
  <si>
    <t>me_michaels</t>
  </si>
  <si>
    <t>Why is called the British Museum, when most of the artifacts are from other parts of the world. To be precise Africa #BritainsGotTalent #Brexit #CommonWealth</t>
  </si>
  <si>
    <t>Mon May 02 05:46:19 +0000 2022</t>
  </si>
  <si>
    <t>1200812210764886021</t>
  </si>
  <si>
    <t>http://pbs.twimg.com/profile_images/1200818819079573504/-mqNMcxZ_normal.jpg</t>
  </si>
  <si>
    <t>me-world</t>
  </si>
  <si>
    <t>http://twitter.com/me_michaels/statuses/1521003129189380096</t>
  </si>
  <si>
    <t>{"hashtags":[{"text":"BritainsGotTalent","indices":[117,135]},{"text":"Brexit","indices":[136,143]},{"text":"CommonWealth","indices":[144,157]}],"symbols":[],"user_mentions":[],"urls":[]}</t>
  </si>
  <si>
    <t>1521003113162940419</t>
  </si>
  <si>
    <t>angryEuphemist</t>
  </si>
  <si>
    <t>Mon May 02 05:46:15 +0000 2022</t>
  </si>
  <si>
    <t>1349076600</t>
  </si>
  <si>
    <t>http://pbs.twimg.com/profile_images/1268209047611809793/TMyzzbKn_normal.jpg</t>
  </si>
  <si>
    <t>🇪🇺</t>
  </si>
  <si>
    <t>http://twitter.com/angryEuphemist/statuses/1521003113162940419</t>
  </si>
  <si>
    <t>1521003100781400064</t>
  </si>
  <si>
    <t>Mon May 02 05:46:12 +0000 2022</t>
  </si>
  <si>
    <t>http://twitter.com/TraceyAplin1/statuses/1521003100781400064</t>
  </si>
  <si>
    <t>1521003078715154433</t>
  </si>
  <si>
    <t>Mon May 02 05:46:07 +0000 2022</t>
  </si>
  <si>
    <t>http://twitter.com/Scout342/statuses/1521003078715154433</t>
  </si>
  <si>
    <t>1521003065603723264</t>
  </si>
  <si>
    <t>Mon May 02 05:46:04 +0000 2022</t>
  </si>
  <si>
    <t>http://twitter.com/angryEuphemist/statuses/1521003065603723264</t>
  </si>
  <si>
    <t>1521003043680096257</t>
  </si>
  <si>
    <t>Mon May 02 05:45:59 +0000 2022</t>
  </si>
  <si>
    <t>http://twitter.com/Scout342/statuses/1521003043680096257</t>
  </si>
  <si>
    <t>1521002991456866304</t>
  </si>
  <si>
    <t>mylovelyhorsie</t>
  </si>
  <si>
    <t>Mon May 02 05:45:46 +0000 2022</t>
  </si>
  <si>
    <t>226307957</t>
  </si>
  <si>
    <t>http://pbs.twimg.com/profile_images/1167173783414853632/TNaMf7VU_normal.jpg</t>
  </si>
  <si>
    <t>Gosport</t>
  </si>
  <si>
    <t>http://twitter.com/mylovelyhorsie/statuses/1521002991456866304</t>
  </si>
  <si>
    <t>1521002925925048320</t>
  </si>
  <si>
    <t>Mon May 02 05:45:31 +0000 2022</t>
  </si>
  <si>
    <t>http://twitter.com/angryEuphemist/statuses/1521002925925048320</t>
  </si>
  <si>
    <t>1521002909500153856</t>
  </si>
  <si>
    <t>Sue35497795</t>
  </si>
  <si>
    <t>Mon May 02 05:45:27 +0000 2022</t>
  </si>
  <si>
    <t>1264428591649116160</t>
  </si>
  <si>
    <t>http://pbs.twimg.com/profile_images/1264428781948801024/JTiZb3EP_normal.jpg</t>
  </si>
  <si>
    <t>http://twitter.com/Sue35497795/statuses/1521002909500153856</t>
  </si>
  <si>
    <t>1521002878697185281</t>
  </si>
  <si>
    <t>JPM06848080</t>
  </si>
  <si>
    <t>Mon May 02 05:45:19 +0000 2022</t>
  </si>
  <si>
    <t>1238762034281558016</t>
  </si>
  <si>
    <t>http://pbs.twimg.com/profile_images/1342008550659403778/yXszUuO__normal.jpg</t>
  </si>
  <si>
    <t>http://twitter.com/JPM06848080/statuses/1521002878697185281</t>
  </si>
  <si>
    <t>1521002876008546306</t>
  </si>
  <si>
    <t>http://twitter.com/angryEuphemist/statuses/1521002876008546306</t>
  </si>
  <si>
    <t>1521002875207536641</t>
  </si>
  <si>
    <t>ArchonLondon</t>
  </si>
  <si>
    <t>@markjenkinsonmp "Our game.."
You're referring to half the electorate who wish to be in the #EU
You're divisiveness is disgraceful..
You're a public servant
#Brexit</t>
  </si>
  <si>
    <t>Mon May 02 05:45:18 +0000 2022</t>
  </si>
  <si>
    <t>343986670</t>
  </si>
  <si>
    <t>http://pbs.twimg.com/profile_images/1465604756/IMG_8011_normal.JPG</t>
  </si>
  <si>
    <t>http://twitter.com/ArchonLondon/statuses/1521002875207536641</t>
  </si>
  <si>
    <t>{"hashtags":[{"text":"EU","indices":[92,95]},{"text":"Brexit","indices":[157,164]}],"symbols":[],"user_mentions":[{"screen_name":"markjenkinsonmp","name":"Mark Jenkinson MP","id":116228328,"id_str":"116228328","indices":[0,16]}],"urls":[]}</t>
  </si>
  <si>
    <t>1521002801064812546</t>
  </si>
  <si>
    <t>Danny_Newell</t>
  </si>
  <si>
    <t>Mon May 02 05:45:01 +0000 2022</t>
  </si>
  <si>
    <t>288738343</t>
  </si>
  <si>
    <t>http://pbs.twimg.com/profile_images/981148729528012800/sziTLAZq_normal.jpg</t>
  </si>
  <si>
    <t>http://twitter.com/Danny_Newell/statuses/1521002801064812546</t>
  </si>
  <si>
    <t>1521002800188203009</t>
  </si>
  <si>
    <t>Meltarps75Mel</t>
  </si>
  <si>
    <t>RT @KatyCycles: @Anna_Soubry @ELarrissy It's not just #Brexit, though; it's all government corruption and failing. The BBC has managed to completely miss the house raids on #MichelleMone , too. It's the closure of the state news source more widely.</t>
  </si>
  <si>
    <t>1093831000487088135</t>
  </si>
  <si>
    <t>http://pbs.twimg.com/profile_images/1354083875513905154/HRqjxaUW_normal.jpg</t>
  </si>
  <si>
    <t>West Lancashire</t>
  </si>
  <si>
    <t>http://twitter.com/Meltarps75Mel/statuses/1521002800188203009</t>
  </si>
  <si>
    <t>{"hashtags":[{"text":"Brexit","indices":[54,61]}],"symbols":[],"user_mentions":[{"screen_name":"KatyCycles","name":"Katy Rodda Still Wants 2m","id":2880230993,"id_str":"2880230993","indices":[3,14]},{"screen_name":"Anna_Soubry","name":"Anna Soubry","id":326184301,"id_str":"326184301","indices":[16,28]},{"screen_name":"ELarrissy","name":"Ed Larrissy","id":995443722,"id_str":"995443722","indices":[29,39]}],"urls":[]}</t>
  </si>
  <si>
    <t>1521002761193771008</t>
  </si>
  <si>
    <t>FrannyHP</t>
  </si>
  <si>
    <t>RT @SusanlLawson: @Sillyshib Significant: "Afriyie was behind rebel Tory plot to force D Cameron to hold EU referendum before 2015 election" every #Brexit stone unturned reveals a tawdry cabal of career politicians determined to ruin the country to cover up their own inadequacies! #ToryCriminalsUnfitToGovern</t>
  </si>
  <si>
    <t>Mon May 02 05:44:51 +0000 2022</t>
  </si>
  <si>
    <t>1653797208</t>
  </si>
  <si>
    <t>http://pbs.twimg.com/profile_images/1346947373260546048/wgvuSvl6_normal.jpg</t>
  </si>
  <si>
    <t>http://twitter.com/FrannyHP/statuses/1521002761193771008</t>
  </si>
  <si>
    <t>{"hashtags":[],"symbols":[],"user_mentions":[{"screen_name":"SusanlLawson","name":"Lady Lawson of Galloway 💙 #TakeBackBritain #FBPE","id":2683210415,"id_str":"2683210415","indices":[3,16]},{"screen_name":"Sillyshib","name":"Siob, Princess of Yorkshire 💙#FBPE #FBR","id":854769693051297800,"id_str":"854769693051297794","indices":[18,28]}],"urls":[]}</t>
  </si>
  <si>
    <t>1521002418103894016</t>
  </si>
  <si>
    <t>Christo94672962</t>
  </si>
  <si>
    <t>Mon May 02 05:43:29 +0000 2022</t>
  </si>
  <si>
    <t>1105101136435003392</t>
  </si>
  <si>
    <t>http://pbs.twimg.com/profile_images/1105101420406194177/kmCqAGlN_normal.jpg</t>
  </si>
  <si>
    <t>http://twitter.com/Christo94672962/statuses/1521002418103894016</t>
  </si>
  <si>
    <t>1521002409987907585</t>
  </si>
  <si>
    <t>Mon May 02 05:43:28 +0000 2022</t>
  </si>
  <si>
    <t>http://twitter.com/KenSterrett/statuses/1521002409987907585</t>
  </si>
  <si>
    <t>1521002326877741059</t>
  </si>
  <si>
    <t>angela28279009</t>
  </si>
  <si>
    <t>Mon May 02 05:43:08 +0000 2022</t>
  </si>
  <si>
    <t>1272813054603022336</t>
  </si>
  <si>
    <t>http://pbs.twimg.com/profile_images/1272813315232796672/-pH7EKZZ_normal.jpg</t>
  </si>
  <si>
    <t>http://twitter.com/angela28279009/statuses/1521002326877741059</t>
  </si>
  <si>
    <t>1521002281709277185</t>
  </si>
  <si>
    <t>Mon May 02 05:42:57 +0000 2022</t>
  </si>
  <si>
    <t>http://twitter.com/angela28279009/statuses/1521002281709277185</t>
  </si>
  <si>
    <t>1521002244111482881</t>
  </si>
  <si>
    <t>Dwalingen</t>
  </si>
  <si>
    <t>@nnienass #Nexit
#Brexit
#Frexit
#Italexit
#Grexit
#Polexit
#Czexit
#Dexit
#Spexit
#EUisTheProblem https://t.co/f5OiDhD5W6</t>
  </si>
  <si>
    <t>Mon May 02 05:42:48 +0000 2022</t>
  </si>
  <si>
    <t>147947516</t>
  </si>
  <si>
    <t>nnienass</t>
  </si>
  <si>
    <t>891059384</t>
  </si>
  <si>
    <t>1520364954301440000</t>
  </si>
  <si>
    <t>http://pbs.twimg.com/profile_images/2775095798/8c1ca1aa99adafb604267bf3dcb65acd_normal.jpeg</t>
  </si>
  <si>
    <t>http://twitter.com/Dwalingen/statuses/1521002244111482881</t>
  </si>
  <si>
    <t>{"hashtags":[{"text":"Nexit","indices":[10,16]},{"text":"Brexit","indices":[17,24]},{"text":"Frexit","indices":[25,32]},{"text":"Italexit","indices":[33,42]},{"text":"Grexit","indices":[43,50]},{"text":"Polexit","indices":[51,59]},{"text":"Czexit","indices":[60,67]},{"text":"Dexit","indices":[68,74]},{"text":"Spexit","indices":[75,82]},{"text":"EUisTheProblem","indices":[85,100]}],"symbols":[],"user_mentions":[{"screen_name":"nnienass","name":"Niklas Nienaß","id":147947516,"id_str":"147947516","indices":[0,9]}],"urls":[],"media":[{"id":1521002235408302000,"id_str":"1521002235408302080","indices":[101,124],"media_url":"http://pbs.twimg.com/media/FRuveXgWQAAbjmM.jpg","media_url_https":"https://pbs.twimg.com/media/FRuveXgWQAAbjmM.jpg","url":"https://t.co/f5OiDhD5W6","display_url":"pic.twitter.com/f5OiDhD5W6","expanded_url":"https://twitter.com/Dwalingen/status/1521002244111482881/photo/1","type":"photo","sizes":{"large":{"w":1160,"h":788,"resize":"fit"},"thumb":{"w":150,"h":150,"resize":"crop"},"small":{"w":680,"h":462,"resize":"fit"},"medium":{"w":1160,"h":788,"resize":"fit"}}}]}</t>
  </si>
  <si>
    <t>1521002220300480512</t>
  </si>
  <si>
    <t>Mon May 02 05:42:42 +0000 2022</t>
  </si>
  <si>
    <t>http://twitter.com/angela28279009/statuses/1521002220300480512</t>
  </si>
  <si>
    <t>1521002161043349504</t>
  </si>
  <si>
    <t>Mon May 02 05:42:28 +0000 2022</t>
  </si>
  <si>
    <t>http://twitter.com/CARogersNo1/statuses/1521002161043349504</t>
  </si>
  <si>
    <t>1521002134896054274</t>
  </si>
  <si>
    <t>Mon May 02 05:42:22 +0000 2022</t>
  </si>
  <si>
    <t>http://twitter.com/angela28279009/statuses/1521002134896054274</t>
  </si>
  <si>
    <t>1521002113559670784</t>
  </si>
  <si>
    <t>Poorinthepocket</t>
  </si>
  <si>
    <t>Mon May 02 05:42:17 +0000 2022</t>
  </si>
  <si>
    <t>951394362554011653</t>
  </si>
  <si>
    <t>http://pbs.twimg.com/profile_images/1464140333189586956/LZKOti9U_normal.jpg</t>
  </si>
  <si>
    <t>http://twitter.com/Poorinthepocket/statuses/1521002113559670784</t>
  </si>
  <si>
    <t>1521002080655261696</t>
  </si>
  <si>
    <t>Mon May 02 05:42:09 +0000 2022</t>
  </si>
  <si>
    <t>http://twitter.com/angela28279009/statuses/1521002080655261696</t>
  </si>
  <si>
    <t>1521002019670171648</t>
  </si>
  <si>
    <t>PhilDuck</t>
  </si>
  <si>
    <t>Mon May 02 05:41:54 +0000 2022</t>
  </si>
  <si>
    <t>95285344</t>
  </si>
  <si>
    <t>http://pbs.twimg.com/profile_images/1433537310/ANUBIS_normal.jpg</t>
  </si>
  <si>
    <t>Wigan</t>
  </si>
  <si>
    <t>http://twitter.com/PhilDuck/statuses/1521002019670171648</t>
  </si>
  <si>
    <t>1521001984844783622</t>
  </si>
  <si>
    <t>AlfRendo123</t>
  </si>
  <si>
    <t>Mon May 02 05:41:46 +0000 2022</t>
  </si>
  <si>
    <t>1406074814</t>
  </si>
  <si>
    <t>http://pbs.twimg.com/profile_images/873103854665048065/R92g4jju_normal.jpg</t>
  </si>
  <si>
    <t>http://twitter.com/AlfRendo123/statuses/1521001984844783622</t>
  </si>
  <si>
    <t>1521001940087414785</t>
  </si>
  <si>
    <t>Mon May 02 05:41:36 +0000 2022</t>
  </si>
  <si>
    <t>http://twitter.com/TrowsdaleGary/statuses/1521001940087414785</t>
  </si>
  <si>
    <t>1521001928255324161</t>
  </si>
  <si>
    <t>stuartprideaux</t>
  </si>
  <si>
    <t>Mon May 02 05:41:33 +0000 2022</t>
  </si>
  <si>
    <t>2736876942</t>
  </si>
  <si>
    <t>http://pbs.twimg.com/profile_images/517686070893223938/8xfuK_vt_normal.jpeg</t>
  </si>
  <si>
    <t>Savignac-de-Duras, France</t>
  </si>
  <si>
    <t>http://twitter.com/stuartprideaux/statuses/1521001928255324161</t>
  </si>
  <si>
    <t>1521001751641575425</t>
  </si>
  <si>
    <t>blackalicious61</t>
  </si>
  <si>
    <t>Mon May 02 05:40:51 +0000 2022</t>
  </si>
  <si>
    <t>258364835</t>
  </si>
  <si>
    <t>http://pbs.twimg.com/profile_images/1432074067968942083/GqrBgP3l_normal.jpg</t>
  </si>
  <si>
    <t>http://twitter.com/blackalicious61/statuses/1521001751641575425</t>
  </si>
  <si>
    <t>1521001732997894144</t>
  </si>
  <si>
    <t>tonydoyle57</t>
  </si>
  <si>
    <t>Mon May 02 05:40:46 +0000 2022</t>
  </si>
  <si>
    <t>1020812119</t>
  </si>
  <si>
    <t>http://pbs.twimg.com/profile_images/1266780979051532291/21MmRHKD_normal.jpg</t>
  </si>
  <si>
    <t>http://twitter.com/tonydoyle57/statuses/1521001732997894144</t>
  </si>
  <si>
    <t>1521001712617771010</t>
  </si>
  <si>
    <t>sarah324109</t>
  </si>
  <si>
    <t>Mon May 02 05:40:41 +0000 2022</t>
  </si>
  <si>
    <t>929411877582622720</t>
  </si>
  <si>
    <t>http://pbs.twimg.com/profile_images/1222623209809436672/Tz0JNipT_normal.jpg</t>
  </si>
  <si>
    <t>http://twitter.com/sarah324109/statuses/1521001712617771010</t>
  </si>
  <si>
    <t>1521001665637326849</t>
  </si>
  <si>
    <t>AlanHPower</t>
  </si>
  <si>
    <t>Mon May 02 05:40:30 +0000 2022</t>
  </si>
  <si>
    <t>1978618141</t>
  </si>
  <si>
    <t>http://pbs.twimg.com/profile_images/1043545709293850625/OKdA7T75_normal.jpg</t>
  </si>
  <si>
    <t>http://twitter.com/AlanHPower/statuses/1521001665637326849</t>
  </si>
  <si>
    <t>1521001585089855489</t>
  </si>
  <si>
    <t>We were told that after Britain left the EU investment from abroad into the UK  would dry up.
The opposite is true. Investment into the UK from overseas is strong.
#Brexit 
#jobs
#Brexitbenefits 
#BrexitSuccess 
#heineken 
#DespiteBrexit https://t.co/5jBbP6KsIz</t>
  </si>
  <si>
    <t>Mon May 02 05:40:11 +0000 2022</t>
  </si>
  <si>
    <t>http://twitter.com/JackHen16271194/statuses/1521001585089855489</t>
  </si>
  <si>
    <t>{"hashtags":[{"text":"Brexit","indices":[164,171]},{"text":"jobs","indices":[173,178]},{"text":"Brexitbenefits","indices":[179,194]},{"text":"BrexitSuccess","indices":[196,210]},{"text":"heineken","indices":[212,221]},{"text":"DespiteBrexit","indices":[223,237]}],"symbols":[],"user_mentions":[],"urls":[{"url":"https://t.co/5jBbP6KsIz","expanded_url":"https://twitter.com/Independent/status/1520945579819511816","display_url":"twitter.com/Independent/st…","indices":[238,261]}]}</t>
  </si>
  <si>
    <t>1521001561618628611</t>
  </si>
  <si>
    <t>darrenoutlaw1</t>
  </si>
  <si>
    <t>Mon May 02 05:40:05 +0000 2022</t>
  </si>
  <si>
    <t>2281919299</t>
  </si>
  <si>
    <t>http://pbs.twimg.com/profile_images/596979775400517632/-rtD62RI_normal.jpg</t>
  </si>
  <si>
    <t>http://twitter.com/darrenoutlaw1/statuses/1521001561618628611</t>
  </si>
  <si>
    <t>1521001520665350145</t>
  </si>
  <si>
    <t>thestefanmann</t>
  </si>
  <si>
    <t>Mon May 02 05:39:56 +0000 2022</t>
  </si>
  <si>
    <t>227436340</t>
  </si>
  <si>
    <t>http://pbs.twimg.com/profile_images/378800000022136390/e7a2431612004b2de7b588d3e08e6cab_normal.jpeg</t>
  </si>
  <si>
    <t>Edenfield near Manchester</t>
  </si>
  <si>
    <t>http://twitter.com/thestefanmann/statuses/1521001520665350145</t>
  </si>
  <si>
    <t>1521001374342909953</t>
  </si>
  <si>
    <t>Moonstone1812</t>
  </si>
  <si>
    <t>Mon May 02 05:39:21 +0000 2022</t>
  </si>
  <si>
    <t>3297630343</t>
  </si>
  <si>
    <t>http://pbs.twimg.com/profile_images/1256234270831644673/GE3r4Shq_normal.jpg</t>
  </si>
  <si>
    <t>http://twitter.com/Moonstone1812/statuses/1521001374342909953</t>
  </si>
  <si>
    <t>1521001364545015808</t>
  </si>
  <si>
    <t>VineyBernard</t>
  </si>
  <si>
    <t>Mon May 02 05:39:18 +0000 2022</t>
  </si>
  <si>
    <t>107681117</t>
  </si>
  <si>
    <t>http://pbs.twimg.com/profile_images/1496892183500279816/QgGV7KZZ_normal.jpg</t>
  </si>
  <si>
    <t>#SouthWest, #England, #UK, #EU</t>
  </si>
  <si>
    <t>http://twitter.com/VineyBernard/statuses/1521001364545015808</t>
  </si>
  <si>
    <t>1521001354214486023</t>
  </si>
  <si>
    <t>enobkered1</t>
  </si>
  <si>
    <t>Mon May 02 05:39:16 +0000 2022</t>
  </si>
  <si>
    <t>738289804866162688</t>
  </si>
  <si>
    <t>http://pbs.twimg.com/profile_images/1138526177684074496/tMlIuFnz_normal.jpg</t>
  </si>
  <si>
    <t>Norwich et La Fontenelle</t>
  </si>
  <si>
    <t>http://twitter.com/enobkered1/statuses/1521001354214486023</t>
  </si>
  <si>
    <t>1521001109099229185</t>
  </si>
  <si>
    <t>ga_richardson</t>
  </si>
  <si>
    <t>#UK was like the proverbial frog in a pot for 40+ yrs then, finally realizing what was happening, it hopped out in the nick of time. Best wishes to the other ~50 European nations including #EU27 but it should be clear that #Brexit was the best choice in 2016 #EUref. @Canzuk_APPG https://t.co/OT2fY9te6o</t>
  </si>
  <si>
    <t>Mon May 02 05:38:17 +0000 2022</t>
  </si>
  <si>
    <t>846078295</t>
  </si>
  <si>
    <t>http://pbs.twimg.com/profile_images/1501361720446488581/sGLeksAX_normal.jpg</t>
  </si>
  <si>
    <t>Vancouver, British Columbia</t>
  </si>
  <si>
    <t>http://twitter.com/ga_richardson/statuses/1521001109099229185</t>
  </si>
  <si>
    <t>{"hashtags":[{"text":"UK","indices":[0,3]},{"text":"EU27","indices":[189,194]},{"text":"Brexit","indices":[223,230]},{"text":"EUref","indices":[259,265]}],"symbols":[],"user_mentions":[{"screen_name":"Canzuk_APPG","name":"Canzuk APPG","id":1304005501001388000,"id_str":"1304005501001388033","indices":[267,279]}],"urls":[{"url":"https://t.co/OT2fY9te6o","expanded_url":"https://twitter.com/guyverhofstadt/status/1520336571945426945","display_url":"twitter.com/guyverhofstadt…","indices":[280,303]}]}</t>
  </si>
  <si>
    <t>1521001009434222592</t>
  </si>
  <si>
    <t>gilliecriosd</t>
  </si>
  <si>
    <t>@trussliz @Conservatives Is this a f@cking joke? #Brexit #etc</t>
  </si>
  <si>
    <t>Mon May 02 05:37:54 +0000 2022</t>
  </si>
  <si>
    <t>65357102</t>
  </si>
  <si>
    <t>trussliz</t>
  </si>
  <si>
    <t>784889895533711360</t>
  </si>
  <si>
    <t>1520438833237667841</t>
  </si>
  <si>
    <t>http://pbs.twimg.com/profile_images/784894275943272448/yy2ofP22_normal.jpg</t>
  </si>
  <si>
    <t>http://twitter.com/gilliecriosd/statuses/1521001009434222592</t>
  </si>
  <si>
    <t>{"hashtags":[{"text":"Brexit","indices":[49,56]},{"text":"etc","indices":[57,61]}],"symbols":[],"user_mentions":[{"screen_name":"trussliz","name":"Liz Truss","id":65357102,"id_str":"65357102","indices":[0,9]},{"screen_name":"Conservatives","name":"Conservatives","id":14281853,"id_str":"14281853","indices":[10,24]}],"urls":[]}</t>
  </si>
  <si>
    <t>1521000998684217344</t>
  </si>
  <si>
    <t>DNewtonC</t>
  </si>
  <si>
    <t>@averdad29206350 @GaryQuittenton @campbellclaret Nightingale hospitals required extra staff.
With #Brexit and @ukhomeoffice #HostileEnvironment EU nationals who were nurses, went home !
Hospitals are short-staffed, as it is.
#BrexitReality</t>
  </si>
  <si>
    <t>Mon May 02 05:37:51 +0000 2022</t>
  </si>
  <si>
    <t>1428266631529107458</t>
  </si>
  <si>
    <t>averdad29206350</t>
  </si>
  <si>
    <t>1896835741</t>
  </si>
  <si>
    <t>1520883750523056128</t>
  </si>
  <si>
    <t>http://pbs.twimg.com/profile_images/1500409329266176002/YZm6pbZt_normal.jpg</t>
  </si>
  <si>
    <t>Auderghem, Belgique</t>
  </si>
  <si>
    <t>http://twitter.com/DNewtonC/statuses/1521000998684217344</t>
  </si>
  <si>
    <t>{"hashtags":[{"text":"Brexit","indices":[99,106]},{"text":"HostileEnvironment","indices":[125,144]},{"text":"BrexitReality","indices":[228,242]}],"symbols":[],"user_mentions":[{"screen_name":"averdad29206350","name":"a verdade","id":1428266631529107500,"id_str":"1428266631529107458","indices":[0,16]},{"screen_name":"GaryQuittenton","name":"Gary Quittenton-Shaw FBPE 🇸🇪 🇩🇰 🇫🇮 🇺🇦 🇪🇺","id":1206271461750644700,"id_str":"1206271461750644736","indices":[17,32]},{"screen_name":"campbellclaret","name":"ALASTAIR CAMPBELL","id":19644592,"id_str":"19644592","indices":[33,48]},{"screen_name":"ukhomeoffice","name":"Home Office","id":138037459,"id_str":"138037459","indices":[111,124]}],"urls":[]}</t>
  </si>
  <si>
    <t>1521000973036097538</t>
  </si>
  <si>
    <t>tonyach1972</t>
  </si>
  <si>
    <t>RT @AHaglington: 2016 #UK 70m pop.
17m voted leave.
53m did NOT vote for #Brexit.
🔥
#BREXIT ISOLATION NOW WRECKING THE UK ECONOMY 
#BrexitHighPrices
#BrexitLowPound
#BrexitHighTaxes
#BrexitRedTape
#BrexitLorryQueues
#BrexitShortage 
#BrexitCostOfLivingCrisis
#BrexitDisaster
BREXIT CRASH</t>
  </si>
  <si>
    <t>Mon May 02 05:37:45 +0000 2022</t>
  </si>
  <si>
    <t>1412492535331799050</t>
  </si>
  <si>
    <t>http://pbs.twimg.com/profile_images/1498609405708877825/Xu97b4xu_normal.jpg</t>
  </si>
  <si>
    <t>http://twitter.com/tonyach1972/statuses/1521000973036097538</t>
  </si>
  <si>
    <t>{"hashtags":[{"text":"UK","indices":[22,25]},{"text":"Brexit","indices":[73,80]},{"text":"BREXIT","indices":[84,91]}],"symbols":[],"user_mentions":[{"screen_name":"AHaglington","name":"Andrew Haglington 🇪🇺 #RejoinEU","id":89438779,"id_str":"89438779","indices":[3,15]}],"urls":[]}</t>
  </si>
  <si>
    <t>1521000953431961606</t>
  </si>
  <si>
    <t>mark0llyn</t>
  </si>
  <si>
    <t>Mon May 02 05:37:40 +0000 2022</t>
  </si>
  <si>
    <t>1247266545929277440</t>
  </si>
  <si>
    <t>http://pbs.twimg.com/profile_images/1511349722073677833/y1EMf1E6_normal.jpg</t>
  </si>
  <si>
    <t xml:space="preserve">Teyrnas Unedig
</t>
  </si>
  <si>
    <t>http://twitter.com/mark0llyn/statuses/1521000953431961606</t>
  </si>
  <si>
    <t>1521000918124220416</t>
  </si>
  <si>
    <t>KneePeter</t>
  </si>
  <si>
    <t>Mon May 02 05:37:32 +0000 2022</t>
  </si>
  <si>
    <t>950673949729460224</t>
  </si>
  <si>
    <t>http://pbs.twimg.com/profile_images/1458740162113024000/gvrtQRSi_normal.jpg</t>
  </si>
  <si>
    <t>http://twitter.com/KneePeter/statuses/1521000918124220416</t>
  </si>
  <si>
    <t>1521000911656656896</t>
  </si>
  <si>
    <t>Mon May 02 05:37:30 +0000 2022</t>
  </si>
  <si>
    <t>http://twitter.com/jcjumble/statuses/1521000911656656896</t>
  </si>
  <si>
    <t>1521000875073888256</t>
  </si>
  <si>
    <t>Mon May 02 05:37:22 +0000 2022</t>
  </si>
  <si>
    <t>http://twitter.com/jcjumble/statuses/1521000875073888256</t>
  </si>
  <si>
    <t>1521000836679221248</t>
  </si>
  <si>
    <t>Mon May 02 05:37:12 +0000 2022</t>
  </si>
  <si>
    <t>http://twitter.com/rec777777/statuses/1521000836679221248</t>
  </si>
  <si>
    <t>1521000786444046336</t>
  </si>
  <si>
    <t>@JohnJCrace Not sure @UKLabour cheating democracy and it's 5 million leave voters is a very good strategy for them.
Great for the @LibDems though. Nobody trusts them anyway.
@GBNEWS @BBCNews 
#Brexit</t>
  </si>
  <si>
    <t>Mon May 02 05:37:00 +0000 2022</t>
  </si>
  <si>
    <t>43077278</t>
  </si>
  <si>
    <t>JohnJCrace</t>
  </si>
  <si>
    <t>1520689687731576834</t>
  </si>
  <si>
    <t>http://twitter.com/rec777777/statuses/1521000786444046336</t>
  </si>
  <si>
    <t>{"hashtags":[{"text":"Brexit","indices":[195,202]}],"symbols":[],"user_mentions":[{"screen_name":"JohnJCrace","name":"John Crace","id":43077278,"id_str":"43077278","indices":[0,11]},{"screen_name":"UKLabour","name":"The Labour Party","id":14291684,"id_str":"14291684","indices":[21,30]},{"screen_name":"LibDems","name":"Liberal Democrats","id":5680622,"id_str":"5680622","indices":[131,139]},{"screen_name":"GBNEWS","name":"GB News","id":1339166129110065200,"id_str":"1339166129110065152","indices":[176,183]},{"screen_name":"BBCNews","name":"BBC News (UK)","id":612473,"id_str":"612473","indices":[184,192]}],"urls":[]}</t>
  </si>
  <si>
    <t>1521000765871038464</t>
  </si>
  <si>
    <t>Mon May 02 05:36:56 +0000 2022</t>
  </si>
  <si>
    <t>http://twitter.com/jcjumble/statuses/1521000765871038464</t>
  </si>
  <si>
    <t>1521000753946583042</t>
  </si>
  <si>
    <t>Mon May 02 05:36:53 +0000 2022</t>
  </si>
  <si>
    <t>http://twitter.com/jcjumble/statuses/1521000753946583042</t>
  </si>
  <si>
    <t>1521000649739186177</t>
  </si>
  <si>
    <t>VincentCantrill</t>
  </si>
  <si>
    <t>Mon May 02 05:36:28 +0000 2022</t>
  </si>
  <si>
    <t>245074436</t>
  </si>
  <si>
    <t>http://pbs.twimg.com/profile_images/1353600101/VPC_0745-Edit1_copy_normal.jpg</t>
  </si>
  <si>
    <t>West Midlands</t>
  </si>
  <si>
    <t>http://twitter.com/VincentCantrill/statuses/1521000649739186177</t>
  </si>
  <si>
    <t>1521000617191383041</t>
  </si>
  <si>
    <t>travellersuzy</t>
  </si>
  <si>
    <t>Mon May 02 05:36:20 +0000 2022</t>
  </si>
  <si>
    <t>3392487700</t>
  </si>
  <si>
    <t>http://pbs.twimg.com/profile_images/1496817002127581184/G2SE4n1B_normal.png</t>
  </si>
  <si>
    <t>http://twitter.com/travellersuzy/statuses/1521000617191383041</t>
  </si>
  <si>
    <t>1521000506457567234</t>
  </si>
  <si>
    <t>RT @AgendaForReform: @Anna_Soubry Anna I expect you read https://t.co/XpDTMpEqpZ 
For the last six years it has provided an expert commentary on #Brexit exposing all the dishonesty and incompetence of a government totally out of its depth. Policy makers and media ignore this at our peril.</t>
  </si>
  <si>
    <t>Mon May 02 05:35:54 +0000 2022</t>
  </si>
  <si>
    <t>http://twitter.com/Meltarps75Mel/statuses/1521000506457567234</t>
  </si>
  <si>
    <t>{"hashtags":[],"symbols":[],"user_mentions":[{"screen_name":"AgendaForReform","name":"AgendaForReform","id":3769352597,"id_str":"3769352597","indices":[3,19]},{"screen_name":"Anna_Soubry","name":"Anna Soubry","id":326184301,"id_str":"326184301","indices":[21,33]}],"urls":[{"url":"https://t.co/XpDTMpEqpZ","expanded_url":"https://chrisgreybrexitblog.blogspot.com/2022/04/six-years-of-failure.html?m=1","display_url":"chrisgreybrexitblog.blogspot.com/2022/04/six-ye…","indices":[57,80]}]}</t>
  </si>
  <si>
    <t>1521000424316317696</t>
  </si>
  <si>
    <t>turrabuddie</t>
  </si>
  <si>
    <t>RT @political_wasp: So @BorisJohnson @ConHome @Conservatives at what price did YOU "Get #Brexit done"? the end of the UK?
"Sínn Féin look set to make history by becoming the largest party in the Northern Ireland Assembly"</t>
  </si>
  <si>
    <t>Mon May 02 05:35:34 +0000 2022</t>
  </si>
  <si>
    <t>1972009579</t>
  </si>
  <si>
    <t>http://twitter.com/turrabuddie/statuses/1521000424316317696</t>
  </si>
  <si>
    <t>{"hashtags":[{"text":"Brexit","indices":[88,95]}],"symbols":[],"user_mentions":[{"screen_name":"political_wasp","name":"Stephen John 🕷 Expose #ToryCorruption &amp; Lies🐈","id":977302343552204800,"id_str":"977302343552204805","indices":[3,18]},{"screen_name":"BorisJohnson","name":"Boris Johnson","id":3131144855,"id_str":"3131144855","indices":[23,36]},{"screen_name":"ConHome","name":"ConservativeHome","id":159992511,"id_str":"159992511","indices":[37,45]},{"screen_name":"Conservatives","name":"Conservatives","id":14281853,"id_str":"14281853","indices":[46,60]}],"urls":[]}</t>
  </si>
  <si>
    <t>1521000414593835008</t>
  </si>
  <si>
    <t>Keith99352796</t>
  </si>
  <si>
    <t>@AlanPavelin @DailyMailUK Are you having a laugh? Protected #Labour over child rapists &amp;amp; paid £750k to do so, lied about respecting peoples vote for #Brexit Protected Saville &amp;amp; Worboys, lied about parties, lied about the medicines agency lied about the Queen He is worse than his coverup’s</t>
  </si>
  <si>
    <t>Mon May 02 05:35:32 +0000 2022</t>
  </si>
  <si>
    <t>731119092</t>
  </si>
  <si>
    <t>AlanPavelin</t>
  </si>
  <si>
    <t>1303391120878166017</t>
  </si>
  <si>
    <t>1520701474833063936</t>
  </si>
  <si>
    <t>http://pbs.twimg.com/profile_images/1421815020107747328/NjN2kEts_normal.jpg</t>
  </si>
  <si>
    <t>http://twitter.com/Keith99352796/statuses/1521000414593835008</t>
  </si>
  <si>
    <t>{"hashtags":[{"text":"Labour","indices":[60,67]},{"text":"Brexit","indices":[153,160]}],"symbols":[],"user_mentions":[{"screen_name":"AlanPavelin","name":"Алан Павелін #FBPE Electoral Reform Now 🇪🇺🇺🇦","id":731119092,"id_str":"731119092","indices":[0,12]},{"screen_name":"DailyMailUK","name":"Daily Mail U.K.","id":111556423,"id_str":"111556423","indices":[13,25]}],"urls":[]}</t>
  </si>
  <si>
    <t>1521000377436491776</t>
  </si>
  <si>
    <t>jantesays</t>
  </si>
  <si>
    <t>Mon May 02 05:35:23 +0000 2022</t>
  </si>
  <si>
    <t>138890465</t>
  </si>
  <si>
    <t>http://pbs.twimg.com/profile_images/1101317882/Selvportrett_normal.jpg</t>
  </si>
  <si>
    <t>Bergen, Norway</t>
  </si>
  <si>
    <t>http://twitter.com/jantesays/statuses/1521000377436491776</t>
  </si>
  <si>
    <t>1521000374580264960</t>
  </si>
  <si>
    <t>arnold_loz</t>
  </si>
  <si>
    <t>Mon May 02 05:35:22 +0000 2022</t>
  </si>
  <si>
    <t>2876268575</t>
  </si>
  <si>
    <t>http://pbs.twimg.com/profile_images/1464632419487825923/6oYnGGy8_normal.jpg</t>
  </si>
  <si>
    <t>http://twitter.com/arnold_loz/statuses/1521000374580264960</t>
  </si>
  <si>
    <t>1521000268757880832</t>
  </si>
  <si>
    <t>Mon May 02 05:34:57 +0000 2022</t>
  </si>
  <si>
    <t>http://twitter.com/toadovision/statuses/1521000268757880832</t>
  </si>
  <si>
    <t>1521000200185290754</t>
  </si>
  <si>
    <t>Mon May 02 05:34:41 +0000 2022</t>
  </si>
  <si>
    <t>http://twitter.com/JulieCuninghame/statuses/1521000200185290754</t>
  </si>
  <si>
    <t>1521000088813899776</t>
  </si>
  <si>
    <t>dewderino</t>
  </si>
  <si>
    <t>Mon May 02 05:34:14 +0000 2022</t>
  </si>
  <si>
    <t>713140781</t>
  </si>
  <si>
    <t>http://pbs.twimg.com/profile_images/378800000591256719/f209d0035321cfd24a86aee2c943f50b_normal.jpeg</t>
  </si>
  <si>
    <t>http://twitter.com/dewderino/statuses/1521000088813899776</t>
  </si>
  <si>
    <t>1521000086104330240</t>
  </si>
  <si>
    <t>LauraPh27961838</t>
  </si>
  <si>
    <t>Mon May 02 05:34:13 +0000 2022</t>
  </si>
  <si>
    <t>1159917887857057794</t>
  </si>
  <si>
    <t>http://pbs.twimg.com/profile_images/1176673565808177152/tpWrmtUq_normal.jpg</t>
  </si>
  <si>
    <t>http://twitter.com/LauraPh27961838/statuses/1521000086104330240</t>
  </si>
  <si>
    <t>1521000084460216320</t>
  </si>
  <si>
    <t>icallen1</t>
  </si>
  <si>
    <t>105082720</t>
  </si>
  <si>
    <t>http://pbs.twimg.com/profile_images/736649264064004096/9Hlv1en2_normal.jpg</t>
  </si>
  <si>
    <t>http://twitter.com/icallen1/statuses/1521000084460216320</t>
  </si>
  <si>
    <t>1521000079326433281</t>
  </si>
  <si>
    <t>DavidEvanJames</t>
  </si>
  <si>
    <t>Mon May 02 05:34:12 +0000 2022</t>
  </si>
  <si>
    <t>2150534064</t>
  </si>
  <si>
    <t>http://pbs.twimg.com/profile_images/378800000716975263/febe9323464734398272c4c9841fe44a_normal.jpeg</t>
  </si>
  <si>
    <t>Bristol</t>
  </si>
  <si>
    <t>http://twitter.com/DavidEvanJames/statuses/1521000079326433281</t>
  </si>
  <si>
    <t>1520999878117269509</t>
  </si>
  <si>
    <t>magapanthus</t>
  </si>
  <si>
    <t>Mon May 02 05:33:24 +0000 2022</t>
  </si>
  <si>
    <t>110460403</t>
  </si>
  <si>
    <t>http://pbs.twimg.com/profile_images/872420798899904512/deKvv7gW_normal.jpg</t>
  </si>
  <si>
    <t>http://twitter.com/magapanthus/statuses/1520999878117269509</t>
  </si>
  <si>
    <t>1520999858622152704</t>
  </si>
  <si>
    <t>Mon May 02 05:33:19 +0000 2022</t>
  </si>
  <si>
    <t>http://twitter.com/magapanthus/statuses/1520999858622152704</t>
  </si>
  <si>
    <t>1520999849730228224</t>
  </si>
  <si>
    <t>SilverSniper007</t>
  </si>
  <si>
    <t>Mon May 02 05:33:17 +0000 2022</t>
  </si>
  <si>
    <t>1264574066750562305</t>
  </si>
  <si>
    <t>http://pbs.twimg.com/profile_images/1267061019035217921/mff_Kyc2_normal.jpg</t>
  </si>
  <si>
    <t>http://twitter.com/SilverSniper007/statuses/1520999849730228224</t>
  </si>
  <si>
    <t>1520999811465494528</t>
  </si>
  <si>
    <t>Mon May 02 05:33:08 +0000 2022</t>
  </si>
  <si>
    <t>http://twitter.com/magapanthus/statuses/1520999811465494528</t>
  </si>
  <si>
    <t>1520999796101767168</t>
  </si>
  <si>
    <t>Mon May 02 05:33:04 +0000 2022</t>
  </si>
  <si>
    <t>http://twitter.com/magapanthus/statuses/1520999796101767168</t>
  </si>
  <si>
    <t>1520999785523814400</t>
  </si>
  <si>
    <t>Mon May 02 05:33:02 +0000 2022</t>
  </si>
  <si>
    <t>http://twitter.com/magapanthus/statuses/1520999785523814400</t>
  </si>
  <si>
    <t>1520999773784129538</t>
  </si>
  <si>
    <t>Dermot52448258</t>
  </si>
  <si>
    <t>Mon May 02 05:32:59 +0000 2022</t>
  </si>
  <si>
    <t>1220298920707809281</t>
  </si>
  <si>
    <t>http://pbs.twimg.com/profile_images/1506770106814443532/FG7tf7C8_normal.jpg</t>
  </si>
  <si>
    <t>Sydney, New South Wales</t>
  </si>
  <si>
    <t>http://twitter.com/Dermot52448258/statuses/1520999773784129538</t>
  </si>
  <si>
    <t>1520999750404870144</t>
  </si>
  <si>
    <t>jorgeop27</t>
  </si>
  <si>
    <t>Mon May 02 05:32:53 +0000 2022</t>
  </si>
  <si>
    <t>52942902</t>
  </si>
  <si>
    <t>http://pbs.twimg.com/profile_images/1246010539047714816/Q2u6sFNE_normal.jpg</t>
  </si>
  <si>
    <t>http://twitter.com/jorgeop27/statuses/1520999750404870144</t>
  </si>
  <si>
    <t>1520999632507125760</t>
  </si>
  <si>
    <t>Mon May 02 05:32:25 +0000 2022</t>
  </si>
  <si>
    <t>http://twitter.com/rec777777/statuses/1520999632507125760</t>
  </si>
  <si>
    <t>1520999548138795008</t>
  </si>
  <si>
    <t>@Femi_Sorry #Brexit was PR.
Respect our democracy 
The country doesn't want a coalition of losers.</t>
  </si>
  <si>
    <t>Mon May 02 05:32:05 +0000 2022</t>
  </si>
  <si>
    <t>234694571</t>
  </si>
  <si>
    <t>Femi_Sorry</t>
  </si>
  <si>
    <t>1520741144644263936</t>
  </si>
  <si>
    <t>http://twitter.com/rec777777/statuses/1520999548138795008</t>
  </si>
  <si>
    <t>{"hashtags":[{"text":"Brexit","indices":[12,19]}],"symbols":[],"user_mentions":[{"screen_name":"Femi_Sorry","name":"Femi","id":234694571,"id_str":"234694571","indices":[0,11]}],"urls":[]}</t>
  </si>
  <si>
    <t>1520999446229794816</t>
  </si>
  <si>
    <t>Mistywoman1</t>
  </si>
  <si>
    <t>Mon May 02 05:31:41 +0000 2022</t>
  </si>
  <si>
    <t>1067298345536970752</t>
  </si>
  <si>
    <t>http://pbs.twimg.com/profile_images/1470777507431522315/SwetbKLV_normal.jpg</t>
  </si>
  <si>
    <t xml:space="preserve">Lincolnshire </t>
  </si>
  <si>
    <t>http://twitter.com/Mistywoman1/statuses/1520999446229794816</t>
  </si>
  <si>
    <t>1520999437954334722</t>
  </si>
  <si>
    <t>Eades_Tweets</t>
  </si>
  <si>
    <t>Mon May 02 05:31:39 +0000 2022</t>
  </si>
  <si>
    <t>118606886</t>
  </si>
  <si>
    <t>http://pbs.twimg.com/profile_images/1504356928255897600/SPOkqi-t_normal.jpg</t>
  </si>
  <si>
    <t>Royal Leamington Spa</t>
  </si>
  <si>
    <t>http://twitter.com/Eades_Tweets/statuses/1520999437954334722</t>
  </si>
  <si>
    <t>1520999313509335046</t>
  </si>
  <si>
    <t>Mon May 02 05:31:09 +0000 2022</t>
  </si>
  <si>
    <t>http://twitter.com/Meltarps75Mel/statuses/1520999313509335046</t>
  </si>
  <si>
    <t>1520999260002697218</t>
  </si>
  <si>
    <t>LozzB59</t>
  </si>
  <si>
    <t>Mon May 02 05:30:57 +0000 2022</t>
  </si>
  <si>
    <t>131275851</t>
  </si>
  <si>
    <t>http://pbs.twimg.com/profile_images/1638554294/image_normal.jpg</t>
  </si>
  <si>
    <t>http://twitter.com/LozzB59/statuses/1520999260002697218</t>
  </si>
  <si>
    <t>1520999233758801921</t>
  </si>
  <si>
    <t>anonHaak</t>
  </si>
  <si>
    <t>@dilpreet_031182 @saket71 Are they responsible for the Loot of Indian tax payers by giving illegal housing in lieu of fake VoterIDs to illegal migrants
then giving special aid to the world's largest Muslim population to secure those fake VoterIDs
This is WHY #BREXIT  happened
#HindusUnderAttackInIndia</t>
  </si>
  <si>
    <t>Mon May 02 05:30:50 +0000 2022</t>
  </si>
  <si>
    <t>123480240</t>
  </si>
  <si>
    <t>dilpreet_031182</t>
  </si>
  <si>
    <t>63655381</t>
  </si>
  <si>
    <t>1520964110376079361</t>
  </si>
  <si>
    <t>http://pbs.twimg.com/profile_images/1520686847373893633/ZD3kgKs9_normal.jpg</t>
  </si>
  <si>
    <t>Goa, India</t>
  </si>
  <si>
    <t>http://twitter.com/anonHaak/statuses/1520999233758801921</t>
  </si>
  <si>
    <t>{"hashtags":[{"text":"BREXIT","indices":[259,266]},{"text":"HindusUnderAttackInIndia","indices":[277,302]}],"symbols":[],"user_mentions":[{"screen_name":"dilpreet_031182","name":"Dilpreet_Kaurr","id":123480240,"id_str":"123480240","indices":[0,16]},{"screen_name":"saket71","name":"saket साकेत ಸಾಕೇತ್ 🇮🇳","id":67835392,"id_str":"67835392","indices":[17,25]}],"urls":[]}</t>
  </si>
  <si>
    <t>1520998831223099392</t>
  </si>
  <si>
    <t>RolandCPowell</t>
  </si>
  <si>
    <t>RT @PShootLFWW: @PlanetZuma @CarolineLucas #JohnsonOut96 #ToriesOut #ToriesPartiedWhilePeopleDied #Brexit #BrexitReality #Covid #CostOfLivingCrisis</t>
  </si>
  <si>
    <t>Mon May 02 05:29:14 +0000 2022</t>
  </si>
  <si>
    <t>2332502833</t>
  </si>
  <si>
    <t>http://pbs.twimg.com/profile_images/1494004557604704256/2KdVxnHx_normal.jpg</t>
  </si>
  <si>
    <t>South Yorks High on a hill.</t>
  </si>
  <si>
    <t>http://twitter.com/RolandCPowell/statuses/1520998831223099392</t>
  </si>
  <si>
    <t>{"hashtags":[{"text":"JohnsonOut96","indices":[43,56]},{"text":"ToriesOut","indices":[57,67]},{"text":"ToriesPartiedWhilePeopleDied","indices":[68,97]},{"text":"Brexit","indices":[98,105]},{"text":"BrexitReality","indices":[106,120]},{"text":"Covid","indices":[121,127]}],"symbols":[],"user_mentions":[{"screen_name":"PShootLFWW","name":"P (Lady P of Soggy Bottom)🇮🇪 🇺🇦🇪🇺💙😷","id":1140575482854948900,"id_str":"1140575482854948864","indices":[3,14]},{"screen_name":"PlanetZuma","name":"Non-Non-Dom #CitizenofNowhere 🇪🇺 🇿🇦 (🇬🇧)","id":1257158389,"id_str":"1257158389","indices":[16,27]},{"screen_name":"CarolineLucas","name":"Caroline Lucas","id":80802900,"id_str":"80802900","indices":[28,42]}],"urls":[]}</t>
  </si>
  <si>
    <t>1520998502838734848</t>
  </si>
  <si>
    <t>007dnf</t>
  </si>
  <si>
    <t>@shirley738213 @Keir_Starmer We shouldn’t forget #Brexit</t>
  </si>
  <si>
    <t>Mon May 02 05:27:56 +0000 2022</t>
  </si>
  <si>
    <t>3409002023</t>
  </si>
  <si>
    <t>shirley738213</t>
  </si>
  <si>
    <t>1462408160589799424</t>
  </si>
  <si>
    <t>1520695253602349058</t>
  </si>
  <si>
    <t>http://pbs.twimg.com/profile_images/1475485522978127878/WNsdfax5_normal.jpg</t>
  </si>
  <si>
    <t>http://twitter.com/007dnf/statuses/1520998502838734848</t>
  </si>
  <si>
    <t>{"hashtags":[{"text":"Brexit","indices":[49,56]}],"symbols":[],"user_mentions":[{"screen_name":"shirley738213","name":"Shirley Williamson","id":3409002023,"id_str":"3409002023","indices":[0,14]},{"screen_name":"Keir_Starmer","name":"Keir Starmer","id":2425571623,"id_str":"2425571623","indices":[15,28]}],"urls":[]}</t>
  </si>
  <si>
    <t>1520998444177006592</t>
  </si>
  <si>
    <t>JimPybus</t>
  </si>
  <si>
    <t>Mon May 02 05:27:42 +0000 2022</t>
  </si>
  <si>
    <t>728079722</t>
  </si>
  <si>
    <t>http://pbs.twimg.com/profile_images/552956206629679104/XyINPF7W_normal.jpeg</t>
  </si>
  <si>
    <t>http://twitter.com/JimPybus/statuses/1520998444177006592</t>
  </si>
  <si>
    <t>1520998405522300932</t>
  </si>
  <si>
    <t>DudleydeBeau</t>
  </si>
  <si>
    <t>@NicholasTyrone Mogg &amp;amp; Co. were amply warned of the economic &amp;amp; political consequences of #Brexit. The fact is that they knew &amp;amp; ignored this for personal greed. The only plan was execute, threaten &amp;amp; bluff. At least they have their constant blame game opponent for when things go wrong</t>
  </si>
  <si>
    <t>Mon May 02 05:27:33 +0000 2022</t>
  </si>
  <si>
    <t>631865146</t>
  </si>
  <si>
    <t>NicholasTyrone</t>
  </si>
  <si>
    <t>462916855</t>
  </si>
  <si>
    <t>1520329558817390593</t>
  </si>
  <si>
    <t>http://pbs.twimg.com/profile_images/1447598761962786826/KkgrAoeh_normal.jpg</t>
  </si>
  <si>
    <t>http://twitter.com/DudleydeBeau/statuses/1520998405522300932</t>
  </si>
  <si>
    <t>{"hashtags":[{"text":"Brexit","indices":[97,104]}],"symbols":[],"user_mentions":[{"screen_name":"NicholasTyrone","name":"Nick Tyrone","id":631865146,"id_str":"631865146","indices":[0,15]}],"urls":[]}</t>
  </si>
  <si>
    <t>1520998368222363648</t>
  </si>
  <si>
    <t>Tomster72</t>
  </si>
  <si>
    <t>My main reflection on the 25 years since Tony Blair won is that if today’s Labour Party had @campbellclaret doing it’s comms #brexit wd be seen as the bust it is &amp;amp; British public wldnt be so immune to #BorisJohnson mountain of lies, failures and corruption</t>
  </si>
  <si>
    <t>Mon May 02 05:27:24 +0000 2022</t>
  </si>
  <si>
    <t>296120365</t>
  </si>
  <si>
    <t>http://pbs.twimg.com/profile_images/1473024269202436106/6FCHfEXi_normal.jpg</t>
  </si>
  <si>
    <t xml:space="preserve">France/world </t>
  </si>
  <si>
    <t>http://twitter.com/Tomster72/statuses/1520998368222363648</t>
  </si>
  <si>
    <t>{"hashtags":[{"text":"brexit","indices":[125,132]},{"text":"BorisJohnson","indices":[205,218]}],"symbols":[],"user_mentions":[{"screen_name":"campbellclaret","name":"ALASTAIR CAMPBELL","id":19644592,"id_str":"19644592","indices":[92,107]}],"urls":[]}</t>
  </si>
  <si>
    <t>1520998332872679426</t>
  </si>
  <si>
    <t>Mon May 02 05:27:15 +0000 2022</t>
  </si>
  <si>
    <t>http://twitter.com/Meltarps75Mel/statuses/1520998332872679426</t>
  </si>
  <si>
    <t>1520998271895834624</t>
  </si>
  <si>
    <t>Who are you?
Are you responsible for the Loot of Indian tax payers by giving illegal housing in lieu of fake VoterIDs to illegal migrants
then giving special aid to the world's largest Muslim population to secure those fake VoterIDs
This is WHY #BREXIT 
#HindusUnderAttackInIndia https://t.co/Js25eugWvW</t>
  </si>
  <si>
    <t>Mon May 02 05:27:01 +0000 2022</t>
  </si>
  <si>
    <t>http://twitter.com/anonHaak/statuses/1520998271895834624</t>
  </si>
  <si>
    <t>{"hashtags":[{"text":"BREXIT","indices":[245,252]},{"text":"HindusUnderAttackInIndia","indices":[254,279]}],"symbols":[],"user_mentions":[],"urls":[{"url":"https://t.co/Js25eugWvW","expanded_url":"https://twitter.com/NadiaWhittomeMP/status/1519677017012289536","display_url":"twitter.com/NadiaWhittomeM…","indices":[280,303]}]}</t>
  </si>
  <si>
    <t>1520998231882276865</t>
  </si>
  <si>
    <t>harding0764</t>
  </si>
  <si>
    <t>Mon May 02 05:26:51 +0000 2022</t>
  </si>
  <si>
    <t>2149407431</t>
  </si>
  <si>
    <t>http://pbs.twimg.com/profile_images/1015496930175127552/74Xx89ln_normal.jpg</t>
  </si>
  <si>
    <t>EUrope (Wiltshire UK)</t>
  </si>
  <si>
    <t>http://twitter.com/harding0764/statuses/1520998231882276865</t>
  </si>
  <si>
    <t>1520998175368261633</t>
  </si>
  <si>
    <t>Mon May 02 05:26:38 +0000 2022</t>
  </si>
  <si>
    <t>http://twitter.com/Meltarps75Mel/statuses/1520998175368261633</t>
  </si>
  <si>
    <t>1520998149216563200</t>
  </si>
  <si>
    <t>@NadiaWhittomeMP Who are you?
Are you responsible for the Loot of Indian tax payers by giving illegal housing in lieu of fake VoterIDs to illegal migrants
then giving special aid to the world's largest Muslim population to secure those fake VoterIDs
This is WHY #BREXIT 
#HindusUnderAttackInIndia</t>
  </si>
  <si>
    <t>Mon May 02 05:26:32 +0000 2022</t>
  </si>
  <si>
    <t>576682647</t>
  </si>
  <si>
    <t>NadiaWhittomeMP</t>
  </si>
  <si>
    <t>1519677017012289536</t>
  </si>
  <si>
    <t>http://twitter.com/anonHaak/statuses/1520998149216563200</t>
  </si>
  <si>
    <t>{"hashtags":[{"text":"BREXIT","indices":[262,269]},{"text":"HindusUnderAttackInIndia","indices":[271,296]}],"symbols":[],"user_mentions":[{"screen_name":"NadiaWhittomeMP","name":"Nadia Whittome MP","id":576682647,"id_str":"576682647","indices":[0,16]}],"urls":[]}</t>
  </si>
  <si>
    <t>1520998147891339264</t>
  </si>
  <si>
    <t>Mon May 02 05:26:31 +0000 2022</t>
  </si>
  <si>
    <t>http://twitter.com/Meltarps75Mel/statuses/1520998147891339264</t>
  </si>
  <si>
    <t>1520998122369044480</t>
  </si>
  <si>
    <t>Mon May 02 05:26:25 +0000 2022</t>
  </si>
  <si>
    <t>http://twitter.com/Meltarps75Mel/statuses/1520998122369044480</t>
  </si>
  <si>
    <t>1520998056610652160</t>
  </si>
  <si>
    <t>Mon May 02 05:26:10 +0000 2022</t>
  </si>
  <si>
    <t>http://twitter.com/Meltarps75Mel/statuses/1520998056610652160</t>
  </si>
  <si>
    <t>1520998055805394944</t>
  </si>
  <si>
    <t>HELLO @BBCBreakfast , @bbclaurak , @bbc5live , @BBCBreaking ....... YOU SEEM TO BE IGNORING THIS JUST LIKE THE DUNGHEAP THAT IS #Brexit 
PROTECTING THE #ToryCriminalsUnfitToGovern AGAIN MUCH?🙄 https://t.co/jQDtVp6YrT</t>
  </si>
  <si>
    <t>Mon May 02 05:26:09 +0000 2022</t>
  </si>
  <si>
    <t>http://twitter.com/VogonScout/statuses/1520998055805394944</t>
  </si>
  <si>
    <t>{"hashtags":[{"text":"Brexit","indices":[128,135]},{"text":"ToryCriminalsUnfitToGovern","indices":[153,180]}],"symbols":[],"user_mentions":[{"screen_name":"BBCBreakfast","name":"BBC Breakfast","id":143415291,"id_str":"143415291","indices":[6,19]},{"screen_name":"bbclaurak","name":"Laura Kuenssberg","id":61183568,"id_str":"61183568","indices":[22,32]},{"screen_name":"bbc5live","name":"BBC Radio 5 Live","id":7589572,"id_str":"7589572","indices":[35,44]},{"screen_name":"BBCBreaking","name":"BBC Breaking News","id":5402612,"id_str":"5402612","indices":[47,59]}],"urls":[{"url":"https://t.co/jQDtVp6YrT","expanded_url":"https://twitter.com/MirrorPolitics/status/1520901126979297281","display_url":"twitter.com/MirrorPolitics…","indices":[194,217]}]}</t>
  </si>
  <si>
    <t>1520998030538850307</t>
  </si>
  <si>
    <t>margarance</t>
  </si>
  <si>
    <t>Mon May 02 05:26:03 +0000 2022</t>
  </si>
  <si>
    <t>17731966</t>
  </si>
  <si>
    <t>http://pbs.twimg.com/profile_images/1497223426456567847/XEl14Yir_normal.jpg</t>
  </si>
  <si>
    <t>http://twitter.com/margarance/statuses/1520998030538850307</t>
  </si>
  <si>
    <t>1520997738829262848</t>
  </si>
  <si>
    <t>WendyStringer17</t>
  </si>
  <si>
    <t>Mon May 02 05:24:54 +0000 2022</t>
  </si>
  <si>
    <t>1375753060887240707</t>
  </si>
  <si>
    <t>http://pbs.twimg.com/profile_images/1412788261500735502/LTOwq8QG_normal.jpg</t>
  </si>
  <si>
    <t>http://twitter.com/WendyStringer17/statuses/1520997738829262848</t>
  </si>
  <si>
    <t>1520997680545210369</t>
  </si>
  <si>
    <t>WH1959</t>
  </si>
  <si>
    <t>RT @JerryHicksUnite: Remember the Tories said 
"There will be no downside to Brexit" 
"There will be sunlit uplands"
"We hold all the cards" 
Welcome to Brexit
Brits living in Spain face road chaos as they're banned from driving after Brexit fail
https://t.co/9KFtWwOfqw #BrexitLies
#Brexit #GTTO</t>
  </si>
  <si>
    <t>Mon May 02 05:24:40 +0000 2022</t>
  </si>
  <si>
    <t>740104533334970368</t>
  </si>
  <si>
    <t>http://pbs.twimg.com/profile_images/1488448358100393988/tfsrBlbT_normal.jpg</t>
  </si>
  <si>
    <t>Workington, England</t>
  </si>
  <si>
    <t>http://twitter.com/WH1959/statuses/1520997680545210369</t>
  </si>
  <si>
    <t>{"hashtags":[],"symbols":[],"user_mentions":[{"screen_name":"JerryHicksUnite","name":"Jerry Hicks","id":384533439,"id_str":"384533439","indices":[3,19]}],"urls":[]}</t>
  </si>
  <si>
    <t>1520997503751106560</t>
  </si>
  <si>
    <t>micklayhe</t>
  </si>
  <si>
    <t>Mon May 02 05:23:58 +0000 2022</t>
  </si>
  <si>
    <t>2942232456</t>
  </si>
  <si>
    <t>http://pbs.twimg.com/profile_images/831875282512519170/nyeuDIK4_normal.jpg</t>
  </si>
  <si>
    <t>http://twitter.com/micklayhe/statuses/1520997503751106560</t>
  </si>
  <si>
    <t>1520997451133562880</t>
  </si>
  <si>
    <t>ellenwhiteworld</t>
  </si>
  <si>
    <t>Mon May 02 05:23:45 +0000 2022</t>
  </si>
  <si>
    <t>714826269</t>
  </si>
  <si>
    <t>http://pbs.twimg.com/profile_images/514024838504005632/YQWS9u2a_normal.png</t>
  </si>
  <si>
    <t>Forres, Scotland</t>
  </si>
  <si>
    <t>http://twitter.com/ellenwhiteworld/statuses/1520997451133562880</t>
  </si>
  <si>
    <t>1520997427997777920</t>
  </si>
  <si>
    <t>MrESGrey</t>
  </si>
  <si>
    <t>Mon May 02 05:23:40 +0000 2022</t>
  </si>
  <si>
    <t>1487501160084877319</t>
  </si>
  <si>
    <t>http://pbs.twimg.com/profile_images/1487502010727518209/hxzbJcWR_normal.jpg</t>
  </si>
  <si>
    <t>http://twitter.com/MrESGrey/statuses/1520997427997777920</t>
  </si>
  <si>
    <t>1520997306912448513</t>
  </si>
  <si>
    <t>Mon May 02 05:23:11 +0000 2022</t>
  </si>
  <si>
    <t>http://twitter.com/Meltarps75Mel/statuses/1520997306912448513</t>
  </si>
  <si>
    <t>1520997224787984384</t>
  </si>
  <si>
    <t>Claire57139829</t>
  </si>
  <si>
    <t>Mon May 02 05:22:51 +0000 2022</t>
  </si>
  <si>
    <t>1427025920427274241</t>
  </si>
  <si>
    <t>http://pbs.twimg.com/profile_images/1487304190099607556/9YlK0KEK_normal.jpg</t>
  </si>
  <si>
    <t>http://twitter.com/Claire57139829/statuses/1520997224787984384</t>
  </si>
  <si>
    <t>1520997112787386375</t>
  </si>
  <si>
    <t>StecEng22</t>
  </si>
  <si>
    <t>Mon May 02 05:22:25 +0000 2022</t>
  </si>
  <si>
    <t>3039014321</t>
  </si>
  <si>
    <t>Woodmansey, England</t>
  </si>
  <si>
    <t>http://twitter.com/StecEng22/statuses/1520997112787386375</t>
  </si>
  <si>
    <t>1520997043858198528</t>
  </si>
  <si>
    <t>valvebender</t>
  </si>
  <si>
    <t>Mon May 02 05:22:08 +0000 2022</t>
  </si>
  <si>
    <t>129316081</t>
  </si>
  <si>
    <t>http://pbs.twimg.com/profile_images/749605528150704128/jN98kjNt_normal.jpg</t>
  </si>
  <si>
    <t>Langho, Lancashire</t>
  </si>
  <si>
    <t>http://twitter.com/valvebender/statuses/1520997043858198528</t>
  </si>
  <si>
    <t>1520996993291722754</t>
  </si>
  <si>
    <t>Bewlboy</t>
  </si>
  <si>
    <t>Mon May 02 05:21:56 +0000 2022</t>
  </si>
  <si>
    <t>23356712</t>
  </si>
  <si>
    <t>http://pbs.twimg.com/profile_images/1496845812491505666/jG42TsZb_normal.jpg</t>
  </si>
  <si>
    <t>European Union 🇪🇺</t>
  </si>
  <si>
    <t>http://twitter.com/Bewlboy/statuses/1520996993291722754</t>
  </si>
  <si>
    <t>1520996781949083648</t>
  </si>
  <si>
    <t>DutchNewchurch</t>
  </si>
  <si>
    <t>Mon May 02 05:21:06 +0000 2022</t>
  </si>
  <si>
    <t>1157269790957940736</t>
  </si>
  <si>
    <t>http://pbs.twimg.com/profile_images/1157271631196278784/t_OTp3kA_normal.jpg</t>
  </si>
  <si>
    <t>Wessex</t>
  </si>
  <si>
    <t>http://twitter.com/DutchNewchurch/statuses/1520996781949083648</t>
  </si>
  <si>
    <t>1520996444106379266</t>
  </si>
  <si>
    <t>sammwittings</t>
  </si>
  <si>
    <t>Mon May 02 05:19:45 +0000 2022</t>
  </si>
  <si>
    <t>1254449478</t>
  </si>
  <si>
    <t>http://pbs.twimg.com/profile_images/1455487436096745478/YeqNkOnK_normal.jpg</t>
  </si>
  <si>
    <t xml:space="preserve">  Shropshire England </t>
  </si>
  <si>
    <t>http://twitter.com/sammwittings/statuses/1520996444106379266</t>
  </si>
  <si>
    <t>1520996361822478336</t>
  </si>
  <si>
    <t>ScottBIngram</t>
  </si>
  <si>
    <t>Mon May 02 05:19:26 +0000 2022</t>
  </si>
  <si>
    <t>385048410</t>
  </si>
  <si>
    <t>http://pbs.twimg.com/profile_images/2215956789/Cornwall-20120406-00080_normal.jpg</t>
  </si>
  <si>
    <t>http://twitter.com/ScottBIngram/statuses/1520996361822478336</t>
  </si>
  <si>
    <t>1520996305509785601</t>
  </si>
  <si>
    <t>Bumbo13355293</t>
  </si>
  <si>
    <t>Mon May 02 05:19:12 +0000 2022</t>
  </si>
  <si>
    <t>1066378611450675200</t>
  </si>
  <si>
    <t>http://pbs.twimg.com/profile_images/1479370838398930944/peHPbnbM_normal.jpg</t>
  </si>
  <si>
    <t>Cotswolds</t>
  </si>
  <si>
    <t>http://twitter.com/Bumbo13355293/statuses/1520996305509785601</t>
  </si>
  <si>
    <t>1520996261024911360</t>
  </si>
  <si>
    <t>Ewa70327182</t>
  </si>
  <si>
    <t>Mon May 02 05:19:02 +0000 2022</t>
  </si>
  <si>
    <t>1102182054584901632</t>
  </si>
  <si>
    <t>http://pbs.twimg.com/profile_images/1344566137011503104/4TT6cB-5_normal.jpg</t>
  </si>
  <si>
    <t>http://twitter.com/Ewa70327182/statuses/1520996261024911360</t>
  </si>
  <si>
    <t>1520996159522758657</t>
  </si>
  <si>
    <t>Mon May 02 05:18:37 +0000 2022</t>
  </si>
  <si>
    <t>http://twitter.com/Ewa70327182/statuses/1520996159522758657</t>
  </si>
  <si>
    <t>1520996104724267008</t>
  </si>
  <si>
    <t>Mon May 02 05:18:24 +0000 2022</t>
  </si>
  <si>
    <t>http://twitter.com/Ewa70327182/statuses/1520996104724267008</t>
  </si>
  <si>
    <t>1520995966727426048</t>
  </si>
  <si>
    <t>RatherBeAfloat</t>
  </si>
  <si>
    <t>Mon May 02 05:17:51 +0000 2022</t>
  </si>
  <si>
    <t>2275115467</t>
  </si>
  <si>
    <t>http://pbs.twimg.com/profile_images/419501578538610688/5Lp1k9Md_normal.jpeg</t>
  </si>
  <si>
    <t>http://twitter.com/RatherBeAfloat/statuses/1520995966727426048</t>
  </si>
  <si>
    <t>1520995939611254785</t>
  </si>
  <si>
    <t>Therese32449599</t>
  </si>
  <si>
    <t>Mon May 02 05:17:45 +0000 2022</t>
  </si>
  <si>
    <t>1396598464360898561</t>
  </si>
  <si>
    <t>http://pbs.twimg.com/profile_images/1397803703973908480/--c4HO78_normal.jpg</t>
  </si>
  <si>
    <t>http://twitter.com/Therese32449599/statuses/1520995939611254785</t>
  </si>
  <si>
    <t>1520995667463876609</t>
  </si>
  <si>
    <t>pixieglas</t>
  </si>
  <si>
    <t>Mon May 02 05:16:40 +0000 2022</t>
  </si>
  <si>
    <t>14783188</t>
  </si>
  <si>
    <t>http://pbs.twimg.com/profile_images/1456558729462231042/4ynG4Ku__normal.jpg</t>
  </si>
  <si>
    <t>http://twitter.com/pixieglas/statuses/1520995667463876609</t>
  </si>
  <si>
    <t>1520995545153687555</t>
  </si>
  <si>
    <t>Mon May 02 05:16:11 +0000 2022</t>
  </si>
  <si>
    <t>http://twitter.com/harding0764/statuses/1520995545153687555</t>
  </si>
  <si>
    <t>1520995541580189697</t>
  </si>
  <si>
    <t>ammacj</t>
  </si>
  <si>
    <t>Mon May 02 05:16:10 +0000 2022</t>
  </si>
  <si>
    <t>285439171</t>
  </si>
  <si>
    <t>http://pbs.twimg.com/profile_images/2539069517/image_normal.jpg</t>
  </si>
  <si>
    <t>here and there</t>
  </si>
  <si>
    <t>http://twitter.com/ammacj/statuses/1520995541580189697</t>
  </si>
  <si>
    <t>1520995536890957825</t>
  </si>
  <si>
    <t>mirandinhasteva</t>
  </si>
  <si>
    <t>@GuidoFawkes @georgegalloway Labour still pedalling this Blair crap. They just don't get it - #Brexit !!</t>
  </si>
  <si>
    <t>Mon May 02 05:16:09 +0000 2022</t>
  </si>
  <si>
    <t>465973</t>
  </si>
  <si>
    <t>GuidoFawkes</t>
  </si>
  <si>
    <t>305908822</t>
  </si>
  <si>
    <t>1520715929616855040</t>
  </si>
  <si>
    <t>http://pbs.twimg.com/profile_images/673231109413539840/NhkZt8AH_normal.jpg</t>
  </si>
  <si>
    <t>http://twitter.com/mirandinhasteva/statuses/1520995536890957825</t>
  </si>
  <si>
    <t>{"hashtags":[{"text":"Brexit","indices":[94,101]}],"symbols":[],"user_mentions":[{"screen_name":"GuidoFawkes","name":"Guido Fawkes","id":465973,"id_str":"465973","indices":[0,12]},{"screen_name":"georgegalloway","name":"George Galloway","id":15484198,"id_str":"15484198","indices":[13,28]}],"urls":[]}</t>
  </si>
  <si>
    <t>1520995464547557377</t>
  </si>
  <si>
    <t>Mon May 02 05:15:52 +0000 2022</t>
  </si>
  <si>
    <t>http://twitter.com/botanic_my/statuses/1520995464547557377</t>
  </si>
  <si>
    <t>1520995428380073985</t>
  </si>
  <si>
    <t>endless_europe</t>
  </si>
  <si>
    <t>Mon May 02 05:15:43 +0000 2022</t>
  </si>
  <si>
    <t>778910095493259264</t>
  </si>
  <si>
    <t>http://pbs.twimg.com/profile_images/778911478900486144/APoNGlO7_normal.jpg</t>
  </si>
  <si>
    <t>http://twitter.com/endless_europe/statuses/1520995428380073985</t>
  </si>
  <si>
    <t>1520995376085585922</t>
  </si>
  <si>
    <t>StonedBishop1</t>
  </si>
  <si>
    <t>Mon May 02 05:15:31 +0000 2022</t>
  </si>
  <si>
    <t>1470127394392621069</t>
  </si>
  <si>
    <t>http://pbs.twimg.com/profile_images/1470127834433830920/0zzxpHnm_normal.jpg</t>
  </si>
  <si>
    <t>Baden-Baden</t>
  </si>
  <si>
    <t>http://twitter.com/StonedBishop1/statuses/1520995376085585922</t>
  </si>
  <si>
    <t>1520995351603388418</t>
  </si>
  <si>
    <t>bmf1g10</t>
  </si>
  <si>
    <t>Mon May 02 05:15:25 +0000 2022</t>
  </si>
  <si>
    <t>1117821212</t>
  </si>
  <si>
    <t>http://pbs.twimg.com/profile_images/1440742988775264265/s66JFuZ2_normal.jpg</t>
  </si>
  <si>
    <t>http://twitter.com/bmf1g10/statuses/1520995351603388418</t>
  </si>
  <si>
    <t>1520995316673130496</t>
  </si>
  <si>
    <t>PaulHug16804663</t>
  </si>
  <si>
    <t>Mon May 02 05:15:16 +0000 2022</t>
  </si>
  <si>
    <t>1477337809996423175</t>
  </si>
  <si>
    <t>http://pbs.twimg.com/profile_images/1511790879085928450/ojyQIk4O_normal.jpg</t>
  </si>
  <si>
    <t>http://twitter.com/PaulHug16804663/statuses/1520995316673130496</t>
  </si>
  <si>
    <t>1520994997658689536</t>
  </si>
  <si>
    <t>Alisonmossy1</t>
  </si>
  <si>
    <t>Mon May 02 05:14:00 +0000 2022</t>
  </si>
  <si>
    <t>1233652147075633158</t>
  </si>
  <si>
    <t>http://twitter.com/Alisonmossy1/statuses/1520994997658689536</t>
  </si>
  <si>
    <t>1520994994835841024</t>
  </si>
  <si>
    <t>nippa1212</t>
  </si>
  <si>
    <t>1260018378</t>
  </si>
  <si>
    <t>http://pbs.twimg.com/profile_images/378800000444149854/ec06c3a8f2cb37b3468d603abbf503ff_normal.jpeg</t>
  </si>
  <si>
    <t>http://twitter.com/nippa1212/statuses/1520994994835841024</t>
  </si>
  <si>
    <t>1520994987797798917</t>
  </si>
  <si>
    <t>BigDollarRich</t>
  </si>
  <si>
    <t>Mon May 02 05:13:58 +0000 2022</t>
  </si>
  <si>
    <t>178024597</t>
  </si>
  <si>
    <t>http://pbs.twimg.com/profile_images/1288575312662532096/_C8xJYeS_normal.jpg</t>
  </si>
  <si>
    <t xml:space="preserve">Stockholm, Sweden, </t>
  </si>
  <si>
    <t>http://twitter.com/BigDollarRich/statuses/1520994987797798917</t>
  </si>
  <si>
    <t>1520994940108611585</t>
  </si>
  <si>
    <t>Mon May 02 05:13:47 +0000 2022</t>
  </si>
  <si>
    <t>http://twitter.com/BigDollarRich/statuses/1520994940108611585</t>
  </si>
  <si>
    <t>1520994931602599936</t>
  </si>
  <si>
    <t>Mon May 02 05:13:45 +0000 2022</t>
  </si>
  <si>
    <t>http://twitter.com/nippa1212/statuses/1520994931602599936</t>
  </si>
  <si>
    <t>1520994889764327424</t>
  </si>
  <si>
    <t>willtherebal</t>
  </si>
  <si>
    <t>Mon May 02 05:13:35 +0000 2022</t>
  </si>
  <si>
    <t>1382329047041118212</t>
  </si>
  <si>
    <t>http://pbs.twimg.com/profile_images/1445319850612641798/k00a9u1A_normal.jpg</t>
  </si>
  <si>
    <t>leeds</t>
  </si>
  <si>
    <t>http://twitter.com/willtherebal/statuses/1520994889764327424</t>
  </si>
  <si>
    <t>1520994843312406537</t>
  </si>
  <si>
    <t>paulclift01</t>
  </si>
  <si>
    <t>Mon May 02 05:13:24 +0000 2022</t>
  </si>
  <si>
    <t>114591398</t>
  </si>
  <si>
    <t>http://pbs.twimg.com/profile_images/1519549952082563072/3SBIwh-q_normal.jpg</t>
  </si>
  <si>
    <t>London.</t>
  </si>
  <si>
    <t>http://twitter.com/paulclift01/statuses/1520994843312406537</t>
  </si>
  <si>
    <t>1520994842540752896</t>
  </si>
  <si>
    <t>Capt_Kremin</t>
  </si>
  <si>
    <t>#Brexit, the gift that keeps on giving. 
https://t.co/Mkv1ipnGxG</t>
  </si>
  <si>
    <t>Mon May 02 05:13:23 +0000 2022</t>
  </si>
  <si>
    <t>3493201289</t>
  </si>
  <si>
    <t>http://pbs.twimg.com/profile_images/1323210264280502273/Oir0lidj_normal.jpg</t>
  </si>
  <si>
    <t>Stranded In Reality</t>
  </si>
  <si>
    <t>http://twitter.com/Capt_Kremin/statuses/1520994842540752896</t>
  </si>
  <si>
    <t>{"hashtags":[{"text":"Brexit","indices":[0,7]}],"symbols":[],"user_mentions":[],"urls":[{"url":"https://t.co/Mkv1ipnGxG","expanded_url":"https://www.mirror.co.uk/news/politics/brits-living-spain-face-road-26842520","display_url":"mirror.co.uk/news/politics/…","indices":[41,64]}]}</t>
  </si>
  <si>
    <t>1520994830016516096</t>
  </si>
  <si>
    <t>aristotle29</t>
  </si>
  <si>
    <t>Mon May 02 05:13:20 +0000 2022</t>
  </si>
  <si>
    <t>56492288</t>
  </si>
  <si>
    <t>http://pbs.twimg.com/profile_images/1111850214934151178/UKOSObQj_normal.jpg</t>
  </si>
  <si>
    <t>http://twitter.com/aristotle29/statuses/1520994830016516096</t>
  </si>
  <si>
    <t>1520994686470606850</t>
  </si>
  <si>
    <t>Mon May 02 05:12:46 +0000 2022</t>
  </si>
  <si>
    <t>http://twitter.com/etxberria55/statuses/1520994686470606850</t>
  </si>
  <si>
    <t>1520994529054277632</t>
  </si>
  <si>
    <t>AntiEU2</t>
  </si>
  <si>
    <t>Mon May 02 05:12:09 +0000 2022</t>
  </si>
  <si>
    <t>4736046826</t>
  </si>
  <si>
    <t>http://twitter.com/AntiEU2/statuses/1520994529054277632</t>
  </si>
  <si>
    <t>1520994524310425602</t>
  </si>
  <si>
    <t>relwofs54</t>
  </si>
  <si>
    <t>Mon May 02 05:12:07 +0000 2022</t>
  </si>
  <si>
    <t>358122099</t>
  </si>
  <si>
    <t>http://pbs.twimg.com/profile_images/752832038428958720/e2TXlYtH_normal.jpg</t>
  </si>
  <si>
    <t>50850 Normandie, France</t>
  </si>
  <si>
    <t>http://twitter.com/relwofs54/statuses/1520994524310425602</t>
  </si>
  <si>
    <t>1520994271335227394</t>
  </si>
  <si>
    <t>RT @JohannaSaunders: Regarding Rees-Mogg’s admittance that implementing full #Brexit would be an act of self-harm, it’s worth remembering that Johnson’s Govt knew this BEFORE they told you to vote for their #OvenReady lies, it’s all in #Yellowhammer, but they opted to preserve their party.
Traitors.</t>
  </si>
  <si>
    <t>Mon May 02 05:11:07 +0000 2022</t>
  </si>
  <si>
    <t>http://twitter.com/FrannyHP/statuses/1520994271335227394</t>
  </si>
  <si>
    <t>{"hashtags":[{"text":"Brexit","indices":[77,84]}],"symbols":[],"user_mentions":[{"screen_name":"JohannaSaunders","name":"Johanna Saunders #takebackBritain🕷🐇","id":99188075,"id_str":"99188075","indices":[3,19]}],"urls":[]}</t>
  </si>
  <si>
    <t>1520994263072489474</t>
  </si>
  <si>
    <t>James_C_Bond</t>
  </si>
  <si>
    <t>RT @faznet: Die Folgen des #Brexit und die steigenden Preise haben Nordirland noch mehr gespalten: Zum ersten Mal liegt die nationalistische Sinn-Féin-Partei in den Umfragen vorn. https://t.co/cVQR6DRsu4</t>
  </si>
  <si>
    <t>Mon May 02 05:11:05 +0000 2022</t>
  </si>
  <si>
    <t>985543458323648513</t>
  </si>
  <si>
    <t>http://pbs.twimg.com/profile_images/1514937901532041220/37vwrDtj_normal.jpg</t>
  </si>
  <si>
    <t>Neunkhausen, Deutschland</t>
  </si>
  <si>
    <t>http://twitter.com/James_C_Bond/statuses/1520994263072489474</t>
  </si>
  <si>
    <t>{"hashtags":[{"text":"Brexit","indices":[27,34]}],"symbols":[],"user_mentions":[{"screen_name":"faznet","name":"Frankfurter Allgemeine","id":18047862,"id_str":"18047862","indices":[3,10]}],"urls":[]}</t>
  </si>
  <si>
    <t>1520994187004502016</t>
  </si>
  <si>
    <t>AiringViews</t>
  </si>
  <si>
    <t>Mon May 02 05:10:47 +0000 2022</t>
  </si>
  <si>
    <t>1454796311522418689</t>
  </si>
  <si>
    <t>http://pbs.twimg.com/profile_images/1454804747412725766/-ZUR55w__normal.jpg</t>
  </si>
  <si>
    <t>http://twitter.com/AiringViews/statuses/1520994187004502016</t>
  </si>
  <si>
    <t>1520994148920315904</t>
  </si>
  <si>
    <t>laj1956</t>
  </si>
  <si>
    <t>Mon May 02 05:10:38 +0000 2022</t>
  </si>
  <si>
    <t>281546632</t>
  </si>
  <si>
    <t>http://pbs.twimg.com/profile_images/1497869450812530690/yL5hfxWh_normal.jpg</t>
  </si>
  <si>
    <t>http://twitter.com/laj1956/statuses/1520994148920315904</t>
  </si>
  <si>
    <t>1520994107916636160</t>
  </si>
  <si>
    <t>Mon May 02 05:10:28 +0000 2022</t>
  </si>
  <si>
    <t>http://twitter.com/WestonGrockle/statuses/1520994107916636160</t>
  </si>
  <si>
    <t>1520994021761589248</t>
  </si>
  <si>
    <t>Mon May 02 05:10:08 +0000 2022</t>
  </si>
  <si>
    <t>http://twitter.com/laj1956/statuses/1520994021761589248</t>
  </si>
  <si>
    <t>1520993933056167938</t>
  </si>
  <si>
    <t>RwAccommodation</t>
  </si>
  <si>
    <t>RT @Superfind: Priti fans: "the Rwanda idea stopped the migrants coming"
Reality: "oh"...
#Rwanda @pritipatel #indyref2 #brexit #DissolveTheUnion @BorisJohnson
https://t.co/IPzNgMecMd</t>
  </si>
  <si>
    <t>Mon May 02 05:09:46 +0000 2022</t>
  </si>
  <si>
    <t>4555557503</t>
  </si>
  <si>
    <t>&lt;a href="http://www.rwandaaccommodation.ga" rel="nofollow"&gt;RwAccommodation&lt;/a&gt;</t>
  </si>
  <si>
    <t>http://pbs.twimg.com/profile_images/1267723805629300736/I4OsyFWL_normal.jpg</t>
  </si>
  <si>
    <t>Canas Urbano, USA</t>
  </si>
  <si>
    <t>http://twitter.com/RwAccommodation/statuses/1520993933056167938</t>
  </si>
  <si>
    <t>{"hashtags":[{"text":"Rwanda","indices":[92,99]},{"text":"indyref2","indices":[112,121]},{"text":"brexit","indices":[122,129]}],"symbols":[],"user_mentions":[{"screen_name":"Superfind","name":"MrM","id":223772091,"id_str":"223772091","indices":[3,13]},{"screen_name":"pritipatel","name":"Priti Patel","id":61660254,"id_str":"61660254","indices":[100,111]}],"urls":[]}</t>
  </si>
  <si>
    <t>1520993581628071937</t>
  </si>
  <si>
    <t>charlieosborne</t>
  </si>
  <si>
    <t>Mon May 02 05:08:23 +0000 2022</t>
  </si>
  <si>
    <t>16923603</t>
  </si>
  <si>
    <t>http://pbs.twimg.com/profile_images/1431532584253726721/BSIHHMAE_normal.jpg</t>
  </si>
  <si>
    <t>http://twitter.com/charlieosborne/statuses/1520993581628071937</t>
  </si>
  <si>
    <t>1520993543833202696</t>
  </si>
  <si>
    <t>Mon May 02 05:08:14 +0000 2022</t>
  </si>
  <si>
    <t>http://twitter.com/LindaPe65733897/statuses/1520993543833202696</t>
  </si>
  <si>
    <t>1520993475310899200</t>
  </si>
  <si>
    <t>Mon May 02 05:07:57 +0000 2022</t>
  </si>
  <si>
    <t>http://twitter.com/charlieosborne/statuses/1520993475310899200</t>
  </si>
  <si>
    <t>1520993422785527808</t>
  </si>
  <si>
    <t>percyridesagain</t>
  </si>
  <si>
    <t>Mon May 02 05:07:45 +0000 2022</t>
  </si>
  <si>
    <t>1016333727503388681</t>
  </si>
  <si>
    <t>http://pbs.twimg.com/profile_images/1016406087866703874/FH4OlCNF_normal.jpg</t>
  </si>
  <si>
    <t>http://twitter.com/percyridesagain/statuses/1520993422785527808</t>
  </si>
  <si>
    <t>1520993408134823937</t>
  </si>
  <si>
    <t>Paul63B</t>
  </si>
  <si>
    <t>Mon May 02 05:07:41 +0000 2022</t>
  </si>
  <si>
    <t>253167504</t>
  </si>
  <si>
    <t>http://pbs.twimg.com/profile_images/973556448201531392/haZ2OXLO_normal.jpg</t>
  </si>
  <si>
    <t>http://twitter.com/Paul63B/statuses/1520993408134823937</t>
  </si>
  <si>
    <t>1520993389755473920</t>
  </si>
  <si>
    <t>Mon May 02 05:07:37 +0000 2022</t>
  </si>
  <si>
    <t>http://twitter.com/LindaPe65733897/statuses/1520993389755473920</t>
  </si>
  <si>
    <t>1520993375628972032</t>
  </si>
  <si>
    <t>brendanno3</t>
  </si>
  <si>
    <t>Mon May 02 05:07:34 +0000 2022</t>
  </si>
  <si>
    <t>710798937</t>
  </si>
  <si>
    <t>http://pbs.twimg.com/profile_images/843220475291598848/WbT9AT26_normal.jpg</t>
  </si>
  <si>
    <t>http://twitter.com/brendanno3/statuses/1520993375628972032</t>
  </si>
  <si>
    <t>1520993237049171968</t>
  </si>
  <si>
    <t>Mrruszka</t>
  </si>
  <si>
    <t>Mon May 02 05:07:01 +0000 2022</t>
  </si>
  <si>
    <t>134396476</t>
  </si>
  <si>
    <t>http://pbs.twimg.com/profile_images/1462112854954360848/s_3wQmcj_normal.jpg</t>
  </si>
  <si>
    <t>http://twitter.com/Mrruszka/statuses/1520993237049171968</t>
  </si>
  <si>
    <t>1520993186985959424</t>
  </si>
  <si>
    <t>julesdb9</t>
  </si>
  <si>
    <t>Mon May 02 05:06:49 +0000 2022</t>
  </si>
  <si>
    <t>1225753967529013249</t>
  </si>
  <si>
    <t>http://pbs.twimg.com/profile_images/1281865931224907777/nHPH1R2w_normal.jpg</t>
  </si>
  <si>
    <t>http://twitter.com/julesdb9/statuses/1520993186985959424</t>
  </si>
  <si>
    <t>1520992957171736576</t>
  </si>
  <si>
    <t>marshal89798300</t>
  </si>
  <si>
    <t>Mon May 02 05:05:54 +0000 2022</t>
  </si>
  <si>
    <t>1509195568987488263</t>
  </si>
  <si>
    <t>http://pbs.twimg.com/profile_images/1520152541098618888/1hpOGP8F_normal.jpg</t>
  </si>
  <si>
    <t>http://twitter.com/marshal89798300/statuses/1520992957171736576</t>
  </si>
  <si>
    <t>1520992424876720128</t>
  </si>
  <si>
    <t>Mon May 02 05:03:47 +0000 2022</t>
  </si>
  <si>
    <t>http://twitter.com/rec777777/statuses/1520992424876720128</t>
  </si>
  <si>
    <t>1520992399169839104</t>
  </si>
  <si>
    <t>PerformMonkey</t>
  </si>
  <si>
    <t>Mon May 02 05:03:41 +0000 2022</t>
  </si>
  <si>
    <t>282483166</t>
  </si>
  <si>
    <t>http://pbs.twimg.com/profile_images/1496786856939241476/2pvZztVD_normal.jpg</t>
  </si>
  <si>
    <t>Vienna</t>
  </si>
  <si>
    <t>http://twitter.com/PerformMonkey/statuses/1520992399169839104</t>
  </si>
  <si>
    <t>1520992395105611776</t>
  </si>
  <si>
    <t>@markjenkinsonmp Are you still a big fan of Putin's Brexit, Mark?
#Kompromat #BorisJohnson #Brexit #Putin #Oligarchs #conservativefriendsofrussia #DirtyRussianMoney #Londongrad</t>
  </si>
  <si>
    <t>Mon May 02 05:03:40 +0000 2022</t>
  </si>
  <si>
    <t>http://twitter.com/Fitness4London/statuses/1520992395105611776</t>
  </si>
  <si>
    <t>{"hashtags":[{"text":"Kompromat","indices":[66,76]},{"text":"BorisJohnson","indices":[77,90]},{"text":"Brexit","indices":[91,98]},{"text":"Putin","indices":[99,105]},{"text":"Oligarchs","indices":[106,116]},{"text":"conservativefriendsofrussia","indices":[117,145]},{"text":"DirtyRussianMoney","indices":[146,164]},{"text":"Londongrad","indices":[165,176]}],"symbols":[],"user_mentions":[{"screen_name":"markjenkinsonmp","name":"Mark Jenkinson MP","id":116228328,"id_str":"116228328","indices":[0,16]}],"urls":[]}</t>
  </si>
  <si>
    <t>1520992357524647936</t>
  </si>
  <si>
    <t>sarahflyme</t>
  </si>
  <si>
    <t>Mon May 02 05:03:31 +0000 2022</t>
  </si>
  <si>
    <t>1045251841401999361</t>
  </si>
  <si>
    <t>http://pbs.twimg.com/profile_images/1360578411555659778/OR7u2RXd_normal.jpg</t>
  </si>
  <si>
    <t>http://twitter.com/sarahflyme/statuses/1520992357524647936</t>
  </si>
  <si>
    <t>1520992355159093250</t>
  </si>
  <si>
    <t>@UB5simon We know neither @UKLabour or @LibDems can win in a fair and democratic way.
They'll cheat this time, then try to form a government of losers after the next GE.
Trouble is, it exposes @Keir_Starmer as a liar again.
He claimed he now supported #Brexit .</t>
  </si>
  <si>
    <t>Mon May 02 05:03:30 +0000 2022</t>
  </si>
  <si>
    <t>62595328</t>
  </si>
  <si>
    <t>UB5simon</t>
  </si>
  <si>
    <t>1520693596940386304</t>
  </si>
  <si>
    <t>http://twitter.com/rec777777/statuses/1520992355159093250</t>
  </si>
  <si>
    <t>{"hashtags":[{"text":"Brexit","indices":[255,262]}],"symbols":[],"user_mentions":[{"screen_name":"UB5simon","name":"Simon Bye 🎪🔶","id":62595328,"id_str":"62595328","indices":[0,9]},{"screen_name":"UKLabour","name":"The Labour Party","id":14291684,"id_str":"14291684","indices":[26,35]},{"screen_name":"LibDems","name":"Liberal Democrats","id":5680622,"id_str":"5680622","indices":[39,47]},{"screen_name":"Keir_Starmer","name":"Keir Starmer","id":2425571623,"id_str":"2425571623","indices":[195,208]}],"urls":[]}</t>
  </si>
  <si>
    <t>1520992323143933952</t>
  </si>
  <si>
    <t>TerryBush14</t>
  </si>
  <si>
    <t>Mon May 02 05:03:23 +0000 2022</t>
  </si>
  <si>
    <t>1359679722</t>
  </si>
  <si>
    <t>http://pbs.twimg.com/profile_images/3690164733/9f4fc3c4c1b12a50d67220914fcea0c7_normal.jpeg</t>
  </si>
  <si>
    <t>Kensington, London</t>
  </si>
  <si>
    <t>http://twitter.com/TerryBush14/statuses/1520992323143933952</t>
  </si>
  <si>
    <t>1520992226117144576</t>
  </si>
  <si>
    <t>jungofunk</t>
  </si>
  <si>
    <t>@BorisJohnson As night follows day eh!  This Tory Government want oil and water companies to reinvest in the UK. Never is this followed by enforcement of any kind
Pixie dust for the Hoi Polloi, big fat profits for their mates
#oldandugly #LabourDay #Russian #brexit</t>
  </si>
  <si>
    <t>Mon May 02 05:03:00 +0000 2022</t>
  </si>
  <si>
    <t>3131144855</t>
  </si>
  <si>
    <t>BorisJohnson</t>
  </si>
  <si>
    <t>138474960</t>
  </si>
  <si>
    <t>1520732933262385154</t>
  </si>
  <si>
    <t>http://pbs.twimg.com/profile_images/1482063558850629633/wgXlqWRd_normal.jpg</t>
  </si>
  <si>
    <t>http://twitter.com/jungofunk/statuses/1520992226117144576</t>
  </si>
  <si>
    <t>{"hashtags":[{"text":"oldandugly","indices":[226,237]},{"text":"LabourDay","indices":[238,248]},{"text":"Russian","indices":[249,257]},{"text":"brexit","indices":[258,265]}],"symbols":[],"user_mentions":[{"screen_name":"BorisJohnson","name":"Boris Johnson","id":3131144855,"id_str":"3131144855","indices":[0,13]}],"urls":[]}</t>
  </si>
  <si>
    <t>1520992184224436226</t>
  </si>
  <si>
    <t>IslingtonPierre</t>
  </si>
  <si>
    <t>Mon May 02 05:02:50 +0000 2022</t>
  </si>
  <si>
    <t>360771835</t>
  </si>
  <si>
    <t>http://pbs.twimg.com/profile_images/1219197788141096960/5XvpTWvD_normal.jpg</t>
  </si>
  <si>
    <t>http://twitter.com/IslingtonPierre/statuses/1520992184224436226</t>
  </si>
  <si>
    <t>1520992133737553921</t>
  </si>
  <si>
    <t>judd_author</t>
  </si>
  <si>
    <t>Mon May 02 05:02:38 +0000 2022</t>
  </si>
  <si>
    <t>201735426</t>
  </si>
  <si>
    <t>http://pbs.twimg.com/profile_images/984438655434547200/kYMt8zZX_normal.jpg</t>
  </si>
  <si>
    <t>http://twitter.com/judd_author/statuses/1520992133737553921</t>
  </si>
  <si>
    <t>1520991990246264832</t>
  </si>
  <si>
    <t>BirderNormandie</t>
  </si>
  <si>
    <t>Mon May 02 05:02:03 +0000 2022</t>
  </si>
  <si>
    <t>1258455234751467521</t>
  </si>
  <si>
    <t>http://twitter.com/BirderNormandie/statuses/1520991990246264832</t>
  </si>
  <si>
    <t>1520991871287406592</t>
  </si>
  <si>
    <t>gawbul</t>
  </si>
  <si>
    <t>Mon May 02 05:01:35 +0000 2022</t>
  </si>
  <si>
    <t>49344076</t>
  </si>
  <si>
    <t>http://pbs.twimg.com/profile_images/1519249064109428740/hiQh5aFs_normal.jpg</t>
  </si>
  <si>
    <t>Earth 🇪🇺🌍</t>
  </si>
  <si>
    <t>http://twitter.com/gawbul/statuses/1520991871287406592</t>
  </si>
  <si>
    <t>1520991644727844864</t>
  </si>
  <si>
    <t>CollieColleen</t>
  </si>
  <si>
    <t>Mon May 02 05:00:41 +0000 2022</t>
  </si>
  <si>
    <t>396075623</t>
  </si>
  <si>
    <t>http://pbs.twimg.com/profile_images/1514561540623634444/IbxpGwG3_normal.jpg</t>
  </si>
  <si>
    <t>http://twitter.com/CollieColleen/statuses/1520991644727844864</t>
  </si>
  <si>
    <t>1520991507108536320</t>
  </si>
  <si>
    <t>BillM2207</t>
  </si>
  <si>
    <t>Mon May 02 05:00:08 +0000 2022</t>
  </si>
  <si>
    <t>1113835449443934208</t>
  </si>
  <si>
    <t>http://pbs.twimg.com/profile_images/1506536956204929024/XUdwkTSC_normal.jpg</t>
  </si>
  <si>
    <t>Scotland 🏴󠁧󠁢󠁳󠁣󠁴󠁿</t>
  </si>
  <si>
    <t>http://twitter.com/BillM2207/statuses/1520991507108536320</t>
  </si>
  <si>
    <t>1520991475709976576</t>
  </si>
  <si>
    <t>Joey_brexit_dog</t>
  </si>
  <si>
    <t>@dontbrexitfixit Yup. Every day a new benefit #brexit https://t.co/q8KictLfAK</t>
  </si>
  <si>
    <t>Mon May 02 05:00:01 +0000 2022</t>
  </si>
  <si>
    <t>757144396643049472</t>
  </si>
  <si>
    <t>dontbrexitfixit</t>
  </si>
  <si>
    <t>1550302364</t>
  </si>
  <si>
    <t>1520884427882217473</t>
  </si>
  <si>
    <t>http://pbs.twimg.com/profile_images/1512474454747668483/u5sYcK_A_normal.jpg</t>
  </si>
  <si>
    <t>Downing street</t>
  </si>
  <si>
    <t>http://twitter.com/Joey_brexit_dog/statuses/1520991475709976576</t>
  </si>
  <si>
    <t>{"hashtags":[{"text":"brexit","indices":[46,53]}],"symbols":[],"user_mentions":[{"screen_name":"dontbrexitfixit","name":"Andrew Parnall - Brexit can't/won't work, ever!","id":757144396643049500,"id_str":"757144396643049472","indices":[0,16]}],"urls":[],"media":[{"id":1520991467648557000,"id_str":"1520991467648557058","indices":[54,77],"media_url":"http://pbs.twimg.com/media/FRulrmeXoAIFgPH.jpg","media_url_https":"https://pbs.twimg.com/media/FRulrmeXoAIFgPH.jpg","url":"https://t.co/q8KictLfAK","display_url":"pic.twitter.com/q8KictLfAK","expanded_url":"https://twitter.com/Joey_brexit_dog/status/1520991475709976576/photo/1","type":"photo","sizes":{"thumb":{"w":150,"h":150,"resize":"crop"},"large":{"w":1536,"h":2048,"resize":"fit"},"medium":{"w":900,"h":1200,"resize":"fit"},"small":{"w":510,"h":680,"resize":"fit"}}}]}</t>
  </si>
  <si>
    <t>1520991426083012608</t>
  </si>
  <si>
    <t>markcsimmo</t>
  </si>
  <si>
    <t>Mon May 02 04:59:49 +0000 2022</t>
  </si>
  <si>
    <t>1131712244</t>
  </si>
  <si>
    <t>http://twitter.com/markcsimmo/statuses/1520991426083012608</t>
  </si>
  <si>
    <t>1520991382244143105</t>
  </si>
  <si>
    <t>pennylloydwatts</t>
  </si>
  <si>
    <t>Mon May 02 04:59:38 +0000 2022</t>
  </si>
  <si>
    <t>600361167</t>
  </si>
  <si>
    <t>http://pbs.twimg.com/profile_images/1308819648390070275/fHOYna0V_normal.jpg</t>
  </si>
  <si>
    <t>http://twitter.com/pennylloydwatts/statuses/1520991382244143105</t>
  </si>
  <si>
    <t>1520991307073736706</t>
  </si>
  <si>
    <t>Mon May 02 04:59:20 +0000 2022</t>
  </si>
  <si>
    <t>http://twitter.com/TerryBush14/statuses/1520991307073736706</t>
  </si>
  <si>
    <t>1520991049430220800</t>
  </si>
  <si>
    <t>mtbrown54</t>
  </si>
  <si>
    <t>Mon May 02 04:58:19 +0000 2022</t>
  </si>
  <si>
    <t>258088942</t>
  </si>
  <si>
    <t>http://pbs.twimg.com/profile_images/529053391205695488/lbmcFyI6_normal.jpeg</t>
  </si>
  <si>
    <t>http://twitter.com/mtbrown54/statuses/1520991049430220800</t>
  </si>
  <si>
    <t>1520990995273375744</t>
  </si>
  <si>
    <t>mac35red</t>
  </si>
  <si>
    <t>Mon May 02 04:58:06 +0000 2022</t>
  </si>
  <si>
    <t>396547358</t>
  </si>
  <si>
    <t>http://pbs.twimg.com/profile_images/1513460791143452676/ROkSrBqG_normal.jpg</t>
  </si>
  <si>
    <t xml:space="preserve"> England</t>
  </si>
  <si>
    <t>http://twitter.com/mac35red/statuses/1520990995273375744</t>
  </si>
  <si>
    <t>1520990955347890177</t>
  </si>
  <si>
    <t>iii_turk</t>
  </si>
  <si>
    <t>Mon May 02 04:57:57 +0000 2022</t>
  </si>
  <si>
    <t>1221581606864982018</t>
  </si>
  <si>
    <t>http://pbs.twimg.com/profile_images/1496962926833451011/oelwkZUm_normal.jpg</t>
  </si>
  <si>
    <t>Third rock from the sun</t>
  </si>
  <si>
    <t>http://twitter.com/iii_turk/statuses/1520990955347890177</t>
  </si>
  <si>
    <t>1520990920627437569</t>
  </si>
  <si>
    <t>phillmoog</t>
  </si>
  <si>
    <t>Mon May 02 04:57:48 +0000 2022</t>
  </si>
  <si>
    <t>273571767</t>
  </si>
  <si>
    <t>http://pbs.twimg.com/profile_images/1321378446564642816/lySKzK4K_normal.jpg</t>
  </si>
  <si>
    <t>Manchester uk</t>
  </si>
  <si>
    <t>http://twitter.com/phillmoog/statuses/1520990920627437569</t>
  </si>
  <si>
    <t>1520990794445897729</t>
  </si>
  <si>
    <t>Mon May 02 04:57:18 +0000 2022</t>
  </si>
  <si>
    <t>http://twitter.com/iii_turk/statuses/1520990794445897729</t>
  </si>
  <si>
    <t>1520990776263589890</t>
  </si>
  <si>
    <t>Mon May 02 04:57:14 +0000 2022</t>
  </si>
  <si>
    <t>http://twitter.com/EnglishNRomania/statuses/1520990776263589890</t>
  </si>
  <si>
    <t>1520990772644007936</t>
  </si>
  <si>
    <t>Mon May 02 04:57:13 +0000 2022</t>
  </si>
  <si>
    <t>http://twitter.com/pennylloydwatts/statuses/1520990772644007936</t>
  </si>
  <si>
    <t>1520990741933273089</t>
  </si>
  <si>
    <t>timolarch</t>
  </si>
  <si>
    <t>Mon May 02 04:57:06 +0000 2022</t>
  </si>
  <si>
    <t>825717050538618880</t>
  </si>
  <si>
    <t>http://pbs.twimg.com/profile_images/1486760663192154112/mv43ft1l_normal.jpg</t>
  </si>
  <si>
    <t>Middle earth or up an Alp</t>
  </si>
  <si>
    <t>http://twitter.com/timolarch/statuses/1520990741933273089</t>
  </si>
  <si>
    <t>1520990695439450113</t>
  </si>
  <si>
    <t>SandraE82526551</t>
  </si>
  <si>
    <t>RT @DesteDanilo: Come la
#brexit https://t.co/KmiIeE3RjP</t>
  </si>
  <si>
    <t>Mon May 02 04:56:55 +0000 2022</t>
  </si>
  <si>
    <t>1022095164406476800</t>
  </si>
  <si>
    <t>http://twitter.com/SandraE82526551/statuses/1520990695439450113</t>
  </si>
  <si>
    <t>{"hashtags":[{"text":"brexit","indices":[25,32]}],"symbols":[],"user_mentions":[{"screen_name":"DesteDanilo","name":"Danilo De Stefanis","id":949271578105253900,"id_str":"949271578105253889","indices":[3,15]}],"urls":[]}</t>
  </si>
  <si>
    <t>1520990502279168000</t>
  </si>
  <si>
    <t>choor121</t>
  </si>
  <si>
    <t>Mon May 02 04:56:09 +0000 2022</t>
  </si>
  <si>
    <t>1455927555312193538</t>
  </si>
  <si>
    <t>http://pbs.twimg.com/profile_images/1455927701760577536/awsPGZAw_normal.png</t>
  </si>
  <si>
    <t>http://twitter.com/choor121/statuses/1520990502279168000</t>
  </si>
  <si>
    <t>1520990491252297728</t>
  </si>
  <si>
    <t>fxstreetcn</t>
  </si>
  <si>
    <t>英镑/美元：温和下跌处在1.2550附近，投资者关注美联储、英央行决议 https://t.co/JNeRhuPYwl #GBPUSD #Brexit #Fed #BOE #RiskAppetite</t>
  </si>
  <si>
    <t>Mon May 02 04:56:06 +0000 2022</t>
  </si>
  <si>
    <t>275036092</t>
  </si>
  <si>
    <t>&lt;a href="http://www.fxstreet.hk/" rel="nofollow"&gt;FXstreet.hk&lt;/a&gt;</t>
  </si>
  <si>
    <t>http://pbs.twimg.com/profile_images/560001017102618624/ppuHGzPZ_normal.png</t>
  </si>
  <si>
    <t>http://twitter.com/fxstreetcn/statuses/1520990491252297728</t>
  </si>
  <si>
    <t>{"hashtags":[{"text":"GBPUSD","indices":[60,67]},{"text":"Brexit","indices":[68,75]},{"text":"Fed","indices":[76,80]},{"text":"BOE","indices":[81,85]},{"text":"RiskAppetite","indices":[86,99]}],"symbols":[],"user_mentions":[],"urls":[{"url":"https://t.co/JNeRhuPYwl","expanded_url":"https://s68mv.app.goo.gl/i7hrd","display_url":"s68mv.app.goo.gl/i7hrd","indices":[36,59]}]}</t>
  </si>
  <si>
    <t>1520990437485461506</t>
  </si>
  <si>
    <t>marsdinon</t>
  </si>
  <si>
    <t>Mon May 02 04:55:53 +0000 2022</t>
  </si>
  <si>
    <t>2929561912</t>
  </si>
  <si>
    <t>http://pbs.twimg.com/profile_images/1249268622712868864/xEDyY2fi_normal.jpg</t>
  </si>
  <si>
    <t>🏴󠁧󠁢󠁷󠁬󠁳󠁿</t>
  </si>
  <si>
    <t>http://twitter.com/marsdinon/statuses/1520990437485461506</t>
  </si>
  <si>
    <t>1520990016641634305</t>
  </si>
  <si>
    <t>EliasMichalas</t>
  </si>
  <si>
    <t>Another Brexit calamity: UK drivers now ‘BANNED’ from driving in Spain https://t.co/Am4sFjoZqO #bbcbreakfast #gmb #bbcnews #itvnews #C4News #5news #skynews #lbc #gbnews #Brexit #BrexitReality #BrexitHasFailed #BrexitShambles #Brexitbenefits #BrexitBritain #BrexitSuccess #Torymps</t>
  </si>
  <si>
    <t>Mon May 02 04:54:13 +0000 2022</t>
  </si>
  <si>
    <t>306823427</t>
  </si>
  <si>
    <t>http://pbs.twimg.com/profile_images/1372274219/me_normal.jpg</t>
  </si>
  <si>
    <t>Larnaca, Cyprus</t>
  </si>
  <si>
    <t>http://twitter.com/EliasMichalas/statuses/1520990016641634305</t>
  </si>
  <si>
    <t>{"hashtags":[{"text":"bbcbreakfast","indices":[95,108]},{"text":"gmb","indices":[109,113]},{"text":"bbcnews","indices":[114,122]},{"text":"itvnews","indices":[123,131]},{"text":"C4News","indices":[132,139]},{"text":"5news","indices":[140,146]},{"text":"skynews","indices":[147,155]},{"text":"lbc","indices":[156,160]},{"text":"gbnews","indices":[161,168]},{"text":"Brexit","indices":[169,176]},{"text":"BrexitReality","indices":[177,191]},{"text":"BrexitHasFailed","indices":[192,208]},{"text":"BrexitShambles","indices":[209,224]},{"text":"Brexitbenefits","indices":[225,240]},{"text":"BrexitBritain","indices":[241,255]},{"text":"BrexitSuccess","indices":[256,270]},{"text":"Torymps","indices":[271,279]}],"symbols":[],"user_mentions":[],"urls":[{"url":"https://t.co/Am4sFjoZqO","expanded_url":"https://www.thelondoneconomic.com/news/why-uk-drivers-banned-driving-licence-spain-brexit-321207/","display_url":"thelondoneconomic.com/news/why-uk-dr…","indices":[71,94]}]}</t>
  </si>
  <si>
    <t>1520989754388537350</t>
  </si>
  <si>
    <t>DotLepkowska</t>
  </si>
  <si>
    <t>Mon May 02 04:53:10 +0000 2022</t>
  </si>
  <si>
    <t>19977259</t>
  </si>
  <si>
    <t>http://pbs.twimg.com/profile_images/1508910739888689158/f7phkM7l_normal.jpg</t>
  </si>
  <si>
    <t>http://twitter.com/DotLepkowska/statuses/1520989754388537350</t>
  </si>
  <si>
    <t>1520989647974903812</t>
  </si>
  <si>
    <t>@RiffmanDale @BrandonLewis The Tories  have failed to deliver #Brexit is a disaster  and #ProjectFear has turned to reality</t>
  </si>
  <si>
    <t>Mon May 02 04:52:45 +0000 2022</t>
  </si>
  <si>
    <t>1113736470601306112</t>
  </si>
  <si>
    <t>RiffmanDale</t>
  </si>
  <si>
    <t>1520861438570545152</t>
  </si>
  <si>
    <t>http://twitter.com/etxberria55/statuses/1520989647974903812</t>
  </si>
  <si>
    <t>{"hashtags":[{"text":"Brexit","indices":[62,69]},{"text":"ProjectFear","indices":[89,101]}],"symbols":[],"user_mentions":[{"screen_name":"RiffmanDale","name":"John Dale 💙🇪🇺🇬🇧","id":1113736470601306100,"id_str":"1113736470601306112","indices":[0,12]},{"screen_name":"BrandonLewis","name":"Brandon Lewis","id":16884084,"id_str":"16884084","indices":[13,26]}],"urls":[]}</t>
  </si>
  <si>
    <t>1520989030652993536</t>
  </si>
  <si>
    <t>jackmahoney1810</t>
  </si>
  <si>
    <t>Mon May 02 04:50:18 +0000 2022</t>
  </si>
  <si>
    <t>937975171</t>
  </si>
  <si>
    <t>http://pbs.twimg.com/profile_images/1089543338171219968/kDciRS8V_normal.jpg</t>
  </si>
  <si>
    <t>Newton-le-Willows, England</t>
  </si>
  <si>
    <t>http://twitter.com/jackmahoney1810/statuses/1520989030652993536</t>
  </si>
  <si>
    <t>1520988826629513216</t>
  </si>
  <si>
    <t>riding_david</t>
  </si>
  <si>
    <t>Mon May 02 04:49:29 +0000 2022</t>
  </si>
  <si>
    <t>432130418</t>
  </si>
  <si>
    <t>http://pbs.twimg.com/profile_images/566335182199083008/WvWaB8ng_normal.jpeg</t>
  </si>
  <si>
    <t>http://twitter.com/riding_david/statuses/1520988826629513216</t>
  </si>
  <si>
    <t>1520988742072287232</t>
  </si>
  <si>
    <t>harstf</t>
  </si>
  <si>
    <t>Mon May 02 04:49:09 +0000 2022</t>
  </si>
  <si>
    <t>40683617</t>
  </si>
  <si>
    <t>http://pbs.twimg.com/profile_images/1516357236024565760/2j4XcV_s_normal.jpg</t>
  </si>
  <si>
    <t>http://twitter.com/harstf/statuses/1520988742072287232</t>
  </si>
  <si>
    <t>1520988661298475008</t>
  </si>
  <si>
    <t>qeensdale</t>
  </si>
  <si>
    <t>RT @qeensdale: @jamestookredpil #Brexit +#IDS I could go on BOE are now saying 12% interest rates another housing crash coming also let's not forget George Osborne.</t>
  </si>
  <si>
    <t>Mon May 02 04:48:50 +0000 2022</t>
  </si>
  <si>
    <t>242235183</t>
  </si>
  <si>
    <t>http://pbs.twimg.com/profile_images/483222888225730560/INSzGlkE_normal.jpeg</t>
  </si>
  <si>
    <t>http://twitter.com/qeensdale/statuses/1520988661298475008</t>
  </si>
  <si>
    <t>{"hashtags":[{"text":"Brexit","indices":[32,39]},{"text":"IDS","indices":[41,45]}],"symbols":[],"user_mentions":[{"screen_name":"qeensdale","name":"john collings","id":242235183,"id_str":"242235183","indices":[3,13]},{"screen_name":"jamestookredpil","name":"James hunter save NHS, election needed","id":1133301875191816200,"id_str":"1133301875191816192","indices":[15,31]}],"urls":[]}</t>
  </si>
  <si>
    <t>1520988659226488833</t>
  </si>
  <si>
    <t>Mon May 02 04:48:49 +0000 2022</t>
  </si>
  <si>
    <t>http://twitter.com/harstf/statuses/1520988659226488833</t>
  </si>
  <si>
    <t>1520988493534482433</t>
  </si>
  <si>
    <t>Mon May 02 04:48:10 +0000 2022</t>
  </si>
  <si>
    <t>http://twitter.com/BonaparteFabri1/statuses/1520988493534482433</t>
  </si>
  <si>
    <t>1520988288533811200</t>
  </si>
  <si>
    <t>lensflairfilms</t>
  </si>
  <si>
    <t>Mon May 02 04:47:21 +0000 2022</t>
  </si>
  <si>
    <t>1614580351</t>
  </si>
  <si>
    <t>http://pbs.twimg.com/profile_images/378800000175059774/1a97f30cca0dd1af01f103977784536c_normal.jpeg</t>
  </si>
  <si>
    <t>Cwmbran, South Wales</t>
  </si>
  <si>
    <t>http://twitter.com/lensflairfilms/statuses/1520988288533811200</t>
  </si>
  <si>
    <t>1520987983683497984</t>
  </si>
  <si>
    <t>Mon May 02 04:46:08 +0000 2022</t>
  </si>
  <si>
    <t>http://twitter.com/EnglishNRomania/statuses/1520987983683497984</t>
  </si>
  <si>
    <t>1520987800665042945</t>
  </si>
  <si>
    <t>WakoJoel</t>
  </si>
  <si>
    <t>#British expats living in #Spain will be hit with a driving ban after the two countries failed to reach a post-#Brexit agreement on UK driving licences, although #tourists will be exempt from the ban.
https://t.co/yoVG8yesWF</t>
  </si>
  <si>
    <t>Mon May 02 04:45:24 +0000 2022</t>
  </si>
  <si>
    <t>40623001</t>
  </si>
  <si>
    <t>http://pbs.twimg.com/profile_images/1446330286023790592/bVncF1da_normal.jpg</t>
  </si>
  <si>
    <t>Azania</t>
  </si>
  <si>
    <t>http://twitter.com/WakoJoel/statuses/1520987800665042945</t>
  </si>
  <si>
    <t>{"hashtags":[{"text":"British","indices":[0,8]},{"text":"Spain","indices":[26,32]},{"text":"Brexit","indices":[111,118]},{"text":"tourists","indices":[162,171]}],"symbols":[],"user_mentions":[],"urls":[{"url":"https://t.co/yoVG8yesWF","expanded_url":"https://www.independent.co.uk/news/uk/home-news/brexit-british-expats-spain-driving-ban-b2069366.html","display_url":"independent.co.uk/news/uk/home-n…","indices":[201,224]}]}</t>
  </si>
  <si>
    <t>1520987778628083712</t>
  </si>
  <si>
    <t>therealdaverich</t>
  </si>
  <si>
    <t>Mon May 02 04:45:19 +0000 2022</t>
  </si>
  <si>
    <t>732850181046194176</t>
  </si>
  <si>
    <t>http://pbs.twimg.com/profile_images/1440675686507712514/4zsQO7BI_normal.jpg</t>
  </si>
  <si>
    <t>http://twitter.com/therealdaverich/statuses/1520987778628083712</t>
  </si>
  <si>
    <t>1520987713553506304</t>
  </si>
  <si>
    <t>disnenchanted</t>
  </si>
  <si>
    <t>Mon May 02 04:45:04 +0000 2022</t>
  </si>
  <si>
    <t>1362029442881769479</t>
  </si>
  <si>
    <t>http://pbs.twimg.com/profile_images/1516377975473721350/iT2w41cM_normal.jpg</t>
  </si>
  <si>
    <t>Trossachs, Scotland</t>
  </si>
  <si>
    <t>http://twitter.com/disnenchanted/statuses/1520987713553506304</t>
  </si>
  <si>
    <t>1520987684256518145</t>
  </si>
  <si>
    <t>BhavinOh</t>
  </si>
  <si>
    <t>Mon May 02 04:44:57 +0000 2022</t>
  </si>
  <si>
    <t>1478814697474428932</t>
  </si>
  <si>
    <t>http://pbs.twimg.com/profile_images/1478815214011392004/BiZoWk-5_normal.jpg</t>
  </si>
  <si>
    <t>http://twitter.com/BhavinOh/statuses/1520987684256518145</t>
  </si>
  <si>
    <t>1520987620486037504</t>
  </si>
  <si>
    <t>hillier_mandy</t>
  </si>
  <si>
    <t>Mon May 02 04:44:41 +0000 2022</t>
  </si>
  <si>
    <t>725412396</t>
  </si>
  <si>
    <t>http://pbs.twimg.com/profile_images/2447490603/allfeb_080_normal.JPG</t>
  </si>
  <si>
    <t>South West England</t>
  </si>
  <si>
    <t>http://twitter.com/hillier_mandy/statuses/1520987620486037504</t>
  </si>
  <si>
    <t>1520987225051303936</t>
  </si>
  <si>
    <t>redland15</t>
  </si>
  <si>
    <t>Mon May 02 04:43:07 +0000 2022</t>
  </si>
  <si>
    <t>2797396292</t>
  </si>
  <si>
    <t>http://pbs.twimg.com/profile_images/1089843473287651328/FlXSUvm1_normal.jpg</t>
  </si>
  <si>
    <t>German/Austrian/Swiss Border</t>
  </si>
  <si>
    <t>http://twitter.com/redland15/statuses/1520987225051303936</t>
  </si>
  <si>
    <t>1520987170915377152</t>
  </si>
  <si>
    <t>swpp12</t>
  </si>
  <si>
    <t>Mon May 02 04:42:54 +0000 2022</t>
  </si>
  <si>
    <t>2653171620</t>
  </si>
  <si>
    <t>http://pbs.twimg.com/profile_images/490441254967074816/zUVBskWG_normal.jpeg</t>
  </si>
  <si>
    <t>http://twitter.com/swpp12/statuses/1520987170915377152</t>
  </si>
  <si>
    <t>1520987093350195200</t>
  </si>
  <si>
    <t>Glasgow_Watch</t>
  </si>
  <si>
    <t>Mon May 02 04:42:36 +0000 2022</t>
  </si>
  <si>
    <t>930931544692350976</t>
  </si>
  <si>
    <t>&lt;a href="http://twitter.com/Glasgow_Watch" rel="nofollow"&gt;Glasgow Watch&lt;/a&gt;</t>
  </si>
  <si>
    <t>http://pbs.twimg.com/profile_images/1164654077596307459/GF6F1bgd_normal.jpg</t>
  </si>
  <si>
    <t>http://twitter.com/Glasgow_Watch/statuses/1520987093350195200</t>
  </si>
  <si>
    <t>1520986954422235137</t>
  </si>
  <si>
    <t>Mon May 02 04:42:03 +0000 2022</t>
  </si>
  <si>
    <t>http://twitter.com/isthisab0t/statuses/1520986954422235137</t>
  </si>
  <si>
    <t>1520986943982555136</t>
  </si>
  <si>
    <t>girlyswotspider</t>
  </si>
  <si>
    <t>Mon May 02 04:42:00 +0000 2022</t>
  </si>
  <si>
    <t>747375639708180480</t>
  </si>
  <si>
    <t>http://pbs.twimg.com/profile_images/1497594298166034434/exK4QB-9_normal.jpg</t>
  </si>
  <si>
    <t>🇬🇧 🇪🇺</t>
  </si>
  <si>
    <t>http://twitter.com/girlyswotspider/statuses/1520986943982555136</t>
  </si>
  <si>
    <t>1520986929864622080</t>
  </si>
  <si>
    <t>_Angry_Engineer</t>
  </si>
  <si>
    <t>Mon May 02 04:41:57 +0000 2022</t>
  </si>
  <si>
    <t>174193421</t>
  </si>
  <si>
    <t>http://pbs.twimg.com/profile_images/1514060724653506566/r_PS42gK_normal.jpg</t>
  </si>
  <si>
    <t>Rhineland-Palatinate, Germany</t>
  </si>
  <si>
    <t>http://twitter.com/_Angry_Engineer/statuses/1520986929864622080</t>
  </si>
  <si>
    <t>1520986928157700096</t>
  </si>
  <si>
    <t>Superfind</t>
  </si>
  <si>
    <t>Priti fans: "the Rwanda idea stopped the migrants coming"
Reality: "oh"...
#Rwanda @pritipatel #indyref2 #brexit #DissolveTheUnion @BorisJohnson
https://t.co/IPzNgMecMd</t>
  </si>
  <si>
    <t>Mon May 02 04:41:56 +0000 2022</t>
  </si>
  <si>
    <t>223772091</t>
  </si>
  <si>
    <t>http://pbs.twimg.com/profile_images/1414466113270845442/SAP8-deF_normal.jpg</t>
  </si>
  <si>
    <t>http://twitter.com/Superfind/statuses/1520986928157700096</t>
  </si>
  <si>
    <t>{"hashtags":[{"text":"Rwanda","indices":[77,84]},{"text":"indyref2","indices":[97,106]},{"text":"brexit","indices":[107,114]},{"text":"DissolveTheUnion","indices":[115,132]}],"symbols":[],"user_mentions":[{"screen_name":"pritipatel","name":"Priti Patel","id":61660254,"id_str":"61660254","indices":[85,96]},{"screen_name":"BorisJohnson","name":"Boris Johnson","id":3131144855,"id_str":"3131144855","indices":[133,146]}],"urls":[{"url":"https://t.co/IPzNgMecMd","expanded_url":"https://news.sky.com/story/migrant-crossings-more-than-200-people-arrive-in-dover-after-11-day-pause-in-channel-crossings-12603838","display_url":"news.sky.com/story/migrant-…","indices":[147,170]}]}</t>
  </si>
  <si>
    <t>1520986821584474112</t>
  </si>
  <si>
    <t>spjw1</t>
  </si>
  <si>
    <t>Mon May 02 04:41:31 +0000 2022</t>
  </si>
  <si>
    <t>22049015</t>
  </si>
  <si>
    <t>http://pbs.twimg.com/profile_images/1397550218657378305/ohvWDzme_normal.jpg</t>
  </si>
  <si>
    <t>http://twitter.com/spjw1/statuses/1520986821584474112</t>
  </si>
  <si>
    <t>1520986609843412992</t>
  </si>
  <si>
    <t>HolyMole</t>
  </si>
  <si>
    <t>If #Brexit had worked...
https://t.co/wxbPEfuqb8</t>
  </si>
  <si>
    <t>Mon May 02 04:40:41 +0000 2022</t>
  </si>
  <si>
    <t>20090724</t>
  </si>
  <si>
    <t>http://pbs.twimg.com/profile_images/1499661336082591746/RfztubrL_normal.jpg</t>
  </si>
  <si>
    <t>Brizzle</t>
  </si>
  <si>
    <t>http://twitter.com/HolyMole/statuses/1520986609843412992</t>
  </si>
  <si>
    <t>{"hashtags":[{"text":"Brexit","indices":[3,10]}],"symbols":[],"user_mentions":[],"urls":[{"url":"https://t.co/wxbPEfuqb8","expanded_url":"https://vm.tiktok.com/ZMLtFJfVu/","display_url":"vm.tiktok.com/ZMLtFJfVu/","indices":[26,49]}]}</t>
  </si>
  <si>
    <t>1520986418574675968</t>
  </si>
  <si>
    <t>elizavrose06</t>
  </si>
  <si>
    <t>Mon May 02 04:39:55 +0000 2022</t>
  </si>
  <si>
    <t>473541783</t>
  </si>
  <si>
    <t>http://pbs.twimg.com/profile_images/755432594825682945/wTsAP0f0_normal.jpg</t>
  </si>
  <si>
    <t>http://twitter.com/elizavrose06/statuses/1520986418574675968</t>
  </si>
  <si>
    <t>1520986278451425282</t>
  </si>
  <si>
    <t>semajmrx</t>
  </si>
  <si>
    <t>Mon May 02 04:39:21 +0000 2022</t>
  </si>
  <si>
    <t>78079231</t>
  </si>
  <si>
    <t>http://pbs.twimg.com/profile_images/1363753920061988866/U4aPv5ZE_normal.jpg</t>
  </si>
  <si>
    <t>The Midlands, U.K.</t>
  </si>
  <si>
    <t>http://twitter.com/semajmrx/statuses/1520986278451425282</t>
  </si>
  <si>
    <t>1520986252476096512</t>
  </si>
  <si>
    <t>marsman1258</t>
  </si>
  <si>
    <t>Mon May 02 04:39:15 +0000 2022</t>
  </si>
  <si>
    <t>468372806</t>
  </si>
  <si>
    <t>http://pbs.twimg.com/profile_images/1497122793829326853/PzHYJEQB_normal.jpg</t>
  </si>
  <si>
    <t>http://twitter.com/marsman1258/statuses/1520986252476096512</t>
  </si>
  <si>
    <t>1520986172138393601</t>
  </si>
  <si>
    <t>Mon May 02 04:38:56 +0000 2022</t>
  </si>
  <si>
    <t>http://twitter.com/marsman1258/statuses/1520986172138393601</t>
  </si>
  <si>
    <t>1520985543206658049</t>
  </si>
  <si>
    <t>bernielhannon</t>
  </si>
  <si>
    <t>Mon May 02 04:36:26 +0000 2022</t>
  </si>
  <si>
    <t>1163631734</t>
  </si>
  <si>
    <t>http://pbs.twimg.com/profile_images/953662524670570496/JuIt7nA0_normal.jpg</t>
  </si>
  <si>
    <t>http://twitter.com/bernielhannon/statuses/1520985543206658049</t>
  </si>
  <si>
    <t>1520985490928947200</t>
  </si>
  <si>
    <t>Colinpugh</t>
  </si>
  <si>
    <t>Mon May 02 04:36:14 +0000 2022</t>
  </si>
  <si>
    <t>102786724</t>
  </si>
  <si>
    <t>http://pbs.twimg.com/profile_images/1495161004988276737/ejYtElfT_normal.jpg</t>
  </si>
  <si>
    <t>http://twitter.com/Colinpugh/statuses/1520985490928947200</t>
  </si>
  <si>
    <t>1520985220090056706</t>
  </si>
  <si>
    <t>JeanRognetta</t>
  </si>
  <si>
    <t>Mon May 02 04:35:09 +0000 2022</t>
  </si>
  <si>
    <t>6080312</t>
  </si>
  <si>
    <t>http://pbs.twimg.com/profile_images/1510682077074763777/Ow5xfjjr_normal.jpg</t>
  </si>
  <si>
    <t>http://twitter.com/JeanRognetta/statuses/1520985220090056706</t>
  </si>
  <si>
    <t>1520984796628934656</t>
  </si>
  <si>
    <t>Mountie31</t>
  </si>
  <si>
    <t>Mon May 02 04:33:28 +0000 2022</t>
  </si>
  <si>
    <t>23294336</t>
  </si>
  <si>
    <t>http://pbs.twimg.com/profile_images/654987586633650176/6QbN4IBi_normal.jpg</t>
  </si>
  <si>
    <t xml:space="preserve">London, Swansea, Toronto </t>
  </si>
  <si>
    <t>http://twitter.com/Mountie31/statuses/1520984796628934656</t>
  </si>
  <si>
    <t>1520984238786592768</t>
  </si>
  <si>
    <t>fxstreetnewsid</t>
  </si>
  <si>
    <t>GBP/USD: Sedikit dalam Tawaran Jual di Sekitar 1,2550 karena Pedagang Tunggu The Fed dan BOE https://t.co/ezjlFJfYqT #GBPUSD #Brexit #Fed #BOE #RiskAppetite</t>
  </si>
  <si>
    <t>Mon May 02 04:31:15 +0000 2022</t>
  </si>
  <si>
    <t>418540325</t>
  </si>
  <si>
    <t>&lt;a href="http://www.fxstreet.web.id" rel="nofollow"&gt;FXstreet.web.id&lt;/a&gt;</t>
  </si>
  <si>
    <t>http://pbs.twimg.com/profile_images/499482126589235201/cHBfeXwA_normal.png</t>
  </si>
  <si>
    <t>Indonesia</t>
  </si>
  <si>
    <t>http://twitter.com/fxstreetnewsid/statuses/1520984238786592768</t>
  </si>
  <si>
    <t>{"hashtags":[{"text":"GBPUSD","indices":[117,124]},{"text":"Brexit","indices":[125,132]},{"text":"Fed","indices":[133,137]},{"text":"BOE","indices":[138,142]},{"text":"RiskAppetite","indices":[143,156]}],"symbols":[],"user_mentions":[],"urls":[{"url":"https://t.co/ezjlFJfYqT","expanded_url":"https://s68mv.app.goo.gl/YiAuN","display_url":"s68mv.app.goo.gl/YiAuN","indices":[93,116]}]}</t>
  </si>
  <si>
    <t>1520984058989264900</t>
  </si>
  <si>
    <t>goringjogger57</t>
  </si>
  <si>
    <t>Mon May 02 04:30:32 +0000 2022</t>
  </si>
  <si>
    <t>2728257233</t>
  </si>
  <si>
    <t>http://pbs.twimg.com/profile_images/1480231448930103296/Moick0fr_normal.jpg</t>
  </si>
  <si>
    <t>Sussex</t>
  </si>
  <si>
    <t>http://twitter.com/goringjogger57/statuses/1520984058989264900</t>
  </si>
  <si>
    <t>1520983984049696769</t>
  </si>
  <si>
    <t>Mon May 02 04:30:14 +0000 2022</t>
  </si>
  <si>
    <t>http://twitter.com/goringjogger57/statuses/1520983984049696769</t>
  </si>
  <si>
    <t>1520983939199950848</t>
  </si>
  <si>
    <t>lividinlincs</t>
  </si>
  <si>
    <t>Mon May 02 04:30:04 +0000 2022</t>
  </si>
  <si>
    <t>1443121683284496384</t>
  </si>
  <si>
    <t>http://twitter.com/lividinlincs/statuses/1520983939199950848</t>
  </si>
  <si>
    <t>1520983932208037889</t>
  </si>
  <si>
    <t>Chezm79Mace</t>
  </si>
  <si>
    <t>RT @AHaglington: @MarieAnnUK TOTAL #BREXIT DISASTER WRECKING THE ECONOMY 
😡
#BrexitHighPrices
#BrexitLowPound
#BrexitHighTaxes
#BrexitRedTape
#BrexitLorryQueues
#BrexitFoodShortages
#BrexitMedicineShortages
#BrexitCostOfLivingCrisis
#BrexitDisaster
BREXIT CRASH
⭐️
#GetBrexitUndone
#RejoinEU 
RESTORE HOPE</t>
  </si>
  <si>
    <t>Mon May 02 04:30:02 +0000 2022</t>
  </si>
  <si>
    <t>1474619415752851457</t>
  </si>
  <si>
    <t>http://pbs.twimg.com/profile_images/1517766845373329408/xEb1tU96_normal.jpg</t>
  </si>
  <si>
    <t>http://twitter.com/Chezm79Mace/statuses/1520983932208037889</t>
  </si>
  <si>
    <t>{"hashtags":[{"text":"BREXIT","indices":[35,42]},{"text":"BrexitHighPrices","indices":[76,93]},{"text":"BrexitLowPound","indices":[94,109]},{"text":"BrexitHighTaxes","indices":[110,126]}],"symbols":[],"user_mentions":[{"screen_name":"AHaglington","name":"Andrew Haglington 🇪🇺 #RejoinEU","id":89438779,"id_str":"89438779","indices":[3,15]},{"screen_name":"MarieAnnUK","name":"Marie-Ann Detests Tories 🇺🇦 🇪🇺 🇬🇧","id":1657761703,"id_str":"1657761703","indices":[17,28]}],"urls":[]}</t>
  </si>
  <si>
    <t>1520983904345337856</t>
  </si>
  <si>
    <t>Mon May 02 04:29:55 +0000 2022</t>
  </si>
  <si>
    <t>http://twitter.com/goringjogger57/statuses/1520983904345337856</t>
  </si>
  <si>
    <t>1520983812830011392</t>
  </si>
  <si>
    <t>world_wanderer4</t>
  </si>
  <si>
    <t>Mon May 02 04:29:34 +0000 2022</t>
  </si>
  <si>
    <t>1267418590300581888</t>
  </si>
  <si>
    <t>http://twitter.com/world_wanderer4/statuses/1520983812830011392</t>
  </si>
  <si>
    <t>1520983540774670336</t>
  </si>
  <si>
    <t>political_wasp</t>
  </si>
  <si>
    <t>So @BorisJohnson @ConHome @Conservatives at what price did YOU "Get #Brexit done"? the end of the UK?
"Sínn Féin look set to make history by becoming the largest party in the Northern Ireland Assembly"</t>
  </si>
  <si>
    <t>Mon May 02 04:28:29 +0000 2022</t>
  </si>
  <si>
    <t>977302343552204805</t>
  </si>
  <si>
    <t>http://pbs.twimg.com/profile_images/977303634609360897/N2CDJ7W7_normal.jpg</t>
  </si>
  <si>
    <t>http://twitter.com/political_wasp/statuses/1520983540774670336</t>
  </si>
  <si>
    <t>{"hashtags":[{"text":"Brexit","indices":[68,75]}],"symbols":[],"user_mentions":[{"screen_name":"BorisJohnson","name":"Boris Johnson","id":3131144855,"id_str":"3131144855","indices":[3,16]},{"screen_name":"ConHome","name":"ConservativeHome","id":159992511,"id_str":"159992511","indices":[17,25]},{"screen_name":"Conservatives","name":"Conservatives","id":14281853,"id_str":"14281853","indices":[26,40]}],"urls":[]}</t>
  </si>
  <si>
    <t>1520983536597094401</t>
  </si>
  <si>
    <t>positpolit</t>
  </si>
  <si>
    <t>Mon May 02 04:28:28 +0000 2022</t>
  </si>
  <si>
    <t>825997364615847937</t>
  </si>
  <si>
    <t>http://pbs.twimg.com/profile_images/826175240384479232/2lCnK77I_normal.jpg</t>
  </si>
  <si>
    <t>http://twitter.com/positpolit/statuses/1520983536597094401</t>
  </si>
  <si>
    <t>1520983532453122049</t>
  </si>
  <si>
    <t>pmeierprof</t>
  </si>
  <si>
    <t>Mon May 02 04:28:27 +0000 2022</t>
  </si>
  <si>
    <t>3076961029</t>
  </si>
  <si>
    <t>http://pbs.twimg.com/profile_images/1466173761892278273/eUx8elxm_normal.jpg</t>
  </si>
  <si>
    <t>http://twitter.com/pmeierprof/statuses/1520983532453122049</t>
  </si>
  <si>
    <t>1520983471266664448</t>
  </si>
  <si>
    <t>Telecast1958</t>
  </si>
  <si>
    <t>Mon May 02 04:28:12 +0000 2022</t>
  </si>
  <si>
    <t>1261416849515909125</t>
  </si>
  <si>
    <t>http://pbs.twimg.com/profile_images/1392440443535859715/myeOrQtc_normal.jpg</t>
  </si>
  <si>
    <t>Whitley Bay, England</t>
  </si>
  <si>
    <t>http://twitter.com/Telecast1958/statuses/1520983471266664448</t>
  </si>
  <si>
    <t>1520983363686969344</t>
  </si>
  <si>
    <t>Michael81202656</t>
  </si>
  <si>
    <t>Mon May 02 04:27:47 +0000 2022</t>
  </si>
  <si>
    <t>1269056711769366529</t>
  </si>
  <si>
    <t>http://pbs.twimg.com/profile_images/1269284709151932416/_KQm5fhZ_normal.jpg</t>
  </si>
  <si>
    <t>Baden-Württemberg, Deutschland</t>
  </si>
  <si>
    <t>http://twitter.com/Michael81202656/statuses/1520983363686969344</t>
  </si>
  <si>
    <t>1520982943984144384</t>
  </si>
  <si>
    <t>kadams0</t>
  </si>
  <si>
    <t>Mon May 02 04:26:06 +0000 2022</t>
  </si>
  <si>
    <t>883216950469566464</t>
  </si>
  <si>
    <t>http://pbs.twimg.com/profile_images/919493087075950592/fcDtwShF_normal.jpg</t>
  </si>
  <si>
    <t>Grasse, France</t>
  </si>
  <si>
    <t>http://twitter.com/kadams0/statuses/1520982943984144384</t>
  </si>
  <si>
    <t>1520982912321134593</t>
  </si>
  <si>
    <t>ChrisLyddon</t>
  </si>
  <si>
    <t>Mon May 02 04:25:59 +0000 2022</t>
  </si>
  <si>
    <t>47397261</t>
  </si>
  <si>
    <t>http://pbs.twimg.com/profile_images/1694356599/bsa_red_logo_normal.JPG</t>
  </si>
  <si>
    <t>http://twitter.com/ChrisLyddon/statuses/1520982912321134593</t>
  </si>
  <si>
    <t>1520982827076300800</t>
  </si>
  <si>
    <t>Mon May 02 04:25:39 +0000 2022</t>
  </si>
  <si>
    <t>http://twitter.com/kadams0/statuses/1520982827076300800</t>
  </si>
  <si>
    <t>1520982787452715009</t>
  </si>
  <si>
    <t>Mon May 02 04:25:29 +0000 2022</t>
  </si>
  <si>
    <t>http://twitter.com/kadams0/statuses/1520982787452715009</t>
  </si>
  <si>
    <t>1520982737846677504</t>
  </si>
  <si>
    <t>Mon May 02 04:25:17 +0000 2022</t>
  </si>
  <si>
    <t>http://twitter.com/kadams0/statuses/1520982737846677504</t>
  </si>
  <si>
    <t>1520982689305841669</t>
  </si>
  <si>
    <t>Rainbow_July</t>
  </si>
  <si>
    <t>@noclador They already did that.#brexit</t>
  </si>
  <si>
    <t>Mon May 02 04:25:06 +0000 2022</t>
  </si>
  <si>
    <t>48999435</t>
  </si>
  <si>
    <t>noclador</t>
  </si>
  <si>
    <t>1447244583780470789</t>
  </si>
  <si>
    <t>1520903768946012160</t>
  </si>
  <si>
    <t>http://pbs.twimg.com/profile_images/1475493191214407686/E9aNqWsr_normal.jpg</t>
  </si>
  <si>
    <t>http://twitter.com/Rainbow_July/statuses/1520982689305841669</t>
  </si>
  <si>
    <t>{"hashtags":[{"text":"brexit","indices":[32,39]}],"symbols":[],"user_mentions":[{"screen_name":"noclador","name":"Thomas C. Theiner","id":48999435,"id_str":"48999435","indices":[0,9]}],"urls":[]}</t>
  </si>
  <si>
    <t>1520982667910852608</t>
  </si>
  <si>
    <t>Mon May 02 04:25:01 +0000 2022</t>
  </si>
  <si>
    <t>http://twitter.com/kadams0/statuses/1520982667910852608</t>
  </si>
  <si>
    <t>1520982606053257217</t>
  </si>
  <si>
    <t>Mon May 02 04:24:46 +0000 2022</t>
  </si>
  <si>
    <t>http://twitter.com/kadams0/statuses/1520982606053257217</t>
  </si>
  <si>
    <t>1520982216226050049</t>
  </si>
  <si>
    <t>RT @SydesJokes: #Brexit https://t.co/qbiJYC1BLT</t>
  </si>
  <si>
    <t>Mon May 02 04:23:13 +0000 2022</t>
  </si>
  <si>
    <t>http://twitter.com/MartinHarper62/statuses/1520982216226050049</t>
  </si>
  <si>
    <t>{"hashtags":[{"text":"Brexit","indices":[16,23]}],"symbols":[],"user_mentions":[{"screen_name":"SydesJokes","name":"Lord Sydes #FBPE #FBPPR 💙 🇬🇧🇩🇪🇸🇬🇫🇮🇪🇺","id":29459695,"id_str":"29459695","indices":[3,14]}],"urls":[],"media":[{"id":1520728888514650000,"id_str":"1520728888514650112","indices":[24,47],"media_url":"http://pbs.twimg.com/media/FRq23e-XIAAS3Mx.jpg","media_url_https":"https://pbs.twimg.com/media/FRq23e-XIAAS3Mx.jpg","url":"https://t.co/qbiJYC1BLT","display_url":"pic.twitter.com/qbiJYC1BLT","expanded_url":"https://twitter.com/SydesJokes/status/1520728891404525570/photo/1","type":"photo","sizes":{"small":{"w":680,"h":680,"resize":"fit"},"thumb":{"w":150,"h":150,"resize":"crop"},"medium":{"w":800,"h":800,"resize":"fit"},"large":{"w":800,"h":800,"resize":"fit"}},"source_status_id":1520728891404525600,"source_status_id_str":"1520728891404525570","source_user_id":29459695,"source_user_id_str":"29459695"}]}</t>
  </si>
  <si>
    <t>1520981634597724161</t>
  </si>
  <si>
    <t>Mon May 02 04:20:54 +0000 2022</t>
  </si>
  <si>
    <t>http://twitter.com/Chezm79Mace/statuses/1520981634597724161</t>
  </si>
  <si>
    <t>1520981130597617664</t>
  </si>
  <si>
    <t>ajhellyer52</t>
  </si>
  <si>
    <t>Mon May 02 04:18:54 +0000 2022</t>
  </si>
  <si>
    <t>749528199680360452</t>
  </si>
  <si>
    <t>http://pbs.twimg.com/profile_images/789563834679889920/vUJof0N9_normal.jpg</t>
  </si>
  <si>
    <t>Somerton</t>
  </si>
  <si>
    <t>http://twitter.com/ajhellyer52/statuses/1520981130597617664</t>
  </si>
  <si>
    <t>1520981094975381505</t>
  </si>
  <si>
    <t>deane258</t>
  </si>
  <si>
    <t>Mon May 02 04:18:46 +0000 2022</t>
  </si>
  <si>
    <t>2615667475</t>
  </si>
  <si>
    <t>http://pbs.twimg.com/profile_images/498001493749161984/OW6H7vBT_normal.jpeg</t>
  </si>
  <si>
    <t>http://twitter.com/deane258/statuses/1520981094975381505</t>
  </si>
  <si>
    <t>1520981046405312512</t>
  </si>
  <si>
    <t>julie_dutto</t>
  </si>
  <si>
    <t>Mon May 02 04:18:34 +0000 2022</t>
  </si>
  <si>
    <t>1240935329462444033</t>
  </si>
  <si>
    <t>http://pbs.twimg.com/profile_images/1240938581901877248/0qdU1nOH_normal.jpg</t>
  </si>
  <si>
    <t>Piedmont, Italy</t>
  </si>
  <si>
    <t>http://twitter.com/julie_dutto/statuses/1520981046405312512</t>
  </si>
  <si>
    <t>1520981016663543808</t>
  </si>
  <si>
    <t>Mon May 02 04:18:27 +0000 2022</t>
  </si>
  <si>
    <t>http://twitter.com/julie_dutto/statuses/1520981016663543808</t>
  </si>
  <si>
    <t>1520981012607557634</t>
  </si>
  <si>
    <t>TFpgbp</t>
  </si>
  <si>
    <t>RT @Britain_People: #Brexit.
Tory voters should demand answers from government.
Deregulation and weakening of citizens' rights is a consequence of Brexit. https://t.co/0uf7rBBuuA https://t.co/3buXchZr5r</t>
  </si>
  <si>
    <t>Mon May 02 04:18:26 +0000 2022</t>
  </si>
  <si>
    <t>1506602176122167301</t>
  </si>
  <si>
    <t>http://pbs.twimg.com/profile_images/1516363603200421892/Y10EO1rb_normal.jpg</t>
  </si>
  <si>
    <t>http://twitter.com/TFpgbp/statuses/1520981012607557634</t>
  </si>
  <si>
    <t>{"hashtags":[{"text":"Brexit","indices":[20,27]}],"symbols":[],"user_mentions":[{"screen_name":"Britain_People","name":"SUPPORT ➡️ \"Britain Is The People\" (FB Pg)","id":1217922136343490600,"id_str":"1217922136343490576","indices":[3,18]}],"urls":[]}</t>
  </si>
  <si>
    <t>1520980866121539584</t>
  </si>
  <si>
    <t>Mon May 02 04:17:51 +0000 2022</t>
  </si>
  <si>
    <t>http://twitter.com/julie_dutto/statuses/1520980866121539584</t>
  </si>
  <si>
    <t>1520980789856550912</t>
  </si>
  <si>
    <t>Mon May 02 04:17:33 +0000 2022</t>
  </si>
  <si>
    <t>http://twitter.com/julie_dutto/statuses/1520980789856550912</t>
  </si>
  <si>
    <t>1520980421051355138</t>
  </si>
  <si>
    <t>RT @AHaglington: @eurobishop #BrexitHighPrices
#BrexitLowPound
#BrexitHighTaxes
#BrexitRedTape
#BrexitLorryQueues
#BrexitFoodShortages
#BrexitMedicineShortages
#BrexitCostOfLivingCrisis
#BrexitDisaster
🔥
#BREXIT CRASH
#GetBrexitUndone
#RejoinEU #FBPE
#ProgressiveAlliance 
TIME TO VOTE AGAINST
BREXIT PARTIES</t>
  </si>
  <si>
    <t>Mon May 02 04:16:05 +0000 2022</t>
  </si>
  <si>
    <t>http://twitter.com/botanic_my/statuses/1520980421051355138</t>
  </si>
  <si>
    <t>{"hashtags":[{"text":"BrexitHighPrices","indices":[29,46]},{"text":"BrexitLowPound","indices":[47,62]},{"text":"BrexitHighTaxes","indices":[63,79]},{"text":"BrexitRedTape","indices":[80,94]},{"text":"BrexitLorryQueues","indices":[95,113]},{"text":"BrexitFoodShortages","indices":[114,134]}],"symbols":[],"user_mentions":[{"screen_name":"AHaglington","name":"Andrew Haglington 🇪🇺 #RejoinEU","id":89438779,"id_str":"89438779","indices":[3,15]},{"screen_name":"eurobishop","name":"David Hamid","id":19402498,"id_str":"19402498","indices":[17,28]}],"urls":[]}</t>
  </si>
  <si>
    <t>1520980386989416448</t>
  </si>
  <si>
    <t>RT @AHaglington: @terrychristian @cernusson #BrexitDisaster
#BrexitHighPrices
#BrexitLowPound
#BrexitHighTaxes
#BrexitRedTape
#BrexitLorryQueues
#BrexitFoodShortages
#BrexitMedicineShortages
#BrexitCostOfLivingCrisis
🔥
#BREXIT CRASH
#GetBrexitUndone
#RejoinEU #FBPE
#ProgressiveAlliance 
DON'T VOTE FOR BREXIT PARTIES</t>
  </si>
  <si>
    <t>Mon May 02 04:15:57 +0000 2022</t>
  </si>
  <si>
    <t>http://twitter.com/botanic_my/statuses/1520980386989416448</t>
  </si>
  <si>
    <t>{"hashtags":[{"text":"BrexitDisaster","indices":[44,59]},{"text":"BrexitHighPrices","indices":[60,77]},{"text":"BrexitLowPound","indices":[78,93]},{"text":"BrexitHighTaxes","indices":[94,110]},{"text":"BrexitRedTape","indices":[111,125]}],"symbols":[],"user_mentions":[{"screen_name":"AHaglington","name":"Andrew Haglington 🇪🇺 #RejoinEU","id":89438779,"id_str":"89438779","indices":[3,15]},{"screen_name":"terrychristian","name":"terry christian","id":18063173,"id_str":"18063173","indices":[17,32]},{"screen_name":"cernusson","name":"Cecelia *💙🌻💕Welcome Refugees💞 🇪🇺","id":52400775,"id_str":"52400775","indices":[33,43]}],"urls":[]}</t>
  </si>
  <si>
    <t>1520980352705208320</t>
  </si>
  <si>
    <t>geographyjazz</t>
  </si>
  <si>
    <t>Mon May 02 04:15:49 +0000 2022</t>
  </si>
  <si>
    <t>22497796</t>
  </si>
  <si>
    <t>http://pbs.twimg.com/profile_images/1192493314534256645/P3c8DwGU_normal.jpg</t>
  </si>
  <si>
    <t>http://twitter.com/geographyjazz/statuses/1520980352705208320</t>
  </si>
  <si>
    <t>1520980094503862272</t>
  </si>
  <si>
    <t>FXstreetNews</t>
  </si>
  <si>
    <t>GBP/USD: Mildly offered around 1.2550 as traders await Fed, BOE By @anilpanchal7 https://t.co/wTV72leeL6 #GBPUSD #Brexit #Fed #BOE #RiskAppetite</t>
  </si>
  <si>
    <t>Mon May 02 04:14:47 +0000 2022</t>
  </si>
  <si>
    <t>27652717</t>
  </si>
  <si>
    <t>&lt;a href="http://www.fxstreet.com/" rel="nofollow"&gt;FXstreet.com&lt;/a&gt;</t>
  </si>
  <si>
    <t>http://pbs.twimg.com/profile_images/900669341171056640/06pIS4h4_normal.jpg</t>
  </si>
  <si>
    <t>Barcelona</t>
  </si>
  <si>
    <t>http://twitter.com/FXstreetNews/statuses/1520980094503862272</t>
  </si>
  <si>
    <t>{"hashtags":[{"text":"GBPUSD","indices":[105,112]},{"text":"Brexit","indices":[113,120]},{"text":"Fed","indices":[121,125]},{"text":"BOE","indices":[126,130]},{"text":"RiskAppetite","indices":[131,144]}],"symbols":[],"user_mentions":[{"screen_name":"anilpanchal7","name":"Anil Panchal","id":82376934,"id_str":"82376934","indices":[67,80]}],"urls":[{"url":"https://t.co/wTV72leeL6","expanded_url":"https://s68mv.app.goo.gl/tRp5T","display_url":"s68mv.app.goo.gl/tRp5T","indices":[81,104]}]}</t>
  </si>
  <si>
    <t>1520979637546926080</t>
  </si>
  <si>
    <t>Citizen_1965</t>
  </si>
  <si>
    <t>Mon May 02 04:12:58 +0000 2022</t>
  </si>
  <si>
    <t>2957070496</t>
  </si>
  <si>
    <t>http://pbs.twimg.com/profile_images/1296851563844186113/xDNBiXGS_normal.jpg</t>
  </si>
  <si>
    <t>Yorkshire, the Edge of Europe</t>
  </si>
  <si>
    <t>http://twitter.com/Citizen_1965/statuses/1520979637546926080</t>
  </si>
  <si>
    <t>1520979597810180096</t>
  </si>
  <si>
    <t>DeniseB92880798</t>
  </si>
  <si>
    <t>Mon May 02 04:12:49 +0000 2022</t>
  </si>
  <si>
    <t>1245458904617631744</t>
  </si>
  <si>
    <t>http://pbs.twimg.com/profile_images/1269768654410973190/m-bho-Ik_normal.jpg</t>
  </si>
  <si>
    <t>North Yorkshire for now.</t>
  </si>
  <si>
    <t>http://twitter.com/DeniseB92880798/statuses/1520979597810180096</t>
  </si>
  <si>
    <t>1520979523671633920</t>
  </si>
  <si>
    <t>Mon May 02 04:12:31 +0000 2022</t>
  </si>
  <si>
    <t>http://twitter.com/EnglishNRomania/statuses/1520979523671633920</t>
  </si>
  <si>
    <t>1520979363042312193</t>
  </si>
  <si>
    <t>pamela_bernie</t>
  </si>
  <si>
    <t>Mon May 02 04:11:53 +0000 2022</t>
  </si>
  <si>
    <t>1700014322</t>
  </si>
  <si>
    <t>http://pbs.twimg.com/profile_images/1089649775547478016/DNAyowP-_normal.jpg</t>
  </si>
  <si>
    <t>http://twitter.com/pamela_bernie/statuses/1520979363042312193</t>
  </si>
  <si>
    <t>1520978436927414274</t>
  </si>
  <si>
    <t>Wombat120mm</t>
  </si>
  <si>
    <t>Mon May 02 04:08:12 +0000 2022</t>
  </si>
  <si>
    <t>4189590388</t>
  </si>
  <si>
    <t>http://twitter.com/Wombat120mm/statuses/1520978436927414274</t>
  </si>
  <si>
    <t>1520978349849518082</t>
  </si>
  <si>
    <t>moozersa</t>
  </si>
  <si>
    <t>Mon May 02 04:07:51 +0000 2022</t>
  </si>
  <si>
    <t>1009987015</t>
  </si>
  <si>
    <t>http://pbs.twimg.com/profile_images/1348147759245885440/By_J8-8J_normal.jpg</t>
  </si>
  <si>
    <t>http://twitter.com/moozersa/statuses/1520978349849518082</t>
  </si>
  <si>
    <t>1520978254114533377</t>
  </si>
  <si>
    <t>DoddsLindsay</t>
  </si>
  <si>
    <t>Mon May 02 04:07:28 +0000 2022</t>
  </si>
  <si>
    <t>3066159728</t>
  </si>
  <si>
    <t>http://pbs.twimg.com/profile_images/1314112452297199616/rzLnPdC2_normal.jpg</t>
  </si>
  <si>
    <t>Nicosia</t>
  </si>
  <si>
    <t>http://twitter.com/DoddsLindsay/statuses/1520978254114533377</t>
  </si>
  <si>
    <t>1520978252826914816</t>
  </si>
  <si>
    <t>cathcart3303</t>
  </si>
  <si>
    <t>2813597546</t>
  </si>
  <si>
    <t>http://twitter.com/cathcart3303/statuses/1520978252826914816</t>
  </si>
  <si>
    <t>1520978232463536129</t>
  </si>
  <si>
    <t>carolyndare</t>
  </si>
  <si>
    <t>Mon May 02 04:07:23 +0000 2022</t>
  </si>
  <si>
    <t>68637042</t>
  </si>
  <si>
    <t>http://pbs.twimg.com/profile_images/381003308/Carolyn2_normal.jpg</t>
  </si>
  <si>
    <t>Brussels / Taunton</t>
  </si>
  <si>
    <t>http://twitter.com/carolyndare/statuses/1520978232463536129</t>
  </si>
  <si>
    <t>1520978108471558144</t>
  </si>
  <si>
    <t>bronwen_brown1</t>
  </si>
  <si>
    <t>RT @LColeAarons: Looking to speak to #British #expats living in #Spain who hold a UK Driving licence. Please RT.  #ukdrivinglicence #brexit</t>
  </si>
  <si>
    <t>Mon May 02 04:06:54 +0000 2022</t>
  </si>
  <si>
    <t>3664983616</t>
  </si>
  <si>
    <t>http://pbs.twimg.com/profile_images/1377590563277565952/-m7-6dUn_normal.jpg</t>
  </si>
  <si>
    <t>Norwich, England</t>
  </si>
  <si>
    <t>http://twitter.com/bronwen_brown1/statuses/1520978108471558144</t>
  </si>
  <si>
    <t>{"hashtags":[{"text":"British","indices":[37,45]},{"text":"expats","indices":[46,53]},{"text":"Spain","indices":[64,70]},{"text":"ukdrivinglicence","indices":[114,131]},{"text":"brexit","indices":[132,139]}],"symbols":[],"user_mentions":[{"screen_name":"LColeAarons","name":"Lauren Aarons (air-rons)✨","id":1084483088980283400,"id_str":"1084483088980283392","indices":[3,15]}],"urls":[]}</t>
  </si>
  <si>
    <t>1520977974018908160</t>
  </si>
  <si>
    <t>Sajad_Faz</t>
  </si>
  <si>
    <t>Mon May 02 04:06:22 +0000 2022</t>
  </si>
  <si>
    <t>100989321</t>
  </si>
  <si>
    <t>http://pbs.twimg.com/profile_images/1300584542571581446/UDc07u8-_normal.jpg</t>
  </si>
  <si>
    <t>http://twitter.com/Sajad_Faz/statuses/1520977974018908160</t>
  </si>
  <si>
    <t>1520977799703674880</t>
  </si>
  <si>
    <t>AlisonmarYr</t>
  </si>
  <si>
    <t>Mon May 02 04:05:40 +0000 2022</t>
  </si>
  <si>
    <t>393106536</t>
  </si>
  <si>
    <t>http://twitter.com/AlisonmarYr/statuses/1520977799703674880</t>
  </si>
  <si>
    <t>1520977749095165953</t>
  </si>
  <si>
    <t>Mon May 02 04:05:28 +0000 2022</t>
  </si>
  <si>
    <t>http://twitter.com/AlisonmarYr/statuses/1520977749095165953</t>
  </si>
  <si>
    <t>1520977718313201664</t>
  </si>
  <si>
    <t>peterabird</t>
  </si>
  <si>
    <t>Mon May 02 04:05:21 +0000 2022</t>
  </si>
  <si>
    <t>610590091</t>
  </si>
  <si>
    <t>http://pbs.twimg.com/profile_images/498410564188512258/LAwhd3lh_normal.jpeg</t>
  </si>
  <si>
    <t>Guildford, Surrey</t>
  </si>
  <si>
    <t>http://twitter.com/peterabird/statuses/1520977718313201664</t>
  </si>
  <si>
    <t>1520977668942008321</t>
  </si>
  <si>
    <t>Mon May 02 04:05:09 +0000 2022</t>
  </si>
  <si>
    <t>http://twitter.com/peterabird/statuses/1520977668942008321</t>
  </si>
  <si>
    <t>1520977617385574400</t>
  </si>
  <si>
    <t>Mon May 02 04:04:57 +0000 2022</t>
  </si>
  <si>
    <t>http://twitter.com/peterabird/statuses/1520977617385574400</t>
  </si>
  <si>
    <t>1520977606002237441</t>
  </si>
  <si>
    <t>euanfar</t>
  </si>
  <si>
    <t>Mon May 02 04:04:54 +0000 2022</t>
  </si>
  <si>
    <t>296477344</t>
  </si>
  <si>
    <t>http://pbs.twimg.com/profile_images/2801453735/dd501ca71226502c54434c6d6c3f4eaf_normal.jpeg</t>
  </si>
  <si>
    <t>http://twitter.com/euanfar/statuses/1520977606002237441</t>
  </si>
  <si>
    <t>1520977488951840774</t>
  </si>
  <si>
    <t>CarolineAgent</t>
  </si>
  <si>
    <t>Mon May 02 04:04:26 +0000 2022</t>
  </si>
  <si>
    <t>1080195216</t>
  </si>
  <si>
    <t>http://pbs.twimg.com/profile_images/895572315584573440/F4BcXECG_normal.jpg</t>
  </si>
  <si>
    <t>http://twitter.com/CarolineAgent/statuses/1520977488951840774</t>
  </si>
  <si>
    <t>1520976941506981888</t>
  </si>
  <si>
    <t>NanaRavers</t>
  </si>
  <si>
    <t>Mon May 02 04:02:15 +0000 2022</t>
  </si>
  <si>
    <t>433359917</t>
  </si>
  <si>
    <t>http://pbs.twimg.com/profile_images/760544537643102208/Zjctn-6D_normal.jpg</t>
  </si>
  <si>
    <t>http://twitter.com/NanaRavers/statuses/1520976941506981888</t>
  </si>
  <si>
    <t>1520976800935030784</t>
  </si>
  <si>
    <t>AHaglington</t>
  </si>
  <si>
    <t>Mon May 02 04:01:42 +0000 2022</t>
  </si>
  <si>
    <t>89438779</t>
  </si>
  <si>
    <t>http://pbs.twimg.com/profile_images/1371036955169976320/gzeB8qQs_normal.jpg</t>
  </si>
  <si>
    <t>Sheffield / Dartmoor  PLANET A</t>
  </si>
  <si>
    <t>http://twitter.com/AHaglington/statuses/1520976800935030784</t>
  </si>
  <si>
    <t>1520976771067396096</t>
  </si>
  <si>
    <t>2016 #UK 70m pop.
17m voted leave.
53m did NOT vote for #Brexit.
🔥
#BREXIT ISOLATION NOW WRECKING THE UK ECONOMY 
#BrexitHighPrices
#BrexitLowPound
#BrexitHighTaxes
#BrexitRedTape
#BrexitLorryQueues
#BrexitShortage 
#BrexitCostOfLivingCrisis
#BrexitDisaster
BREXIT CRASH</t>
  </si>
  <si>
    <t>Mon May 02 04:01:35 +0000 2022</t>
  </si>
  <si>
    <t>http://twitter.com/AHaglington/statuses/1520976771067396096</t>
  </si>
  <si>
    <t>{"hashtags":[{"text":"UK","indices":[5,8]},{"text":"Brexit","indices":[56,63]},{"text":"BREXIT","indices":[67,74]},{"text":"BrexitHighPrices","indices":[114,131]},{"text":"BrexitLowPound","indices":[132,147]},{"text":"BrexitHighTaxes","indices":[148,164]},{"text":"BrexitRedTape","indices":[165,179]},{"text":"BrexitLorryQueues","indices":[180,198]},{"text":"BrexitShortage","indices":[199,214]},{"text":"BrexitCostOfLivingCrisis","indices":[216,241]},{"text":"BrexitDisaster","indices":[242,257]}],"symbols":[],"user_mentions":[],"urls":[]}</t>
  </si>
  <si>
    <t>1520976643304697857</t>
  </si>
  <si>
    <t>@snb19692 and a #Brexit promo pact with UKIP in 2016 Steve.</t>
  </si>
  <si>
    <t>Mon May 02 04:01:04 +0000 2022</t>
  </si>
  <si>
    <t>1520727456432459776</t>
  </si>
  <si>
    <t>http://twitter.com/political_wasp/statuses/1520976643304697857</t>
  </si>
  <si>
    <t>{"hashtags":[{"text":"Brexit","indices":[16,23]}],"symbols":[],"user_mentions":[{"screen_name":"snb19692","name":"Steve Bray Activist Against Brexit +Corrupt Tories","id":2698422738,"id_str":"2698422738","indices":[0,9]}],"urls":[]}</t>
  </si>
  <si>
    <t>1520976071264509952</t>
  </si>
  <si>
    <t>Mon May 02 03:58:48 +0000 2022</t>
  </si>
  <si>
    <t>http://twitter.com/julie_dutto/statuses/1520976071264509952</t>
  </si>
  <si>
    <t>1520976031859023872</t>
  </si>
  <si>
    <t>jamie_saris</t>
  </si>
  <si>
    <t>@BEERG @uk_domain_names To keep any kind of economic importance, #UK will ask for membership under those terms eventually. Whether that is accepted by the #EU is another matter. #Brexit damage is not going away. It’s only going to get worse (eg, when #WTO demand u start checking #EU goods).</t>
  </si>
  <si>
    <t>Mon May 02 03:58:39 +0000 2022</t>
  </si>
  <si>
    <t>28602219</t>
  </si>
  <si>
    <t>BEERG</t>
  </si>
  <si>
    <t>757312327452614657</t>
  </si>
  <si>
    <t>1520759902876188672</t>
  </si>
  <si>
    <t>http://pbs.twimg.com/profile_images/1458891210433642501/hQR9X9fs_normal.jpg</t>
  </si>
  <si>
    <t>Maynooth. Kildare, Ireland</t>
  </si>
  <si>
    <t>http://twitter.com/jamie_saris/statuses/1520976031859023872</t>
  </si>
  <si>
    <t>{"hashtags":[{"text":"UK","indices":[65,68]},{"text":"EU","indices":[155,158]},{"text":"Brexit","indices":[178,185]},{"text":"WTO","indices":[251,255]},{"text":"EU","indices":[280,283]}],"symbols":[],"user_mentions":[{"screen_name":"BEERG","name":"Tom Hayes","id":28602219,"id_str":"28602219","indices":[0,6]},{"screen_name":"uk_domain_names","name":"Edwin Hayward 🦄 🗡","id":45010849,"id_str":"45010849","indices":[7,23]}],"urls":[]}</t>
  </si>
  <si>
    <t>1520975671182475264</t>
  </si>
  <si>
    <t>16Sharkey</t>
  </si>
  <si>
    <t>Mon May 02 03:57:13 +0000 2022</t>
  </si>
  <si>
    <t>2542779508</t>
  </si>
  <si>
    <t>http://pbs.twimg.com/profile_images/1471132466152980486/bewSiKpU_normal.jpg</t>
  </si>
  <si>
    <t>http://twitter.com/16Sharkey/statuses/1520975671182475264</t>
  </si>
  <si>
    <t>1520974740634357760</t>
  </si>
  <si>
    <t>cristian_ma21</t>
  </si>
  <si>
    <t>@Ambitocom Pensé que la idea de #Dolarizar ya era estúpida, viene Lula y me tira esta... Tranca palanca Cristian, el factor pelotudo es una constante. Pero ¿qué película está mirando este hombre? No vio el caso #Europeo escucho lo del #Brexit ?? Y los problemitas que ta'teniendo el viejo🌎</t>
  </si>
  <si>
    <t>Mon May 02 03:53:31 +0000 2022</t>
  </si>
  <si>
    <t>65463088</t>
  </si>
  <si>
    <t>Ambitocom</t>
  </si>
  <si>
    <t>4550112137</t>
  </si>
  <si>
    <t>1520947869888434178</t>
  </si>
  <si>
    <t>http://pbs.twimg.com/profile_images/1353466011572445184/x7f2x_vQ_normal.jpg</t>
  </si>
  <si>
    <t>http://twitter.com/cristian_ma21/statuses/1520974740634357760</t>
  </si>
  <si>
    <t>{"hashtags":[{"text":"Dolarizar","indices":[32,42]},{"text":"Europeo","indices":[211,219]},{"text":"Brexit","indices":[235,242]}],"symbols":[],"user_mentions":[{"screen_name":"Ambitocom","name":"Ámbito Financiero","id":65463088,"id_str":"65463088","indices":[0,10]}],"urls":[]}</t>
  </si>
  <si>
    <t>1520974615513686024</t>
  </si>
  <si>
    <t>Rob_Kimbell</t>
  </si>
  <si>
    <t>Mon May 02 03:53:01 +0000 2022</t>
  </si>
  <si>
    <t>555370896</t>
  </si>
  <si>
    <t>http://pbs.twimg.com/profile_images/1024336560618176513/tdqrvdMw_normal.jpg</t>
  </si>
  <si>
    <t>http://twitter.com/Rob_Kimbell/statuses/1520974615513686024</t>
  </si>
  <si>
    <t>1520974466779688960</t>
  </si>
  <si>
    <t>Mon May 02 03:52:25 +0000 2022</t>
  </si>
  <si>
    <t>http://twitter.com/Rob_Kimbell/statuses/1520974466779688960</t>
  </si>
  <si>
    <t>1520974415412056064</t>
  </si>
  <si>
    <t>RT @AHaglington: @dasvee @NileGardiner #BREXIT DISASTER WRECKING THE
UK ECONOMY 
😡
#BrexitHighPrices
#BrexitLowPound
#BrexitHighTaxes
#BrexitRedTape
#BrexitLorryQueues
#BrexitFoodShortages
#BrexitMedicineShortages
#BrexitCostOfLivingCrisis
#BrexitDisaster
BREXIT CRASH
⭐️
#GetBrexitUndone
#RejoinEU 
RESTORE HOPE</t>
  </si>
  <si>
    <t>Mon May 02 03:52:13 +0000 2022</t>
  </si>
  <si>
    <t>http://twitter.com/AHaglington/statuses/1520974415412056064</t>
  </si>
  <si>
    <t>{"hashtags":[{"text":"BREXIT","indices":[39,46]},{"text":"BrexitHighPrices","indices":[83,100]},{"text":"BrexitLowPound","indices":[101,116]},{"text":"BrexitHighTaxes","indices":[117,133]}],"symbols":[],"user_mentions":[{"screen_name":"AHaglington","name":"Andrew Haglington 🇪🇺 #RejoinEU","id":89438779,"id_str":"89438779","indices":[3,15]},{"screen_name":"dasvee","name":"das_v","id":74409768,"id_str":"74409768","indices":[17,24]},{"screen_name":"NileGardiner","name":"Nile Gardiner","id":849880970,"id_str":"849880970","indices":[25,38]}],"urls":[]}</t>
  </si>
  <si>
    <t>1520973447404392454</t>
  </si>
  <si>
    <t>@dasvee @NileGardiner #BREXIT DISASTER WRECKING THE
UK ECONOMY 
😡
#BrexitHighPrices
#BrexitLowPound
#BrexitHighTaxes
#BrexitRedTape
#BrexitLorryQueues
#BrexitFoodShortages
#BrexitMedicineShortages
#BrexitCostOfLivingCrisis
#BrexitDisaster
BREXIT CRASH
⭐️
#GetBrexitUndone
#RejoinEU 
RESTORE HOPE</t>
  </si>
  <si>
    <t>Mon May 02 03:48:22 +0000 2022</t>
  </si>
  <si>
    <t>74409768</t>
  </si>
  <si>
    <t>dasvee</t>
  </si>
  <si>
    <t>1518332220196495361</t>
  </si>
  <si>
    <t>http://twitter.com/AHaglington/statuses/1520973447404392454</t>
  </si>
  <si>
    <t>{"hashtags":[{"text":"BREXIT","indices":[22,29]},{"text":"BrexitHighPrices","indices":[66,83]},{"text":"BrexitLowPound","indices":[84,99]},{"text":"BrexitHighTaxes","indices":[100,116]},{"text":"BrexitRedTape","indices":[117,131]},{"text":"BrexitLorryQueues","indices":[132,150]},{"text":"BrexitFoodShortages","indices":[151,171]},{"text":"BrexitMedicineShortages","indices":[172,196]},{"text":"BrexitCostOfLivingCrisis","indices":[197,222]},{"text":"BrexitDisaster","indices":[223,238]},{"text":"GetBrexitUndone","indices":[255,271]},{"text":"RejoinEU","indices":[272,281]}],"symbols":[],"user_mentions":[{"screen_name":"dasvee","name":"das_v","id":74409768,"id_str":"74409768","indices":[0,7]},{"screen_name":"NileGardiner","name":"Nile Gardiner","id":849880970,"id_str":"849880970","indices":[8,21]}],"urls":[]}</t>
  </si>
  <si>
    <t>1520973116930994178</t>
  </si>
  <si>
    <t>RT @BrynCleat: @FitzHarr @ScotExpress The voice of the people was clear in the results of the 2014 vote ......... after they has been told "vote NO, to stay in the EU"🙄
#Brexit means #Scotland get to choose, once more. https://t.co/HphX60ZohB</t>
  </si>
  <si>
    <t>Mon May 02 03:47:04 +0000 2022</t>
  </si>
  <si>
    <t>http://twitter.com/BrexitLalaland/statuses/1520973116930994178</t>
  </si>
  <si>
    <t>{"hashtags":[],"symbols":[],"user_mentions":[{"screen_name":"BrynCleat","name":"Bryn Cleat #Solidarity with #Ukraine","id":1209650152094490600,"id_str":"1209650152094490636","indices":[3,13]},{"screen_name":"FitzHarr","name":"Fitzgerald Harrison","id":1498062889701290000,"id_str":"1498062889701289984","indices":[15,24]},{"screen_name":"ScotExpress","name":"Scottish Express","id":128180355,"id_str":"128180355","indices":[25,37]}],"urls":[]}</t>
  </si>
  <si>
    <t>1520973103089782786</t>
  </si>
  <si>
    <t>Mon May 02 03:47:00 +0000 2022</t>
  </si>
  <si>
    <t>http://twitter.com/BrexitLalaland/statuses/1520973103089782786</t>
  </si>
  <si>
    <t>{"hashtags":[{"text":"brexit","indices":[25,32]}],"symbols":[],"user_mentions":[{"screen_name":"DesteDanilo","name":"Danilo De Stefanis","id":949271578105253900,"id_str":"949271578105253889","indices":[3,15]}],"urls":[{"url":"https://t.co/KmiIeE3RjP","expanded_url":"https://twitter.com/zothyria/status/1520729947836461056","display_url":"twitter.com/zothyria/statu…","indices":[33,56]}]}</t>
  </si>
  <si>
    <t>1520973054939222018</t>
  </si>
  <si>
    <t>Mon May 02 03:46:49 +0000 2022</t>
  </si>
  <si>
    <t>http://twitter.com/BrexitLalaland/statuses/1520973054939222018</t>
  </si>
  <si>
    <t>1520973001000292354</t>
  </si>
  <si>
    <t>TheresaMayOTR</t>
  </si>
  <si>
    <t>#Brexit means white out</t>
  </si>
  <si>
    <t>Mon May 02 03:46:36 +0000 2022</t>
  </si>
  <si>
    <t>861918081957933056</t>
  </si>
  <si>
    <t>http://pbs.twimg.com/profile_images/862274709970354176/eQcXwJaa_normal.jpg</t>
  </si>
  <si>
    <t>http://twitter.com/TheresaMayOTR/statuses/1520973001000292354</t>
  </si>
  <si>
    <t>1520972784473714688</t>
  </si>
  <si>
    <t>BaioniNazzareno</t>
  </si>
  <si>
    <t>Mon May 02 03:45:44 +0000 2022</t>
  </si>
  <si>
    <t>425981781</t>
  </si>
  <si>
    <t>http://pbs.twimg.com/profile_images/1702354292/image_normal.jpg</t>
  </si>
  <si>
    <t>Svizzera</t>
  </si>
  <si>
    <t>http://twitter.com/BaioniNazzareno/statuses/1520972784473714688</t>
  </si>
  <si>
    <t>1520972749971148800</t>
  </si>
  <si>
    <t>BrynCleat</t>
  </si>
  <si>
    <t>@FitzHarr @ScotExpress The voice of the people was clear in the results of the 2014 vote ......... after they has been told "vote NO, to stay in the EU"🙄
#Brexit means #Scotland get to choose, once more. https://t.co/HphX60ZohB</t>
  </si>
  <si>
    <t>Mon May 02 03:45:36 +0000 2022</t>
  </si>
  <si>
    <t>1498062889701289984</t>
  </si>
  <si>
    <t>FitzHarr</t>
  </si>
  <si>
    <t>1209650152094490636</t>
  </si>
  <si>
    <t>1520800725735026694</t>
  </si>
  <si>
    <t>http://pbs.twimg.com/profile_images/1316066824505757700/N4_m6pBq_normal.jpg</t>
  </si>
  <si>
    <t>http://twitter.com/BrynCleat/statuses/1520972749971148800</t>
  </si>
  <si>
    <t>{"hashtags":[{"text":"Brexit","indices":[155,162]},{"text":"Scotland","indices":[169,178]}],"symbols":[],"user_mentions":[{"screen_name":"FitzHarr","name":"Fitzgerald Harrison","id":1498062889701290000,"id_str":"1498062889701289984","indices":[0,9]},{"screen_name":"ScotExpress","name":"Scottish Express","id":128180355,"id_str":"128180355","indices":[10,22]}],"urls":[],"media":[{"id":1520972633361293300,"id_str":"1520972633361293313","indices":[205,228],"media_url":"http://pbs.twimg.com/media/FRuUjTSXIAEZ5A4.jpg","media_url_https":"https://pbs.twimg.com/media/FRuUjTSXIAEZ5A4.jpg","url":"https://t.co/HphX60ZohB","display_url":"pic.twitter.com/HphX60ZohB","expanded_url":"https://twitter.com/BrynCleat/status/1520972749971148800/photo/1","type":"photo","sizes":{"thumb":{"w":150,"h":150,"resize":"crop"},"large":{"w":475,"h":645,"resize":"fit"},"medium":{"w":475,"h":645,"resize":"fit"},"small":{"w":475,"h":645,"resize":"fit"}}}]}</t>
  </si>
  <si>
    <t>1520972380260249600</t>
  </si>
  <si>
    <t>@davidknowles @RhonddaBryant TOTAL #BREXIT DISASTER WRECKING THE ECONOMY 
😡
#BrexitHighPrices
#BrexitLowPound
#BrexitHighTaxes
#BrexitRedTape
#BrexitLorryQueues
#BrexitFoodShortages
#BrexitMedicineShortages
#BrexitCostOfLivingCrisis
#BrexitDisaster
BREXIT CRASH
⭐️
#GetBrexitUndone
#RejoinEU 
RESTORE HOPE</t>
  </si>
  <si>
    <t>Mon May 02 03:44:08 +0000 2022</t>
  </si>
  <si>
    <t>15297350</t>
  </si>
  <si>
    <t>davidknowles</t>
  </si>
  <si>
    <t>1519770652688986119</t>
  </si>
  <si>
    <t>http://twitter.com/AHaglington/statuses/1520972380260249600</t>
  </si>
  <si>
    <t>{"hashtags":[{"text":"BREXIT","indices":[35,42]},{"text":"BrexitHighPrices","indices":[76,93]},{"text":"BrexitLowPound","indices":[94,109]},{"text":"BrexitHighTaxes","indices":[110,126]},{"text":"BrexitRedTape","indices":[127,141]},{"text":"BrexitLorryQueues","indices":[142,160]},{"text":"BrexitFoodShortages","indices":[161,181]},{"text":"BrexitMedicineShortages","indices":[182,206]},{"text":"BrexitCostOfLivingCrisis","indices":[207,232]},{"text":"BrexitDisaster","indices":[233,248]},{"text":"GetBrexitUndone","indices":[265,281]},{"text":"RejoinEU","indices":[282,291]}],"symbols":[],"user_mentions":[{"screen_name":"davidknowles","name":"David Knowles","id":15297350,"id_str":"15297350","indices":[0,13]},{"screen_name":"RhonddaBryant","name":"Chris Bryant","id":20995648,"id_str":"20995648","indices":[14,28]}],"urls":[]}</t>
  </si>
  <si>
    <t>1520972056288194560</t>
  </si>
  <si>
    <t>IMMFX</t>
  </si>
  <si>
    <t>#IMMFX Daily #FinancialNews 02-May: 
https://t.co/dkux8TGeTB
-#Oil scores monthly gain as supply fears top #China lockdowns.
-#Brexit #import checks delayed again. 
-#Eurozone #inflation hit a record. 
More #trading &amp;amp; #forex updates on our site!</t>
  </si>
  <si>
    <t>Mon May 02 03:42:51 +0000 2022</t>
  </si>
  <si>
    <t>2588532367</t>
  </si>
  <si>
    <t>http://pbs.twimg.com/profile_images/481959880132022272/f-LCTRnX_normal.png</t>
  </si>
  <si>
    <t>http://twitter.com/IMMFX/statuses/1520972056288194560</t>
  </si>
  <si>
    <t>{"hashtags":[{"text":"IMMFX","indices":[0,6]},{"text":"FinancialNews","indices":[13,27]},{"text":"Oil","indices":[62,66]},{"text":"China","indices":[107,113]},{"text":"Brexit","indices":[126,133]},{"text":"import","indices":[134,141]},{"text":"Eurozone","indices":[166,175]},{"text":"inflation","indices":[176,186]},{"text":"trading","indices":[207,215]},{"text":"forex","indices":[222,228]}],"symbols":[],"user_mentions":[],"urls":[{"url":"https://t.co/dkux8TGeTB","expanded_url":"https://youtu.be/ax0wklkTYW4","display_url":"youtu.be/ax0wklkTYW4","indices":[37,60]}]}</t>
  </si>
  <si>
    <t>1520971971361714176</t>
  </si>
  <si>
    <t>RT @NotaTory67: If you can usefully vote Lib Dem or Green on May 5th without enabling a Tory, please do. Labour is an actively pro-#Brexit party whatever Starmer’s apologists on here say. #LocalElections https://t.co/D7HXHrLBK3</t>
  </si>
  <si>
    <t>Mon May 02 03:42:30 +0000 2022</t>
  </si>
  <si>
    <t>http://twitter.com/AHaglington/statuses/1520971971361714176</t>
  </si>
  <si>
    <t>{"hashtags":[{"text":"Brexit","indices":[131,138]}],"symbols":[],"user_mentions":[{"screen_name":"NotaTory67","name":"Lord DomB of Vladivostok #FBPE","id":1289061062,"id_str":"1289061062","indices":[3,14]}],"urls":[]}</t>
  </si>
  <si>
    <t>1520970950355079168</t>
  </si>
  <si>
    <t>PrimeFXltd</t>
  </si>
  <si>
    <t>RT @pmdfoster: 🚨🚨🇪🇺🇬🇧🚨🚨NEW research by @thom_sampson et al. of LSE shows #Brexit triggered "steep decline"in the number of trading relationships Britain has with the bloc -- with small biz hit hardest - my @ft latest. Stay with me for links and charts. /1
https://t.co/iWFfm9p4Jp</t>
  </si>
  <si>
    <t>Mon May 02 03:38:27 +0000 2022</t>
  </si>
  <si>
    <t>1188048668</t>
  </si>
  <si>
    <t>http://pbs.twimg.com/profile_images/1326864604253843456/qPPIYIq8_normal.jpg</t>
  </si>
  <si>
    <t>http://twitter.com/PrimeFXltd/statuses/1520970950355079168</t>
  </si>
  <si>
    <t>{"hashtags":[{"text":"Brexit","indices":[73,80]}],"symbols":[],"user_mentions":[{"screen_name":"pmdfoster","name":"Peter Foster","id":23563830,"id_str":"23563830","indices":[3,13]},{"screen_name":"thom_sampson","name":"Thomas Sampson","id":1223600425326256000,"id_str":"1223600425326256128","indices":[39,52]}],"urls":[]}</t>
  </si>
  <si>
    <t>1520970917194526720</t>
  </si>
  <si>
    <t>jaypwright</t>
  </si>
  <si>
    <t>Mon May 02 03:38:19 +0000 2022</t>
  </si>
  <si>
    <t>158161984</t>
  </si>
  <si>
    <t>http://pbs.twimg.com/profile_images/1224045547192909824/ge12jZeR_normal.jpg</t>
  </si>
  <si>
    <t>http://twitter.com/jaypwright/statuses/1520970917194526720</t>
  </si>
  <si>
    <t>1520970803549986821</t>
  </si>
  <si>
    <t>Mon May 02 03:37:52 +0000 2022</t>
  </si>
  <si>
    <t>http://twitter.com/AHaglington/statuses/1520970803549986821</t>
  </si>
  <si>
    <t>1520970768510853121</t>
  </si>
  <si>
    <t>@MarieAnnUK TOTAL #BREXIT DISASTER WRECKING THE ECONOMY 
😡
#BrexitHighPrices
#BrexitLowPound
#BrexitHighTaxes
#BrexitRedTape
#BrexitLorryQueues
#BrexitFoodShortages
#BrexitMedicineShortages
#BrexitCostOfLivingCrisis
#BrexitDisaster
BREXIT CRASH
⭐️
#GetBrexitUndone
#RejoinEU 
RESTORE HOPE</t>
  </si>
  <si>
    <t>Mon May 02 03:37:44 +0000 2022</t>
  </si>
  <si>
    <t>1657761703</t>
  </si>
  <si>
    <t>MarieAnnUK</t>
  </si>
  <si>
    <t>1519794324954824704</t>
  </si>
  <si>
    <t>http://twitter.com/AHaglington/statuses/1520970768510853121</t>
  </si>
  <si>
    <t>{"hashtags":[{"text":"BREXIT","indices":[18,25]},{"text":"BrexitHighPrices","indices":[59,76]},{"text":"BrexitLowPound","indices":[77,92]},{"text":"BrexitHighTaxes","indices":[93,109]},{"text":"BrexitRedTape","indices":[110,124]},{"text":"BrexitLorryQueues","indices":[125,143]},{"text":"BrexitFoodShortages","indices":[144,164]},{"text":"BrexitMedicineShortages","indices":[165,189]},{"text":"BrexitCostOfLivingCrisis","indices":[190,215]},{"text":"BrexitDisaster","indices":[216,231]},{"text":"GetBrexitUndone","indices":[248,264]},{"text":"RejoinEU","indices":[265,274]}],"symbols":[],"user_mentions":[{"screen_name":"MarieAnnUK","name":"Marie-Ann Detests Tories 🇺🇦 🇪🇺 🇬🇧","id":1657761703,"id_str":"1657761703","indices":[0,11]}],"urls":[]}</t>
  </si>
  <si>
    <t>1520970171233447944</t>
  </si>
  <si>
    <t>LindaStewart3</t>
  </si>
  <si>
    <t>Mon May 02 03:35:21 +0000 2022</t>
  </si>
  <si>
    <t>306393423</t>
  </si>
  <si>
    <t>http://pbs.twimg.com/profile_images/1282430255471439872/gZwr9iyR_normal.jpg</t>
  </si>
  <si>
    <t>http://twitter.com/LindaStewart3/statuses/1520970171233447944</t>
  </si>
  <si>
    <t>1520969939649130498</t>
  </si>
  <si>
    <t>ronbuch</t>
  </si>
  <si>
    <t>#brexit https://t.co/jeQNwG8waz</t>
  </si>
  <si>
    <t>Mon May 02 03:34:26 +0000 2022</t>
  </si>
  <si>
    <t>397105478</t>
  </si>
  <si>
    <t>http://pbs.twimg.com/profile_images/1412642165843402752/CINlrLtA_normal.jpg</t>
  </si>
  <si>
    <t>http://twitter.com/ronbuch/statuses/1520969939649130498</t>
  </si>
  <si>
    <t>{"hashtags":[{"text":"brexit","indices":[0,7]}],"symbols":[],"user_mentions":[],"urls":[],"media":[{"id":1520969935207362600,"id_str":"1520969935207362560","indices":[8,31],"media_url":"http://pbs.twimg.com/media/FRuSGP4VcAA3jP-.jpg","media_url_https":"https://pbs.twimg.com/media/FRuSGP4VcAA3jP-.jpg","url":"https://t.co/jeQNwG8waz","display_url":"pic.twitter.com/jeQNwG8waz","expanded_url":"https://twitter.com/ronbuch/status/1520969939649130498/photo/1","type":"photo","sizes":{"small":{"w":547,"h":680,"resize":"fit"},"thumb":{"w":150,"h":150,"resize":"crop"},"large":{"w":1170,"h":1455,"resize":"fit"},"medium":{"w":965,"h":1200,"resize":"fit"}}}]}</t>
  </si>
  <si>
    <t>1520969383803518976</t>
  </si>
  <si>
    <t>@RichardoWoody @mycamblur @AndyWood10 @guyverhofstadt It was you that started throwing around accusations of others being thick
But me throwing it back at you was based on the drivel you post, a stereotypical #brexit voter with the associated misunderstanding of EU membership</t>
  </si>
  <si>
    <t>Mon May 02 03:32:14 +0000 2022</t>
  </si>
  <si>
    <t>119885270</t>
  </si>
  <si>
    <t>RichardoWoody</t>
  </si>
  <si>
    <t>1520899645534257154</t>
  </si>
  <si>
    <t>http://twitter.com/mark147852/statuses/1520969383803518976</t>
  </si>
  <si>
    <t>{"hashtags":[{"text":"brexit","indices":[210,217]}],"symbols":[],"user_mentions":[{"screen_name":"RichardoWoody","name":"Richard Wood","id":119885270,"id_str":"119885270","indices":[0,14]},{"screen_name":"mycamblur","name":"Mycamblur🐋🐬🇪🇺🏴󠁧󠁢󠁷󠁬󠁳󠁿","id":101349671,"id_str":"101349671","indices":[15,25]},{"screen_name":"AndyWood10","name":"Andy Wood","id":396069702,"id_str":"396069702","indices":[26,37]},{"screen_name":"guyverhofstadt","name":"Guy Verhofstadt","id":856010760,"id_str":"856010760","indices":[38,53]}],"urls":[]}</t>
  </si>
  <si>
    <t>1520969378216382464</t>
  </si>
  <si>
    <t>PhillipsBarrie</t>
  </si>
  <si>
    <t>RT @WelshLa86864840: @BarrySheerman @BBCFarmingToday Why did Starmer push through Johnson's #Brexit deal then? Why did he say rejoining the EU is not an option and there have been benefits to Brexit? What benefits? #ItWasAScam Release the #FordeReport</t>
  </si>
  <si>
    <t>Mon May 02 03:32:12 +0000 2022</t>
  </si>
  <si>
    <t>514521528</t>
  </si>
  <si>
    <t>http://pbs.twimg.com/profile_images/562949307423145984/on6QWZvT_normal.jpeg</t>
  </si>
  <si>
    <t xml:space="preserve"> U.K.</t>
  </si>
  <si>
    <t>http://twitter.com/PhillipsBarrie/statuses/1520969378216382464</t>
  </si>
  <si>
    <t>{"hashtags":[{"text":"Brexit","indices":[92,99]}],"symbols":[],"user_mentions":[{"screen_name":"WelshLa86864840","name":"Welsh Lad","id":1501302426355130400,"id_str":"1501302426355130368","indices":[3,19]},{"screen_name":"BarrySheerman","name":"Barry Sheerman MP","id":250091875,"id_str":"250091875","indices":[21,35]},{"screen_name":"BBCFarmingToday","name":"Farming Today","id":819612452,"id_str":"819612452","indices":[36,52]}],"urls":[]}</t>
  </si>
  <si>
    <t>1520969181432549376</t>
  </si>
  <si>
    <t>RJFortescue</t>
  </si>
  <si>
    <t>Mon May 02 03:31:25 +0000 2022</t>
  </si>
  <si>
    <t>858646951134470144</t>
  </si>
  <si>
    <t>http://pbs.twimg.com/profile_images/1286976158907719682/lgX4I94X_normal.jpg</t>
  </si>
  <si>
    <t>The Kingdom of Bahrain</t>
  </si>
  <si>
    <t>http://twitter.com/RJFortescue/statuses/1520969181432549376</t>
  </si>
  <si>
    <t>1520968098622455811</t>
  </si>
  <si>
    <t>@eurobishop #BrexitHighPrices
#BrexitLowPound
#BrexitHighTaxes
#BrexitRedTape
#BrexitLorryQueues
#BrexitFoodShortages
#BrexitMedicineShortages
#BrexitCostOfLivingCrisis
#BrexitDisaster
🔥
#BREXIT CRASH
#GetBrexitUndone
#RejoinEU #FBPE
#ProgressiveAlliance 
TIME TO VOTE AGAINST
BREXIT PARTIES</t>
  </si>
  <si>
    <t>Mon May 02 03:27:07 +0000 2022</t>
  </si>
  <si>
    <t>19402498</t>
  </si>
  <si>
    <t>eurobishop</t>
  </si>
  <si>
    <t>1520089998074261506</t>
  </si>
  <si>
    <t>http://twitter.com/AHaglington/statuses/1520968098622455811</t>
  </si>
  <si>
    <t>{"hashtags":[{"text":"BrexitHighPrices","indices":[12,29]},{"text":"BrexitLowPound","indices":[30,45]},{"text":"BrexitHighTaxes","indices":[46,62]},{"text":"BrexitRedTape","indices":[63,77]},{"text":"BrexitLorryQueues","indices":[78,96]},{"text":"BrexitFoodShortages","indices":[97,117]},{"text":"BrexitMedicineShortages","indices":[118,142]},{"text":"BrexitCostOfLivingCrisis","indices":[143,168]},{"text":"BrexitDisaster","indices":[169,184]},{"text":"BREXIT","indices":[187,194]},{"text":"GetBrexitUndone","indices":[201,217]},{"text":"RejoinEU","indices":[218,227]},{"text":"FBPE","indices":[228,233]},{"text":"ProgressiveAlliance","indices":[234,254]}],"symbols":[],"user_mentions":[{"screen_name":"eurobishop","name":"David Hamid","id":19402498,"id_str":"19402498","indices":[0,11]}],"urls":[]}</t>
  </si>
  <si>
    <t>1520967965554135042</t>
  </si>
  <si>
    <t>angela_pardoe</t>
  </si>
  <si>
    <t>Mon May 02 03:26:35 +0000 2022</t>
  </si>
  <si>
    <t>1023638689426100224</t>
  </si>
  <si>
    <t>Stourbridge</t>
  </si>
  <si>
    <t>http://twitter.com/angela_pardoe/statuses/1520967965554135042</t>
  </si>
  <si>
    <t>1520967755817697282</t>
  </si>
  <si>
    <t>jackalsbynight</t>
  </si>
  <si>
    <t>Mon May 02 03:25:45 +0000 2022</t>
  </si>
  <si>
    <t>744480047789146112</t>
  </si>
  <si>
    <t>http://pbs.twimg.com/profile_images/767040040786690048/jBD0SHWQ_normal.jpg</t>
  </si>
  <si>
    <t>http://twitter.com/jackalsbynight/statuses/1520967755817697282</t>
  </si>
  <si>
    <t>1520967197933600768</t>
  </si>
  <si>
    <t>Mand80434891</t>
  </si>
  <si>
    <t>Mon May 02 03:23:32 +0000 2022</t>
  </si>
  <si>
    <t>1378250489431740417</t>
  </si>
  <si>
    <t>http://twitter.com/Mand80434891/statuses/1520967197933600768</t>
  </si>
  <si>
    <t>1520967172780089346</t>
  </si>
  <si>
    <t>Mon May 02 03:23:26 +0000 2022</t>
  </si>
  <si>
    <t>http://twitter.com/AHaglington/statuses/1520967172780089346</t>
  </si>
  <si>
    <t>1520967059315695616</t>
  </si>
  <si>
    <t>LeightonLewis4</t>
  </si>
  <si>
    <t>Mon May 02 03:22:59 +0000 2022</t>
  </si>
  <si>
    <t>822692077</t>
  </si>
  <si>
    <t>http://pbs.twimg.com/profile_images/847236009326592000/oP1vh9Jd_normal.jpg</t>
  </si>
  <si>
    <t>http://twitter.com/LeightonLewis4/statuses/1520967059315695616</t>
  </si>
  <si>
    <t>1520966974443966467</t>
  </si>
  <si>
    <t>roygrubb</t>
  </si>
  <si>
    <t>Mon May 02 03:22:39 +0000 2022</t>
  </si>
  <si>
    <t>15720449</t>
  </si>
  <si>
    <t>http://pbs.twimg.com/profile_images/1517587542/RG-web-update4b_normal.png</t>
  </si>
  <si>
    <t>Hong Kong</t>
  </si>
  <si>
    <t>http://twitter.com/roygrubb/statuses/1520966974443966467</t>
  </si>
  <si>
    <t>1520966857431437312</t>
  </si>
  <si>
    <t>Mon May 02 03:22:11 +0000 2022</t>
  </si>
  <si>
    <t>http://twitter.com/jackalsbynight/statuses/1520966857431437312</t>
  </si>
  <si>
    <t>1520966708248596480</t>
  </si>
  <si>
    <t>Tricky_1</t>
  </si>
  <si>
    <t>Mon May 02 03:21:36 +0000 2022</t>
  </si>
  <si>
    <t>709360301456683008</t>
  </si>
  <si>
    <t>http://pbs.twimg.com/profile_images/1419640816000249857/Xp3dQiSr_normal.jpg</t>
  </si>
  <si>
    <t>http://twitter.com/Tricky_1/statuses/1520966708248596480</t>
  </si>
  <si>
    <t>1520966678431121409</t>
  </si>
  <si>
    <t>Mon May 02 03:21:28 +0000 2022</t>
  </si>
  <si>
    <t>http://twitter.com/AHaglington/statuses/1520966678431121409</t>
  </si>
  <si>
    <t>1520966455839592448</t>
  </si>
  <si>
    <t>FitzioJ</t>
  </si>
  <si>
    <t>Mon May 02 03:20:35 +0000 2022</t>
  </si>
  <si>
    <t>964393862100746240</t>
  </si>
  <si>
    <t>http://pbs.twimg.com/profile_images/1029102482021076993/IU8k0uQO_normal.jpg</t>
  </si>
  <si>
    <t>http://twitter.com/FitzioJ/statuses/1520966455839592448</t>
  </si>
  <si>
    <t>1520966364713783296</t>
  </si>
  <si>
    <t>ValerieJStorm</t>
  </si>
  <si>
    <t>Mon May 02 03:20:14 +0000 2022</t>
  </si>
  <si>
    <t>801554261351993345</t>
  </si>
  <si>
    <t>http://pbs.twimg.com/profile_images/1109936557178404871/KJC3v4w6_normal.jpg</t>
  </si>
  <si>
    <t>http://twitter.com/ValerieJStorm/statuses/1520966364713783296</t>
  </si>
  <si>
    <t>1520966347760439296</t>
  </si>
  <si>
    <t>RestoreHope_20</t>
  </si>
  <si>
    <t>@markjenkinsonmp If #BorisJohnson goes, #Brexit goes too… 
Yeap, sounds right, can’t wait.
#JohnsonOut</t>
  </si>
  <si>
    <t>Mon May 02 03:20:10 +0000 2022</t>
  </si>
  <si>
    <t>1084066818300538880</t>
  </si>
  <si>
    <t>http://pbs.twimg.com/profile_images/1346180517289472002/BXj9Ej9W_normal.png</t>
  </si>
  <si>
    <t>http://twitter.com/RestoreHope_20/statuses/1520966347760439296</t>
  </si>
  <si>
    <t>{"hashtags":[{"text":"BorisJohnson","indices":[20,33]},{"text":"Brexit","indices":[40,47]},{"text":"JohnsonOut","indices":[91,102]}],"symbols":[],"user_mentions":[{"screen_name":"markjenkinsonmp","name":"Mark Jenkinson MP","id":116228328,"id_str":"116228328","indices":[0,16]}],"urls":[]}</t>
  </si>
  <si>
    <t>1520966018641776640</t>
  </si>
  <si>
    <t>Mon May 02 03:18:51 +0000 2022</t>
  </si>
  <si>
    <t>http://twitter.com/TerryBush14/statuses/1520966018641776640</t>
  </si>
  <si>
    <t>1520965364456165376</t>
  </si>
  <si>
    <t>TheGlobalSpring</t>
  </si>
  <si>
    <t>RT @TheGlobalSpring: https://t.co/KbVxT5jTpx #Ireland #NorthernIreland #GoodFridayAgreement #GFA #Brexit #BorisJohnson #SDLP #DUP #TUV #UUP
Decentralise from the #UK and #EU federations to confederations of fully sovereign polities</t>
  </si>
  <si>
    <t>Mon May 02 03:16:15 +0000 2022</t>
  </si>
  <si>
    <t>404281100</t>
  </si>
  <si>
    <t>http://pbs.twimg.com/profile_images/378800000221244634/b3cf7394513127e088559989ae0577ca_normal.jpeg</t>
  </si>
  <si>
    <t>Berkeley, CA</t>
  </si>
  <si>
    <t>http://twitter.com/TheGlobalSpring/statuses/1520965364456165376</t>
  </si>
  <si>
    <t>{"hashtags":[{"text":"Ireland","indices":[45,53]},{"text":"NorthernIreland","indices":[54,70]},{"text":"GoodFridayAgreement","indices":[71,91]},{"text":"GFA","indices":[92,96]},{"text":"Brexit","indices":[97,104]},{"text":"BorisJohnson","indices":[105,118]},{"text":"SDLP","indices":[119,124]},{"text":"DUP","indices":[125,129]},{"text":"TUV","indices":[130,134]},{"text":"UUP","indices":[135,139]}],"symbols":[],"user_mentions":[{"screen_name":"TheGlobalSpring","name":"The Global Spring","id":404281100,"id_str":"404281100","indices":[3,19]}],"urls":[{"url":"https://t.co/KbVxT5jTpx","expanded_url":"https://www.express.co.uk/news/uk/1601219/Northern-Ireland-protocol-EU-regulations-UK-USA-Boris-Johnson-Joe-Biden-vn","display_url":"express.co.uk/news/uk/160121…","indices":[21,44]}]}</t>
  </si>
  <si>
    <t>1520965317052321792</t>
  </si>
  <si>
    <t>RT @Patthedog5: #ukpolitics #torybritain #GTTO #Brexit #BrexitShambles #ToryShambles #projectreality #ToryScum 
#BorisTheLiar #JohnsonMustGo #nastyparty #ToryCorruption #Murdoch #austerity #RWNJs 
Tory lies &amp;amp; incompetence
#DissolveTheUnion #ProgressiveAlliance
#DailyFail https://t.co/F8qohwav7O</t>
  </si>
  <si>
    <t>Mon May 02 03:16:04 +0000 2022</t>
  </si>
  <si>
    <t>http://twitter.com/botanic_my/statuses/1520965317052321792</t>
  </si>
  <si>
    <t>{"hashtags":[{"text":"ukpolitics","indices":[16,27]},{"text":"torybritain","indices":[28,40]},{"text":"GTTO","indices":[41,46]},{"text":"Brexit","indices":[47,54]},{"text":"BrexitShambles","indices":[55,70]},{"text":"ToryShambles","indices":[71,84]},{"text":"projectreality","indices":[85,100]},{"text":"ToryScum","indices":[101,110]},{"text":"BorisTheLiar","indices":[112,125]}],"symbols":[],"user_mentions":[{"screen_name":"Patthedog5","name":"Pat the dog(Voted for Brexit?; Brexidiot you are)","id":1141411703273525200,"id_str":"1141411703273525248","indices":[3,14]}],"urls":[]}</t>
  </si>
  <si>
    <t>1520965286693904384</t>
  </si>
  <si>
    <t>RT @Patthedog5: #ukpolitics #torybritain #GTTO #Brexit #BrexitShambles #ToryShambles #projectreality #ToryScum 
#BorisTheLiar #JohnsonMustGo #nastyparty #ToryCorruption #Murdoch #austerity #RWNJs 
Tory lies &amp;amp; incompetence
#DissolveTheUnion #ProgressiveAlliance
#DailyFail https://t.co/x4ofBMi4Zm</t>
  </si>
  <si>
    <t>Mon May 02 03:15:57 +0000 2022</t>
  </si>
  <si>
    <t>http://twitter.com/botanic_my/statuses/1520965286693904384</t>
  </si>
  <si>
    <t>1520965265248468992</t>
  </si>
  <si>
    <t>RT @Patthedog5: https://t.co/SQIIvS0kz0
#ukpolitics #torybritain #GTTO #Brexit #BrexitShambles #ToryShambles #projectreality #ToryScum 
#BorisTheLiar #JohnsonMustGo #nastyparty #ToryCorruption #Murdoch #austerity #RWNJs 
Tory lies &amp;amp; incompetence
#DissolveTheUnion #ProgressiveAlliance</t>
  </si>
  <si>
    <t>Mon May 02 03:15:52 +0000 2022</t>
  </si>
  <si>
    <t>http://twitter.com/botanic_my/statuses/1520965265248468992</t>
  </si>
  <si>
    <t>{"hashtags":[{"text":"ukpolitics","indices":[40,51]},{"text":"torybritain","indices":[52,64]},{"text":"GTTO","indices":[65,70]},{"text":"Brexit","indices":[71,78]},{"text":"BrexitShambles","indices":[79,94]},{"text":"ToryShambles","indices":[95,108]},{"text":"projectreality","indices":[109,124]},{"text":"ToryScum","indices":[125,134]}],"symbols":[],"user_mentions":[{"screen_name":"Patthedog5","name":"Pat the dog(Voted for Brexit?; Brexidiot you are)","id":1141411703273525200,"id_str":"1141411703273525248","indices":[3,14]}],"urls":[{"url":"https://t.co/SQIIvS0kz0","expanded_url":"https://www.theguardian.com/politics/2022/may/01/commons-misogyny-worse-cover-ups-keir-starmer","display_url":"theguardian.com/politics/2022/…","indices":[16,39]}]}</t>
  </si>
  <si>
    <t>1520965011098677248</t>
  </si>
  <si>
    <t>RT @TheGlobalSpring: https://t.co/LRPP9mz8h3 #RejoinEU #Brexit #Nexit #D66 #Rutte #GroenLinks #Gruenen #Scholz #SPD #CoFoE #ResetEU #FutureofEurope #EEA #EFTA
The #EU needs only one decision making body 
#EUCO</t>
  </si>
  <si>
    <t>Mon May 02 03:14:51 +0000 2022</t>
  </si>
  <si>
    <t>http://twitter.com/TheGlobalSpring/statuses/1520965011098677248</t>
  </si>
  <si>
    <t>{"hashtags":[{"text":"RejoinEU","indices":[45,54]},{"text":"Brexit","indices":[55,62]},{"text":"Nexit","indices":[63,69]},{"text":"D66","indices":[70,74]},{"text":"Rutte","indices":[75,81]},{"text":"GroenLinks","indices":[82,93]},{"text":"Gruenen","indices":[94,102]},{"text":"Scholz","indices":[103,110]},{"text":"SPD","indices":[111,115]},{"text":"CoFoE","indices":[116,122]},{"text":"ResetEU","indices":[123,131]}],"symbols":[],"user_mentions":[{"screen_name":"TheGlobalSpring","name":"The Global Spring","id":404281100,"id_str":"404281100","indices":[3,19]}],"urls":[{"url":"https://t.co/LRPP9mz8h3","expanded_url":"https://www.theguardian.com/world/2022/apr/27/totally-dysfunctional-sophie-in-t-veld-on-the-eus-relationship-with-democracy","display_url":"theguardian.com/world/2022/apr…","indices":[21,44]}]}</t>
  </si>
  <si>
    <t>1520964892806713344</t>
  </si>
  <si>
    <t>a__cubed</t>
  </si>
  <si>
    <t>Mon May 02 03:14:23 +0000 2022</t>
  </si>
  <si>
    <t>166111347</t>
  </si>
  <si>
    <t>&lt;a href="https://github.com/TwidereProject" rel="nofollow"&gt;Twidere for Android&lt;/a&gt;</t>
  </si>
  <si>
    <t>http://pbs.twimg.com/profile_images/825896794823340032/VmZWMGXe_normal.jpg</t>
  </si>
  <si>
    <t>Tokyo, Japan.</t>
  </si>
  <si>
    <t>http://twitter.com/a__cubed/statuses/1520964892806713344</t>
  </si>
  <si>
    <t>1520964336436449281</t>
  </si>
  <si>
    <t>Mon May 02 03:12:10 +0000 2022</t>
  </si>
  <si>
    <t>http://twitter.com/FitzioJ/statuses/1520964336436449281</t>
  </si>
  <si>
    <t>1520964233545932806</t>
  </si>
  <si>
    <t>Briannicus</t>
  </si>
  <si>
    <t>Mon May 02 03:11:46 +0000 2022</t>
  </si>
  <si>
    <t>28861604</t>
  </si>
  <si>
    <t>http://pbs.twimg.com/profile_images/1191045604950056962/V-fq-OZ0_normal.jpg</t>
  </si>
  <si>
    <t>http://twitter.com/Briannicus/statuses/1520964233545932806</t>
  </si>
  <si>
    <t>1520964221332516864</t>
  </si>
  <si>
    <t>Mon May 02 03:11:43 +0000 2022</t>
  </si>
  <si>
    <t>http://twitter.com/FitzioJ/statuses/1520964221332516864</t>
  </si>
  <si>
    <t>1520964141602680832</t>
  </si>
  <si>
    <t>Mon May 02 03:11:24 +0000 2022</t>
  </si>
  <si>
    <t>http://twitter.com/FitzioJ/statuses/1520964141602680832</t>
  </si>
  <si>
    <t>1520964017875222529</t>
  </si>
  <si>
    <t>Mon May 02 03:10:54 +0000 2022</t>
  </si>
  <si>
    <t>http://twitter.com/FitzioJ/statuses/1520964017875222529</t>
  </si>
  <si>
    <t>1520963965127659520</t>
  </si>
  <si>
    <t>MartinDochert12</t>
  </si>
  <si>
    <t>Mon May 02 03:10:42 +0000 2022</t>
  </si>
  <si>
    <t>1245241365933539329</t>
  </si>
  <si>
    <t>http://pbs.twimg.com/profile_images/1481187727542530052/-ZM71KE8_normal.jpg</t>
  </si>
  <si>
    <t>Ilkley UK &amp; Vestreno Italy.</t>
  </si>
  <si>
    <t>http://twitter.com/MartinDochert12/statuses/1520963965127659520</t>
  </si>
  <si>
    <t>1520963941727305728</t>
  </si>
  <si>
    <t>MuddeiA</t>
  </si>
  <si>
    <t>Mon May 02 03:10:36 +0000 2022</t>
  </si>
  <si>
    <t>924034726972751872</t>
  </si>
  <si>
    <t>http://pbs.twimg.com/profile_images/1001847699245817856/YthgfL2U_normal.jpg</t>
  </si>
  <si>
    <t>Islington, London</t>
  </si>
  <si>
    <t>http://twitter.com/MuddeiA/statuses/1520963941727305728</t>
  </si>
  <si>
    <t>1520963929723518978</t>
  </si>
  <si>
    <t>Mon May 02 03:10:33 +0000 2022</t>
  </si>
  <si>
    <t>http://twitter.com/MuddeiA/statuses/1520963929723518978</t>
  </si>
  <si>
    <t>1520963919455883264</t>
  </si>
  <si>
    <t>Mon May 02 03:10:31 +0000 2022</t>
  </si>
  <si>
    <t>http://twitter.com/MuddeiA/statuses/1520963919455883264</t>
  </si>
  <si>
    <t>1520963908479361024</t>
  </si>
  <si>
    <t>Mon May 02 03:10:28 +0000 2022</t>
  </si>
  <si>
    <t>http://twitter.com/MuddeiA/statuses/1520963908479361024</t>
  </si>
  <si>
    <t>1520963839453712386</t>
  </si>
  <si>
    <t>Mon May 02 03:10:12 +0000 2022</t>
  </si>
  <si>
    <t>http://twitter.com/MuddeiA/statuses/1520963839453712386</t>
  </si>
  <si>
    <t>1520963255199748097</t>
  </si>
  <si>
    <t>NickiDee_</t>
  </si>
  <si>
    <t>Mon May 02 03:07:52 +0000 2022</t>
  </si>
  <si>
    <t>824551947743227904</t>
  </si>
  <si>
    <t>http://pbs.twimg.com/profile_images/824654881923493891/lfWyKUvx_normal.jpg</t>
  </si>
  <si>
    <t>http://twitter.com/NickiDee_/statuses/1520963255199748097</t>
  </si>
  <si>
    <t>1520963043902951431</t>
  </si>
  <si>
    <t>https://t.co/GGGVxnmDtZ #Brexit #BorisJohnson #Westminster #Stormont #Belfast
"#Brussels is watching anxiously to see if #London undoes the #NorthernIreland protocol"</t>
  </si>
  <si>
    <t>Mon May 02 03:07:02 +0000 2022</t>
  </si>
  <si>
    <t>http://twitter.com/TheGlobalSpring/statuses/1520963043902951431</t>
  </si>
  <si>
    <t>{"hashtags":[{"text":"Brexit","indices":[24,31]},{"text":"BorisJohnson","indices":[32,45]},{"text":"Westminster","indices":[46,58]},{"text":"Stormont","indices":[59,68]},{"text":"Belfast","indices":[69,77]},{"text":"Brussels","indices":[80,89]},{"text":"London","indices":[122,129]},{"text":"NorthernIreland","indices":[141,157]}],"symbols":[],"user_mentions":[],"urls":[{"url":"https://t.co/GGGVxnmDtZ","expanded_url":"https://www.irishtimes.com/opinion/editorial/the-irish-times-view-on-britain-s-brexit-fallout-leaving-the-border-open-1.4867031","display_url":"irishtimes.com/opinion/editor…","indices":[0,23]}]}</t>
  </si>
  <si>
    <t>1520963001863802881</t>
  </si>
  <si>
    <t>Mon May 02 03:06:52 +0000 2022</t>
  </si>
  <si>
    <t>http://twitter.com/NickiDee_/statuses/1520963001863802881</t>
  </si>
  <si>
    <t>1520962968703610881</t>
  </si>
  <si>
    <t>pjr1007</t>
  </si>
  <si>
    <t>Mon May 02 03:06:44 +0000 2022</t>
  </si>
  <si>
    <t>65613616</t>
  </si>
  <si>
    <t>http://pbs.twimg.com/profile_images/378800000203736022/4236550ab6739da461fd39afaade29c5_normal.jpeg</t>
  </si>
  <si>
    <t>http://twitter.com/pjr1007/statuses/1520962968703610881</t>
  </si>
  <si>
    <t>1520962941767458816</t>
  </si>
  <si>
    <t>Mon May 02 03:06:38 +0000 2022</t>
  </si>
  <si>
    <t>http://twitter.com/pjr1007/statuses/1520962941767458816</t>
  </si>
  <si>
    <t>1520962886260391936</t>
  </si>
  <si>
    <t>Mon May 02 03:06:24 +0000 2022</t>
  </si>
  <si>
    <t>http://twitter.com/pjr1007/statuses/1520962886260391936</t>
  </si>
  <si>
    <t>1520961818113499136</t>
  </si>
  <si>
    <t>J_Andrew_Evans</t>
  </si>
  <si>
    <t>Hundreds of Ukrainian families halt bids to reach UK after visa delays #ToryBritain #Brexit #BrexitBritain #Ashamed  https://t.co/xXcX9svg6B</t>
  </si>
  <si>
    <t>Mon May 02 03:02:10 +0000 2022</t>
  </si>
  <si>
    <t>46162423</t>
  </si>
  <si>
    <t>http://pbs.twimg.com/profile_images/1501541579986771978/Qfku8i5L_normal.jpg</t>
  </si>
  <si>
    <t>http://twitter.com/J_Andrew_Evans/statuses/1520961818113499136</t>
  </si>
  <si>
    <t>{"hashtags":[{"text":"ToryBritain","indices":[71,83]},{"text":"Brexit","indices":[84,91]},{"text":"BrexitBritain","indices":[92,106]},{"text":"Ashamed","indices":[107,115]}],"symbols":[],"user_mentions":[],"urls":[{"url":"https://t.co/xXcX9svg6B","expanded_url":"https://www.theguardian.com/uk-news/2022/may/01/hundreds-of-ukrainian-families-halt-bids-to-reach-uk-after-visa-delays?CMP=Share_iOSApp_Other","display_url":"theguardian.com/uk-news/2022/m…","indices":[117,140]}]}</t>
  </si>
  <si>
    <t>1520959795465195520</t>
  </si>
  <si>
    <t>GranataLLC</t>
  </si>
  <si>
    <t>To my #EU and #UK readers and friends. How important are these new initiatives?
Are they binding? Would the EU gain an army, and lose federal independence of individual nations?
Is this just talk?
#europe #trends #Brexit https://t.co/3ZXdSnb77E</t>
  </si>
  <si>
    <t>Mon May 02 02:54:07 +0000 2022</t>
  </si>
  <si>
    <t>1468735116377825289</t>
  </si>
  <si>
    <t>http://pbs.twimg.com/profile_images/1468735902579109894/pgQ3ARAz_normal.jpg</t>
  </si>
  <si>
    <t>USA</t>
  </si>
  <si>
    <t>http://twitter.com/GranataLLC/statuses/1520959795465195520</t>
  </si>
  <si>
    <t>{"hashtags":[{"text":"EU","indices":[6,9]},{"text":"UK","indices":[14,17]},{"text":"europe","indices":[200,207]},{"text":"trends","indices":[208,215]},{"text":"Brexit","indices":[216,223]}],"symbols":[],"user_mentions":[],"urls":[{"url":"https://t.co/3ZXdSnb77E","expanded_url":"https://twitter.com/guyverhofstadt/status/1520336571945426945","display_url":"twitter.com/guyverhofstadt…","indices":[224,247]}]}</t>
  </si>
  <si>
    <t>1520959564832595970</t>
  </si>
  <si>
    <t>CabritaClarisse</t>
  </si>
  <si>
    <t>Mon May 02 02:53:12 +0000 2022</t>
  </si>
  <si>
    <t>1319929595194474498</t>
  </si>
  <si>
    <t>http://twitter.com/CabritaClarisse/statuses/1520959564832595970</t>
  </si>
  <si>
    <t>1520959236343095296</t>
  </si>
  <si>
    <t>no1lolo</t>
  </si>
  <si>
    <t>Mon May 02 02:51:54 +0000 2022</t>
  </si>
  <si>
    <t>222031846</t>
  </si>
  <si>
    <t>http://pbs.twimg.com/profile_images/1498377245039206403/nF5rPFT2_normal.jpg</t>
  </si>
  <si>
    <t>http://twitter.com/no1lolo/statuses/1520959236343095296</t>
  </si>
  <si>
    <t>1520958952464289792</t>
  </si>
  <si>
    <t>h48052341</t>
  </si>
  <si>
    <t>Mon May 02 02:50:46 +0000 2022</t>
  </si>
  <si>
    <t>1314100752537747457</t>
  </si>
  <si>
    <t>Shropshire</t>
  </si>
  <si>
    <t>http://twitter.com/h48052341/statuses/1520958952464289792</t>
  </si>
  <si>
    <t>1520958616727171073</t>
  </si>
  <si>
    <t>McCallum_Smith</t>
  </si>
  <si>
    <t>Mon May 02 02:49:26 +0000 2022</t>
  </si>
  <si>
    <t>2796532117</t>
  </si>
  <si>
    <t>http://pbs.twimg.com/profile_images/1271701068448227329/mvFode7L_normal.jpg</t>
  </si>
  <si>
    <t>http://twitter.com/McCallum_Smith/statuses/1520958616727171073</t>
  </si>
  <si>
    <t>1520958299461480448</t>
  </si>
  <si>
    <t>gibbsy66</t>
  </si>
  <si>
    <t>Mon May 02 02:48:11 +0000 2022</t>
  </si>
  <si>
    <t>24048150</t>
  </si>
  <si>
    <t>http://pbs.twimg.com/profile_images/1518789847644839936/6j-Jw_0d_normal.jpg</t>
  </si>
  <si>
    <t>Mount Doom</t>
  </si>
  <si>
    <t>http://twitter.com/gibbsy66/statuses/1520958299461480448</t>
  </si>
  <si>
    <t>1520958063955652608</t>
  </si>
  <si>
    <t>Mon May 02 02:47:15 +0000 2022</t>
  </si>
  <si>
    <t>http://twitter.com/gibbsy66/statuses/1520958063955652608</t>
  </si>
  <si>
    <t>1520957592583176192</t>
  </si>
  <si>
    <t>dancelightning</t>
  </si>
  <si>
    <t>@theviewfromNo20 @HannahD35612130 @BarbaraSutton15 That was the whole point of #Brexit, to take away or weaken all our rights, especially our rights in the work place.</t>
  </si>
  <si>
    <t>Mon May 02 02:45:22 +0000 2022</t>
  </si>
  <si>
    <t>1335292189799305217</t>
  </si>
  <si>
    <t>theviewfromNo20</t>
  </si>
  <si>
    <t>274045769</t>
  </si>
  <si>
    <t>1520715187145355264</t>
  </si>
  <si>
    <t>http://pbs.twimg.com/profile_images/1093696688903122944/m6k7kjtG_normal.jpg</t>
  </si>
  <si>
    <t>http://twitter.com/dancelightning/statuses/1520957592583176192</t>
  </si>
  <si>
    <t>{"hashtags":[{"text":"Brexit","indices":[79,86]}],"symbols":[],"user_mentions":[{"screen_name":"theviewfromNo20","name":"view from No 20","id":1335292189799305200,"id_str":"1335292189799305217","indices":[0,16]},{"screen_name":"HannahD35612130","name":"Hannah Dunn","id":1055105843472093200,"id_str":"1055105843472093185","indices":[17,33]},{"screen_name":"BarbaraSutton15","name":"Barbara","id":2452853334,"id_str":"2452853334","indices":[34,50]}],"urls":[]}</t>
  </si>
  <si>
    <t>1520957122540109824</t>
  </si>
  <si>
    <t>JazzySid</t>
  </si>
  <si>
    <t>Mon May 02 02:43:30 +0000 2022</t>
  </si>
  <si>
    <t>431869456</t>
  </si>
  <si>
    <t>http://pbs.twimg.com/profile_images/1363019379181555712/YNT3DFIj_normal.jpg</t>
  </si>
  <si>
    <t>London, United Kingdom</t>
  </si>
  <si>
    <t>http://twitter.com/JazzySid/statuses/1520957122540109824</t>
  </si>
  <si>
    <t>1520956633588723712</t>
  </si>
  <si>
    <t>Oldtimerabroad</t>
  </si>
  <si>
    <t>Mon May 02 02:41:34 +0000 2022</t>
  </si>
  <si>
    <t>3994116215</t>
  </si>
  <si>
    <t>http://pbs.twimg.com/profile_images/1480457258370748417/gdXPgu4l_normal.jpg</t>
  </si>
  <si>
    <t xml:space="preserve">Worcestershire/Lanzarote </t>
  </si>
  <si>
    <t>http://twitter.com/Oldtimerabroad/statuses/1520956633588723712</t>
  </si>
  <si>
    <t>1520956373277630464</t>
  </si>
  <si>
    <t>CandidaCanBeFun</t>
  </si>
  <si>
    <t>Mon May 02 02:40:32 +0000 2022</t>
  </si>
  <si>
    <t>1269990486875541504</t>
  </si>
  <si>
    <t>http://pbs.twimg.com/profile_images/1514248041569689605/daWYNUwr_normal.jpg</t>
  </si>
  <si>
    <t>http://twitter.com/CandidaCanBeFun/statuses/1520956373277630464</t>
  </si>
  <si>
    <t>1520956306022363136</t>
  </si>
  <si>
    <t>ScootinaK</t>
  </si>
  <si>
    <t>Mon May 02 02:40:16 +0000 2022</t>
  </si>
  <si>
    <t>1429985546970046464</t>
  </si>
  <si>
    <t>http://twitter.com/ScootinaK/statuses/1520956306022363136</t>
  </si>
  <si>
    <t>1520955405534662656</t>
  </si>
  <si>
    <t>brotherguerilla</t>
  </si>
  <si>
    <t>Mon May 02 02:36:41 +0000 2022</t>
  </si>
  <si>
    <t>704709209582145536</t>
  </si>
  <si>
    <t>http://pbs.twimg.com/profile_images/1480212567536644096/oGDOs7g-_normal.jpg</t>
  </si>
  <si>
    <t>http://twitter.com/brotherguerilla/statuses/1520955405534662656</t>
  </si>
  <si>
    <t>1520952945172377600</t>
  </si>
  <si>
    <t>pollyPRnow</t>
  </si>
  <si>
    <t>Mon May 02 02:26:54 +0000 2022</t>
  </si>
  <si>
    <t>1451116939053572101</t>
  </si>
  <si>
    <t>http://pbs.twimg.com/profile_images/1451134240414998534/WBAWq_Sb_normal.jpg</t>
  </si>
  <si>
    <t>http://twitter.com/pollyPRnow/statuses/1520952945172377600</t>
  </si>
  <si>
    <t>1520952226612662274</t>
  </si>
  <si>
    <t>Mon May 02 02:24:03 +0000 2022</t>
  </si>
  <si>
    <t>http://twitter.com/isthisab0t/statuses/1520952226612662274</t>
  </si>
  <si>
    <t>1520952087491661824</t>
  </si>
  <si>
    <t>Patthedog5</t>
  </si>
  <si>
    <t>#ukpolitics #torybritain #GTTO #Brexit #BrexitShambles #ToryShambles #projectreality #ToryScum 
#BorisTheLiar #JohnsonMustGo #nastyparty #ToryCorruption #Murdoch #austerity #RWNJs 
Tory lies &amp;amp; incompetence
#DissolveTheUnion #ProgressiveAlliance
#DailyFail https://t.co/F8qohwav7O</t>
  </si>
  <si>
    <t>Mon May 02 02:23:30 +0000 2022</t>
  </si>
  <si>
    <t>1141411703273525248</t>
  </si>
  <si>
    <t>http://twitter.com/Patthedog5/statuses/1520952087491661824</t>
  </si>
  <si>
    <t>{"hashtags":[{"text":"ukpolitics","indices":[0,11]},{"text":"torybritain","indices":[12,24]},{"text":"GTTO","indices":[25,30]},{"text":"Brexit","indices":[31,38]},{"text":"BrexitShambles","indices":[39,54]},{"text":"ToryShambles","indices":[55,68]},{"text":"projectreality","indices":[69,84]},{"text":"ToryScum","indices":[85,94]},{"text":"BorisTheLiar","indices":[96,109]},{"text":"JohnsonMustGo","indices":[110,124]},{"text":"nastyparty","indices":[125,136]},{"text":"ToryCorruption","indices":[137,152]},{"text":"Murdoch","indices":[153,161]},{"text":"austerity","indices":[162,172]},{"text":"RWNJs","indices":[173,179]},{"text":"DissolveTheUnion","indices":[210,227]},{"text":"ProgressiveAlliance","indices":[228,248]},{"text":"DailyFail","indices":[249,259]}],"symbols":[],"user_mentions":[],"urls":[{"url":"https://t.co/F8qohwav7O","expanded_url":"https://twitter.com/Keir_Starmer/status/1520708682933227523","display_url":"twitter.com/Keir_Starmer/s…","indices":[260,283]}]}</t>
  </si>
  <si>
    <t>1520951700831764480</t>
  </si>
  <si>
    <t>DoreJayne</t>
  </si>
  <si>
    <t>@Alexverycalm Yes. It's funny how they want to talk about #Brexit all of a sudden when no one else is.🙄</t>
  </si>
  <si>
    <t>Mon May 02 02:21:58 +0000 2022</t>
  </si>
  <si>
    <t>1266340110158749696</t>
  </si>
  <si>
    <t>Alexverycalm</t>
  </si>
  <si>
    <t>2517208410</t>
  </si>
  <si>
    <t>1520950923090141184</t>
  </si>
  <si>
    <t>http://pbs.twimg.com/profile_images/1503367235150221313/e7yFBOPz_normal.jpg</t>
  </si>
  <si>
    <t>Bridlington, England</t>
  </si>
  <si>
    <t>http://twitter.com/DoreJayne/statuses/1520951700831764480</t>
  </si>
  <si>
    <t>{"hashtags":[{"text":"Brexit","indices":[58,65]}],"symbols":[],"user_mentions":[{"screen_name":"Alexverycalm","name":"Sir 🤣Alex 🇪🇺European 🚩 🌹💙#FBNHS #JohnsonOut","id":1266340110158749700,"id_str":"1266340110158749696","indices":[0,13]}],"urls":[]}</t>
  </si>
  <si>
    <t>1520951611149139974</t>
  </si>
  <si>
    <t>PaisleyJanine</t>
  </si>
  <si>
    <t>Mon May 02 02:21:36 +0000 2022</t>
  </si>
  <si>
    <t>908029381662126080</t>
  </si>
  <si>
    <t>http://pbs.twimg.com/profile_images/911890013314519041/bNUb4Bf6_normal.jpg</t>
  </si>
  <si>
    <t>http://twitter.com/PaisleyJanine/statuses/1520951611149139974</t>
  </si>
  <si>
    <t>1520951330881388546</t>
  </si>
  <si>
    <t>bowrog</t>
  </si>
  <si>
    <t>Mon May 02 02:20:29 +0000 2022</t>
  </si>
  <si>
    <t>336640966</t>
  </si>
  <si>
    <t>http://pbs.twimg.com/profile_images/1326851815275687943/MmAvFYe2_normal.jpg</t>
  </si>
  <si>
    <t>http://twitter.com/bowrog/statuses/1520951330881388546</t>
  </si>
  <si>
    <t>1520951220449517568</t>
  </si>
  <si>
    <t>Mon May 02 02:20:03 +0000 2022</t>
  </si>
  <si>
    <t>http://twitter.com/isthisab0t/statuses/1520951220449517568</t>
  </si>
  <si>
    <t>1520951174593187840</t>
  </si>
  <si>
    <t>#ukpolitics #torybritain #GTTO #Brexit #BrexitShambles #ToryShambles #projectreality #ToryScum 
#BorisTheLiar #JohnsonMustGo #nastyparty #ToryCorruption #Murdoch #austerity #RWNJs 
Tory lies &amp;amp; incompetence
#DissolveTheUnion #ProgressiveAlliance
#DailyFail https://t.co/x4ofBMi4Zm</t>
  </si>
  <si>
    <t>Mon May 02 02:19:52 +0000 2022</t>
  </si>
  <si>
    <t>http://twitter.com/Patthedog5/statuses/1520951174593187840</t>
  </si>
  <si>
    <t>{"hashtags":[{"text":"ukpolitics","indices":[0,11]},{"text":"torybritain","indices":[12,24]},{"text":"GTTO","indices":[25,30]},{"text":"Brexit","indices":[31,38]},{"text":"BrexitShambles","indices":[39,54]},{"text":"ToryShambles","indices":[55,68]},{"text":"projectreality","indices":[69,84]},{"text":"ToryScum","indices":[85,94]},{"text":"BorisTheLiar","indices":[96,109]},{"text":"JohnsonMustGo","indices":[110,124]},{"text":"nastyparty","indices":[125,136]},{"text":"ToryCorruption","indices":[137,152]},{"text":"Murdoch","indices":[153,161]},{"text":"austerity","indices":[162,172]},{"text":"RWNJs","indices":[173,179]},{"text":"DissolveTheUnion","indices":[210,227]},{"text":"ProgressiveAlliance","indices":[228,248]},{"text":"DailyFail","indices":[249,259]}],"symbols":[],"user_mentions":[],"urls":[{"url":"https://t.co/x4ofBMi4Zm","expanded_url":"https://twitter.com/Hawksgroupltd/status/1520710253008068609","display_url":"twitter.com/Hawksgroupltd/…","indices":[260,283]}]}</t>
  </si>
  <si>
    <t>1520950718756175873</t>
  </si>
  <si>
    <t>Mon May 02 02:18:03 +0000 2022</t>
  </si>
  <si>
    <t>http://twitter.com/isthisab0t/statuses/1520950718756175873</t>
  </si>
  <si>
    <t>1520950583645114369</t>
  </si>
  <si>
    <t>https://t.co/SQIIvS0kz0
#ukpolitics #torybritain #GTTO #Brexit #BrexitShambles #ToryShambles #projectreality #ToryScum 
#BorisTheLiar #JohnsonMustGo #nastyparty #ToryCorruption #Murdoch #austerity #RWNJs 
Tory lies &amp;amp; incompetence
#DissolveTheUnion #ProgressiveAlliance</t>
  </si>
  <si>
    <t>Mon May 02 02:17:31 +0000 2022</t>
  </si>
  <si>
    <t>http://twitter.com/Patthedog5/statuses/1520950583645114369</t>
  </si>
  <si>
    <t>{"hashtags":[{"text":"ukpolitics","indices":[24,35]},{"text":"torybritain","indices":[36,48]},{"text":"GTTO","indices":[49,54]},{"text":"Brexit","indices":[55,62]},{"text":"BrexitShambles","indices":[63,78]},{"text":"ToryShambles","indices":[79,92]},{"text":"projectreality","indices":[93,108]},{"text":"ToryScum","indices":[109,118]},{"text":"BorisTheLiar","indices":[120,133]},{"text":"JohnsonMustGo","indices":[134,148]},{"text":"nastyparty","indices":[149,160]},{"text":"ToryCorruption","indices":[161,176]},{"text":"Murdoch","indices":[177,185]},{"text":"austerity","indices":[186,196]},{"text":"RWNJs","indices":[197,203]},{"text":"DissolveTheUnion","indices":[234,251]},{"text":"ProgressiveAlliance","indices":[252,272]}],"symbols":[],"user_mentions":[],"urls":[{"url":"https://t.co/SQIIvS0kz0","expanded_url":"https://www.theguardian.com/politics/2022/may/01/commons-misogyny-worse-cover-ups-keir-starmer","display_url":"theguardian.com/politics/2022/…","indices":[0,23]}]}</t>
  </si>
  <si>
    <t>1520950252391608321</t>
  </si>
  <si>
    <t>RT @Patthedog5: #ukpolitics #torybritain #GTTO #Brexit #BrexitShambles #ToryShambles #projectreality #ToryScum 
#BorisTheLiar #JohnsonMustGo #nastyparty #ToryCorruption #Murdoch #austerity #RWNJs 
Tory lies &amp;amp; incompetence
#DissolveTheUnion #ProgressiveAlliance
#DailyFail https://t.co/dIGTzdHOoP</t>
  </si>
  <si>
    <t>Mon May 02 02:16:12 +0000 2022</t>
  </si>
  <si>
    <t>http://twitter.com/botanic_my/statuses/1520950252391608321</t>
  </si>
  <si>
    <t>1520949823377219584</t>
  </si>
  <si>
    <t>EchoSerenityXb</t>
  </si>
  <si>
    <t>Mon May 02 02:14:30 +0000 2022</t>
  </si>
  <si>
    <t>860081767771930624</t>
  </si>
  <si>
    <t>http://pbs.twimg.com/profile_images/1127285922213572609/3z-8Uw6P_normal.jpg</t>
  </si>
  <si>
    <t>http://twitter.com/EchoSerenityXb/statuses/1520949823377219584</t>
  </si>
  <si>
    <t>1520949458850271233</t>
  </si>
  <si>
    <t>Mon May 02 02:13:03 +0000 2022</t>
  </si>
  <si>
    <t>http://twitter.com/isthisab0t/statuses/1520949458850271233</t>
  </si>
  <si>
    <t>1520949448758673408</t>
  </si>
  <si>
    <t>#ukpolitics #torybritain #GTTO #Brexit #BrexitShambles #ToryShambles #projectreality #ToryScum 
#BorisTheLiar #JohnsonMustGo #nastyparty #ToryCorruption #Murdoch #austerity #RWNJs 
Tory lies &amp;amp; incompetence
#DissolveTheUnion #ProgressiveAlliance
#DailyFail https://t.co/dIGTzdHOoP</t>
  </si>
  <si>
    <t>Mon May 02 02:13:01 +0000 2022</t>
  </si>
  <si>
    <t>http://twitter.com/Patthedog5/statuses/1520949448758673408</t>
  </si>
  <si>
    <t>{"hashtags":[{"text":"ukpolitics","indices":[0,11]},{"text":"torybritain","indices":[12,24]},{"text":"GTTO","indices":[25,30]},{"text":"Brexit","indices":[31,38]},{"text":"BrexitShambles","indices":[39,54]},{"text":"ToryShambles","indices":[55,68]},{"text":"projectreality","indices":[69,84]},{"text":"ToryScum","indices":[85,94]},{"text":"BorisTheLiar","indices":[96,109]},{"text":"JohnsonMustGo","indices":[110,124]},{"text":"nastyparty","indices":[125,136]},{"text":"ToryCorruption","indices":[137,152]},{"text":"Murdoch","indices":[153,161]},{"text":"austerity","indices":[162,172]},{"text":"RWNJs","indices":[173,179]},{"text":"DissolveTheUnion","indices":[210,227]},{"text":"ProgressiveAlliance","indices":[228,248]},{"text":"DailyFail","indices":[249,259]}],"symbols":[],"user_mentions":[],"urls":[{"url":"https://t.co/dIGTzdHOoP","expanded_url":"https://twitter.com/AngelaRayner/status/1520806038504628230","display_url":"twitter.com/AngelaRayner/s…","indices":[260,283]}]}</t>
  </si>
  <si>
    <t>1520949016632217604</t>
  </si>
  <si>
    <t>Mon May 02 02:11:18 +0000 2022</t>
  </si>
  <si>
    <t>http://twitter.com/jackalsbynight/statuses/1520949016632217604</t>
  </si>
  <si>
    <t>1520947996829040640</t>
  </si>
  <si>
    <t>GeoffBrewer</t>
  </si>
  <si>
    <t>Mon May 02 02:07:14 +0000 2022</t>
  </si>
  <si>
    <t>302209027</t>
  </si>
  <si>
    <t>http://pbs.twimg.com/profile_images/1497308479983337485/0iDqoyLU_normal.jpg</t>
  </si>
  <si>
    <t>#Chippenham #Wiltshire</t>
  </si>
  <si>
    <t>http://twitter.com/GeoffBrewer/statuses/1520947996829040640</t>
  </si>
  <si>
    <t>1520946857337409537</t>
  </si>
  <si>
    <t>Philpaulbert</t>
  </si>
  <si>
    <t>Mon May 02 02:02:43 +0000 2022</t>
  </si>
  <si>
    <t>52228989</t>
  </si>
  <si>
    <t>http://pbs.twimg.com/profile_images/1320429790499917825/7hLOT1J__normal.jpg</t>
  </si>
  <si>
    <t>http://twitter.com/Philpaulbert/statuses/1520946857337409537</t>
  </si>
  <si>
    <t>1520946849867259904</t>
  </si>
  <si>
    <t>MorganLeahy</t>
  </si>
  <si>
    <t>@CityJohn @dontbrexitfixit @vanmaneuro All part of taking back control !!
This the oven ready deal folk voted for.
CV resulted in many not enjoying full advantages. Be more aware as more travel and see that #Brexit not on any #EU folks minds. 
Maybe Island of Ireland as unresolved issues come to head etc</t>
  </si>
  <si>
    <t>Mon May 02 02:02:41 +0000 2022</t>
  </si>
  <si>
    <t>17738295</t>
  </si>
  <si>
    <t>CityJohn</t>
  </si>
  <si>
    <t>253837505</t>
  </si>
  <si>
    <t>1520944301735395328</t>
  </si>
  <si>
    <t>http://pbs.twimg.com/profile_images/1268719097849827328/e-J-8OR1_normal.jpg</t>
  </si>
  <si>
    <t>Lives in former EU country</t>
  </si>
  <si>
    <t>http://twitter.com/MorganLeahy/statuses/1520946849867259904</t>
  </si>
  <si>
    <t>{"hashtags":[{"text":"Brexit","indices":[207,214]},{"text":"EU","indices":[226,229]}],"symbols":[],"user_mentions":[{"screen_name":"CityJohn","name":"The Masked Knight","id":17738295,"id_str":"17738295","indices":[0,9]},{"screen_name":"dontbrexitfixit","name":"Andrew Parnall - Brexit can't/won't work, ever!","id":757144396643049500,"id_str":"757144396643049472","indices":[10,26]},{"screen_name":"vanmaneuro","name":"ciaran the euro courier 🇪🇺🇮🇪","id":548289031,"id_str":"548289031","indices":[27,38]}],"urls":[]}</t>
  </si>
  <si>
    <t>1520945557405147136</t>
  </si>
  <si>
    <t>BrianB2BDW</t>
  </si>
  <si>
    <t>Mon May 02 01:57:33 +0000 2022</t>
  </si>
  <si>
    <t>2424445374</t>
  </si>
  <si>
    <t>http://pbs.twimg.com/profile_images/1471570813937668099/qhGwO7aC_normal.jpg</t>
  </si>
  <si>
    <t xml:space="preserve">Eastbourne, Little England </t>
  </si>
  <si>
    <t>http://twitter.com/BrianB2BDW/statuses/1520945557405147136</t>
  </si>
  <si>
    <t>1520945413586575360</t>
  </si>
  <si>
    <t>Wmt131</t>
  </si>
  <si>
    <t>Mon May 02 01:56:59 +0000 2022</t>
  </si>
  <si>
    <t>1171087820905164805</t>
  </si>
  <si>
    <t>http://pbs.twimg.com/profile_images/1211632644976467970/FRRwHRR4_normal.jpg</t>
  </si>
  <si>
    <t>http://twitter.com/Wmt131/statuses/1520945413586575360</t>
  </si>
  <si>
    <t>1520945271198425088</t>
  </si>
  <si>
    <t>1066cariad</t>
  </si>
  <si>
    <t>Mon May 02 01:56:25 +0000 2022</t>
  </si>
  <si>
    <t>1318835413</t>
  </si>
  <si>
    <t>http://pbs.twimg.com/profile_images/1497849249366786049/rpbYmcB-_normal.jpg</t>
  </si>
  <si>
    <t>Terf Island</t>
  </si>
  <si>
    <t>http://twitter.com/1066cariad/statuses/1520945271198425088</t>
  </si>
  <si>
    <t>1520944667122143234</t>
  </si>
  <si>
    <t>Juliefrazz</t>
  </si>
  <si>
    <t>Mon May 02 01:54:01 +0000 2022</t>
  </si>
  <si>
    <t>23798052</t>
  </si>
  <si>
    <t>http://pbs.twimg.com/profile_images/893190238649974784/OTixjgI8_normal.jpg</t>
  </si>
  <si>
    <t>Mönchengladbach, Germany</t>
  </si>
  <si>
    <t>http://twitter.com/Juliefrazz/statuses/1520944667122143234</t>
  </si>
  <si>
    <t>1520944604463472640</t>
  </si>
  <si>
    <t>Mon May 02 01:53:46 +0000 2022</t>
  </si>
  <si>
    <t>http://twitter.com/Juliefrazz/statuses/1520944604463472640</t>
  </si>
  <si>
    <t>1520944557759901697</t>
  </si>
  <si>
    <t>Mon May 02 01:53:35 +0000 2022</t>
  </si>
  <si>
    <t>http://twitter.com/Juliefrazz/statuses/1520944557759901697</t>
  </si>
  <si>
    <t>1520944471151624192</t>
  </si>
  <si>
    <t>Mon May 02 01:53:14 +0000 2022</t>
  </si>
  <si>
    <t>http://twitter.com/Juliefrazz/statuses/1520944471151624192</t>
  </si>
  <si>
    <t>1520944384421859331</t>
  </si>
  <si>
    <t>Mon May 02 01:52:53 +0000 2022</t>
  </si>
  <si>
    <t>http://twitter.com/Juliefrazz/statuses/1520944384421859331</t>
  </si>
  <si>
    <t>1520943826403213312</t>
  </si>
  <si>
    <t>lasteka</t>
  </si>
  <si>
    <t>@clondevitt @fmcomment Cos the Tsunami will stop at the Border in the Irish Sea... Another positive of #Brexit</t>
  </si>
  <si>
    <t>Mon May 02 01:50:40 +0000 2022</t>
  </si>
  <si>
    <t>45112296</t>
  </si>
  <si>
    <t>clondevitt</t>
  </si>
  <si>
    <t>19736438</t>
  </si>
  <si>
    <t>1520892461979164675</t>
  </si>
  <si>
    <t xml:space="preserve">Under the Sky </t>
  </si>
  <si>
    <t>http://twitter.com/lasteka/statuses/1520943826403213312</t>
  </si>
  <si>
    <t>{"hashtags":[{"text":"Brexit","indices":[103,110]}],"symbols":[],"user_mentions":[{"screen_name":"clondevitt","name":"Linda","id":45112296,"id_str":"45112296","indices":[0,11]},{"screen_name":"fmcomment","name":"Frank Coughlan 🇺🇦","id":242349846,"id_str":"242349846","indices":[12,22]}],"urls":[]}</t>
  </si>
  <si>
    <t>1520942949223256064</t>
  </si>
  <si>
    <t>wulba</t>
  </si>
  <si>
    <t>Mon May 02 01:47:11 +0000 2022</t>
  </si>
  <si>
    <t>83876010</t>
  </si>
  <si>
    <t>http://pbs.twimg.com/profile_images/856045987256774657/tVsyl5fd_normal.jpg</t>
  </si>
  <si>
    <t>Motherwell</t>
  </si>
  <si>
    <t>http://twitter.com/wulba/statuses/1520942949223256064</t>
  </si>
  <si>
    <t>1520942875869130752</t>
  </si>
  <si>
    <t>LedByWibbles</t>
  </si>
  <si>
    <t>Mon May 02 01:46:54 +0000 2022</t>
  </si>
  <si>
    <t>1511387173899145216</t>
  </si>
  <si>
    <t>http://pbs.twimg.com/profile_images/1511693083888562181/lTl2SNSc_normal.jpg</t>
  </si>
  <si>
    <t>http://twitter.com/LedByWibbles/statuses/1520942875869130752</t>
  </si>
  <si>
    <t>1520942809095749634</t>
  </si>
  <si>
    <t>Mon May 02 01:46:38 +0000 2022</t>
  </si>
  <si>
    <t>http://twitter.com/LedByWibbles/statuses/1520942809095749634</t>
  </si>
  <si>
    <t>1520942773238927361</t>
  </si>
  <si>
    <t>hotmoklet</t>
  </si>
  <si>
    <t>Mon May 02 01:46:29 +0000 2022</t>
  </si>
  <si>
    <t>19063955</t>
  </si>
  <si>
    <t>http://pbs.twimg.com/profile_images/506152325376122881/LpsEshi5_normal.jpeg</t>
  </si>
  <si>
    <t>http://twitter.com/hotmoklet/statuses/1520942773238927361</t>
  </si>
  <si>
    <t>1520941555154096128</t>
  </si>
  <si>
    <t>BadawiLeila</t>
  </si>
  <si>
    <t>Mon May 02 01:41:39 +0000 2022</t>
  </si>
  <si>
    <t>2546277700</t>
  </si>
  <si>
    <t>http://pbs.twimg.com/profile_images/466393867311677441/sNd2WeOZ_normal.jpeg</t>
  </si>
  <si>
    <t xml:space="preserve">London </t>
  </si>
  <si>
    <t>http://twitter.com/BadawiLeila/statuses/1520941555154096128</t>
  </si>
  <si>
    <t>1520941416695971841</t>
  </si>
  <si>
    <t>CraggKeith</t>
  </si>
  <si>
    <t>Mon May 02 01:41:06 +0000 2022</t>
  </si>
  <si>
    <t>886649866734239745</t>
  </si>
  <si>
    <t>Brailsford, England</t>
  </si>
  <si>
    <t>http://twitter.com/CraggKeith/statuses/1520941416695971841</t>
  </si>
  <si>
    <t>1520941394659004418</t>
  </si>
  <si>
    <t>apaulding</t>
  </si>
  <si>
    <t>Mon May 02 01:41:00 +0000 2022</t>
  </si>
  <si>
    <t>222079843</t>
  </si>
  <si>
    <t>http://pbs.twimg.com/profile_images/523391996082552832/gpA9lKO9_normal.jpeg</t>
  </si>
  <si>
    <t>norwich</t>
  </si>
  <si>
    <t>http://twitter.com/apaulding/statuses/1520941394659004418</t>
  </si>
  <si>
    <t>1520941184142688257</t>
  </si>
  <si>
    <t>wynmallett</t>
  </si>
  <si>
    <t>RT @AlasSmithJones: @jonw101961 @Donatedparts @BBBYetAgain @metpoliceuk #BackBoris #TeamBoris #BorisTrain #NeverLabour #NeverLiebour #Conservatives #LabourHypocricy #LabourSleaze #LabourLies #CaptainHindsight #HypocriteStarmer #SmarmyStarmer #StarmerLies #ScumMedia #DefundTheBBC #Brexit #ResignStarmer #ResignRayner #SirBeerStarmer</t>
  </si>
  <si>
    <t>Mon May 02 01:40:10 +0000 2022</t>
  </si>
  <si>
    <t>399262290</t>
  </si>
  <si>
    <t>http://pbs.twimg.com/profile_images/1499450804297777156/fmAi11JD_normal.jpg</t>
  </si>
  <si>
    <t>http://twitter.com/wynmallett/statuses/1520941184142688257</t>
  </si>
  <si>
    <t>{"hashtags":[{"text":"BackBoris","indices":[72,82]},{"text":"TeamBoris","indices":[83,93]},{"text":"BorisTrain","indices":[94,105]},{"text":"NeverLabour","indices":[106,118]},{"text":"NeverLiebour","indices":[119,132]}],"symbols":[],"user_mentions":[{"screen_name":"AlasSmithJones","name":"David Partington #BackBoris #ResignSturgeon","id":1488899444087177200,"id_str":"1488899444087177216","indices":[3,18]},{"screen_name":"jonw101961","name":"Jon W","id":2874248758,"id_str":"2874248758","indices":[20,31]},{"screen_name":"Donatedparts","name":"Steve Austin 🇺🇦🇺🇦🇺🇦","id":1158372331007463400,"id_str":"1158372331007463424","indices":[32,45]},{"screen_name":"BBBYetAgain","name":"BuildBackBetter2022","id":1496438659758891000,"id_str":"1496438659758891008","indices":[46,58]},{"screen_name":"metpoliceuk","name":"Metropolitan Police","id":66967746,"id_str":"66967746","indices":[59,71]}],"urls":[]}</t>
  </si>
  <si>
    <t>1520941008271380481</t>
  </si>
  <si>
    <t>Donatedparts</t>
  </si>
  <si>
    <t>Mon May 02 01:39:28 +0000 2022</t>
  </si>
  <si>
    <t>1158372331007463424</t>
  </si>
  <si>
    <t>http://pbs.twimg.com/profile_images/1447331121910501377/F2GCWXfQ_normal.jpg</t>
  </si>
  <si>
    <t>http://twitter.com/Donatedparts/statuses/1520941008271380481</t>
  </si>
  <si>
    <t>1520940869372858368</t>
  </si>
  <si>
    <t>m_innocenti3</t>
  </si>
  <si>
    <t>Mon May 02 01:38:55 +0000 2022</t>
  </si>
  <si>
    <t>3176491528</t>
  </si>
  <si>
    <t>http://pbs.twimg.com/profile_images/1483494214705029126/xGOuRMih_normal.jpg</t>
  </si>
  <si>
    <t>http://twitter.com/m_innocenti3/statuses/1520940869372858368</t>
  </si>
  <si>
    <t>1520940455063662592</t>
  </si>
  <si>
    <t>DAPowell1</t>
  </si>
  <si>
    <t>Mon May 02 01:37:16 +0000 2022</t>
  </si>
  <si>
    <t>2794951337</t>
  </si>
  <si>
    <t>http://pbs.twimg.com/profile_images/1499070878193262592/PKZs-6IZ_normal.jpg</t>
  </si>
  <si>
    <t>http://twitter.com/DAPowell1/statuses/1520940455063662592</t>
  </si>
  <si>
    <t>1520940194370887681</t>
  </si>
  <si>
    <t>SESuter1</t>
  </si>
  <si>
    <t>Maybe the @guardian can tell us how this organization influenced the #Brexit campaign https://t.co/I3FCKeBnjv</t>
  </si>
  <si>
    <t>Mon May 02 01:36:14 +0000 2022</t>
  </si>
  <si>
    <t>1655628048</t>
  </si>
  <si>
    <t>http://pbs.twimg.com/profile_images/1462851136956809226/_w5wmV6E_normal.jpg</t>
  </si>
  <si>
    <t>http://twitter.com/SESuter1/statuses/1520940194370887681</t>
  </si>
  <si>
    <t>{"hashtags":[{"text":"Brexit","indices":[69,76]}],"symbols":[],"user_mentions":[{"screen_name":"guardian","name":"The Guardian","id":87818409,"id_str":"87818409","indices":[10,19]}],"urls":[{"url":"https://t.co/I3FCKeBnjv","expanded_url":"https://twitter.com/dcminx/status/1520846698360225797","display_url":"twitter.com/dcminx/status/…","indices":[86,109]}]}</t>
  </si>
  <si>
    <t>1520939946143629312</t>
  </si>
  <si>
    <t>justinionn</t>
  </si>
  <si>
    <t>Mon May 02 01:35:15 +0000 2022</t>
  </si>
  <si>
    <t>14237615</t>
  </si>
  <si>
    <t>http://pbs.twimg.com/profile_images/1515612929843888130/Y6tdFIhA_normal.png</t>
  </si>
  <si>
    <t>Bolton, Greater Manchester, UK</t>
  </si>
  <si>
    <t>http://twitter.com/justinionn/statuses/1520939946143629312</t>
  </si>
  <si>
    <t>1520939545096859648</t>
  </si>
  <si>
    <t>fplchrisg100</t>
  </si>
  <si>
    <t>Mon May 02 01:33:39 +0000 2022</t>
  </si>
  <si>
    <t>1159591850480680961</t>
  </si>
  <si>
    <t>http://pbs.twimg.com/profile_images/1497552229108178945/2iS9Ar_a_normal.jpg</t>
  </si>
  <si>
    <t>http://twitter.com/fplchrisg100/statuses/1520939545096859648</t>
  </si>
  <si>
    <t>1520939498401579008</t>
  </si>
  <si>
    <t>Mon May 02 01:33:28 +0000 2022</t>
  </si>
  <si>
    <t>http://twitter.com/fplchrisg100/statuses/1520939498401579008</t>
  </si>
  <si>
    <t>1520939471457374213</t>
  </si>
  <si>
    <t>Mon May 02 01:33:22 +0000 2022</t>
  </si>
  <si>
    <t>http://twitter.com/fplchrisg100/statuses/1520939471457374213</t>
  </si>
  <si>
    <t>1520939444362219527</t>
  </si>
  <si>
    <t>Mon May 02 01:33:15 +0000 2022</t>
  </si>
  <si>
    <t>http://twitter.com/fplchrisg100/statuses/1520939444362219527</t>
  </si>
  <si>
    <t>1520939424393089025</t>
  </si>
  <si>
    <t>Mon May 02 01:33:11 +0000 2022</t>
  </si>
  <si>
    <t>http://twitter.com/fplchrisg100/statuses/1520939424393089025</t>
  </si>
  <si>
    <t>1520939299860008960</t>
  </si>
  <si>
    <t>james__eu</t>
  </si>
  <si>
    <t>Mon May 02 01:32:41 +0000 2022</t>
  </si>
  <si>
    <t>747110106593103873</t>
  </si>
  <si>
    <t>http://pbs.twimg.com/profile_images/1515031767446663183/NoFQosqm_normal.jpg</t>
  </si>
  <si>
    <t>http://twitter.com/james__eu/statuses/1520939299860008960</t>
  </si>
  <si>
    <t>1520939180544638977</t>
  </si>
  <si>
    <t>Mon May 02 01:32:12 +0000 2022</t>
  </si>
  <si>
    <t>http://twitter.com/CraggKeith/statuses/1520939180544638977</t>
  </si>
  <si>
    <t>1520938931168153605</t>
  </si>
  <si>
    <t>muddlinleigh</t>
  </si>
  <si>
    <t>Mon May 02 01:31:13 +0000 2022</t>
  </si>
  <si>
    <t>6977362</t>
  </si>
  <si>
    <t>http://pbs.twimg.com/profile_images/1443915599151833138/i5ZSqYs3_normal.jpg</t>
  </si>
  <si>
    <t>Auld Reekie, Scotia</t>
  </si>
  <si>
    <t>http://twitter.com/muddlinleigh/statuses/1520938931168153605</t>
  </si>
  <si>
    <t>1520938867674783745</t>
  </si>
  <si>
    <t>Mon May 02 01:30:58 +0000 2022</t>
  </si>
  <si>
    <t>http://twitter.com/m_innocenti3/statuses/1520938867674783745</t>
  </si>
  <si>
    <t>1520938722430267396</t>
  </si>
  <si>
    <t>WandaKloza</t>
  </si>
  <si>
    <t>Mon May 02 01:30:23 +0000 2022</t>
  </si>
  <si>
    <t>3653838982</t>
  </si>
  <si>
    <t>http://pbs.twimg.com/profile_images/1114586458948608006/BQgJeOgm_normal.jpg</t>
  </si>
  <si>
    <t>http://twitter.com/WandaKloza/statuses/1520938722430267396</t>
  </si>
  <si>
    <t>1520938642717487106</t>
  </si>
  <si>
    <t>MomentsTo_2016</t>
  </si>
  <si>
    <t>Mon May 02 01:30:04 +0000 2022</t>
  </si>
  <si>
    <t>795716565249433601</t>
  </si>
  <si>
    <t>http://pbs.twimg.com/profile_images/1281650798947119105/RKpluo4L_normal.jpg</t>
  </si>
  <si>
    <t>Merseyside, England</t>
  </si>
  <si>
    <t>http://twitter.com/MomentsTo_2016/statuses/1520938642717487106</t>
  </si>
  <si>
    <t>1520938401373036545</t>
  </si>
  <si>
    <t>ratcliffe_nick</t>
  </si>
  <si>
    <t>@LanceForman @CommonsSpeaker This is the bloke that owns @hformanandson, makers of smoked fish products Make up your own minds about which brand you buy. He also was a major supporter of #Brexit. Remember, that’s @hformanandson</t>
  </si>
  <si>
    <t>Mon May 02 01:29:07 +0000 2022</t>
  </si>
  <si>
    <t>1411005276</t>
  </si>
  <si>
    <t>1520660850259943425</t>
  </si>
  <si>
    <t>http://pbs.twimg.com/profile_images/344513261577725615/acda2866b361136070daec6cda5adf13_normal.jpeg</t>
  </si>
  <si>
    <t>http://twitter.com/ratcliffe_nick/statuses/1520938401373036545</t>
  </si>
  <si>
    <t>{"hashtags":[{"text":"Brexit","indices":[187,194]}],"symbols":[],"user_mentions":[{"screen_name":"LanceForman","name":"Lance Forman","id":757537572,"id_str":"757537572","indices":[0,12]},{"screen_name":"CommonsSpeaker","name":"Sir Lindsay Hoyle","id":1339168294805311500,"id_str":"1339168294805311493","indices":[13,28]},{"screen_name":"hformanandson","name":"H FORMAN &amp; SON","id":849172120554876900,"id_str":"849172120554876928","indices":[57,71]},{"screen_name":"hformanandson","name":"H FORMAN &amp; SON","id":849172120554876900,"id_str":"849172120554876928","indices":[213,227]}],"urls":[]}</t>
  </si>
  <si>
    <t>1520937416093220864</t>
  </si>
  <si>
    <t>Mon May 02 01:25:12 +0000 2022</t>
  </si>
  <si>
    <t>http://twitter.com/CraggKeith/statuses/1520937416093220864</t>
  </si>
  <si>
    <t>1520937215806910465</t>
  </si>
  <si>
    <t>Mon May 02 01:24:24 +0000 2022</t>
  </si>
  <si>
    <t>http://twitter.com/CraggKeith/statuses/1520937215806910465</t>
  </si>
  <si>
    <t>1520937151256485888</t>
  </si>
  <si>
    <t>Mon May 02 01:24:09 +0000 2022</t>
  </si>
  <si>
    <t>http://twitter.com/CraggKeith/statuses/1520937151256485888</t>
  </si>
  <si>
    <t>1520937103525392384</t>
  </si>
  <si>
    <t>Mon May 02 01:23:57 +0000 2022</t>
  </si>
  <si>
    <t>http://twitter.com/CraggKeith/statuses/1520937103525392384</t>
  </si>
  <si>
    <t>1520937022503936002</t>
  </si>
  <si>
    <t>Mon May 02 01:23:38 +0000 2022</t>
  </si>
  <si>
    <t>http://twitter.com/CraggKeith/statuses/1520937022503936002</t>
  </si>
  <si>
    <t>1520936937355370497</t>
  </si>
  <si>
    <t>Mon May 02 01:23:18 +0000 2022</t>
  </si>
  <si>
    <t>http://twitter.com/CraggKeith/statuses/1520936937355370497</t>
  </si>
  <si>
    <t>1520936143281442816</t>
  </si>
  <si>
    <t>Tighnacoille</t>
  </si>
  <si>
    <t>Mon May 02 01:20:08 +0000 2022</t>
  </si>
  <si>
    <t>1258712054</t>
  </si>
  <si>
    <t>http://pbs.twimg.com/profile_images/772859536759787520/iLc_j3La_normal.jpg</t>
  </si>
  <si>
    <t>http://twitter.com/Tighnacoille/statuses/1520936143281442816</t>
  </si>
  <si>
    <t>1520935163173163008</t>
  </si>
  <si>
    <t>julie4north</t>
  </si>
  <si>
    <t>👇Liz Truss &amp;amp; Nadine Dorries get all sanctimonious about Putin’s troll factories churning out misinformation on social media platforms re the war in #Ukraine. Don’t they know this was the same outfit that was interfering in our democracies in 2016 #Brexit  https://t.co/wyQBYS01Ld</t>
  </si>
  <si>
    <t>Mon May 02 01:16:15 +0000 2022</t>
  </si>
  <si>
    <t>1354570123</t>
  </si>
  <si>
    <t>http://pbs.twimg.com/profile_images/1260733751388225537/_T5gxorh_normal.jpg</t>
  </si>
  <si>
    <t>County Durham, UK</t>
  </si>
  <si>
    <t>http://twitter.com/julie4north/statuses/1520935163173163008</t>
  </si>
  <si>
    <t>{"hashtags":[{"text":"Ukraine","indices":[152,160]},{"text":"Brexit","indices":[251,258]}],"symbols":[],"user_mentions":[],"urls":[{"url":"https://t.co/wyQBYS01Ld","expanded_url":"https://amp.theguardian.com/world/2022/may/01/troll-factory-spreading-russian-pro-war-lies-online-says-uk","display_url":"amp.theguardian.com/world/2022/may…","indices":[260,283]}]}</t>
  </si>
  <si>
    <t>1520935068700659712</t>
  </si>
  <si>
    <t>RT @Patthedog5: https://t.co/Y8GKWSPRAW
#ukpolitics #torybritain #GTTO #Brexit #BrexitShambles #ToryShambles #projectreality #ToryScum 
#BorisTheLiar #JohnsonMustGo #nastyparty #ToryCorruption #RWNJs 
Tory lies &amp;amp; incompetence
#DissolveTheUnion #ProgressiveAlliance
#BrexitCompany #UKIP #DUP</t>
  </si>
  <si>
    <t>Mon May 02 01:15:52 +0000 2022</t>
  </si>
  <si>
    <t>http://twitter.com/botanic_my/statuses/1520935068700659712</t>
  </si>
  <si>
    <t>{"hashtags":[{"text":"ukpolitics","indices":[40,51]},{"text":"torybritain","indices":[52,64]},{"text":"GTTO","indices":[65,70]},{"text":"Brexit","indices":[71,78]},{"text":"BrexitShambles","indices":[79,94]},{"text":"ToryShambles","indices":[95,108]},{"text":"projectreality","indices":[109,124]},{"text":"ToryScum","indices":[125,134]}],"symbols":[],"user_mentions":[{"screen_name":"Patthedog5","name":"Pat the dog(Voted for Brexit?; Brexidiot you are)","id":1141411703273525200,"id_str":"1141411703273525248","indices":[3,14]}],"urls":[{"url":"https://t.co/Y8GKWSPRAW","expanded_url":"https://www.youtube.com/watch?v=QVGMQcTNDZQ","display_url":"youtube.com/watch?v=QVGMQc…","indices":[16,39]}]}</t>
  </si>
  <si>
    <t>1520935008810434561</t>
  </si>
  <si>
    <t>NoMiddleNameAH</t>
  </si>
  <si>
    <t>Mon May 02 01:15:38 +0000 2022</t>
  </si>
  <si>
    <t>479475301</t>
  </si>
  <si>
    <t>http://pbs.twimg.com/profile_images/1184778750023655424/ZJbDFfH9_normal.jpg</t>
  </si>
  <si>
    <t>http://twitter.com/NoMiddleNameAH/statuses/1520935008810434561</t>
  </si>
  <si>
    <t>1520934442549878786</t>
  </si>
  <si>
    <t>Panbocchh</t>
  </si>
  <si>
    <t>Mon May 02 01:13:23 +0000 2022</t>
  </si>
  <si>
    <t>899257352423165952</t>
  </si>
  <si>
    <t>http://pbs.twimg.com/profile_images/1350137782417707011/paRyTeYD_normal.jpg</t>
  </si>
  <si>
    <t>http://twitter.com/Panbocchh/statuses/1520934442549878786</t>
  </si>
  <si>
    <t>1520934261129416704</t>
  </si>
  <si>
    <t>HackettTom</t>
  </si>
  <si>
    <t>RT @DNewtonC: How ironic !
So, in 2016 when there were Russian troll fingerprints all over the Leave Campaign and the #Brexit Referendum- where the @FCDOGovUK DID NOT LOOK FOR EVIDENCE #RussiaReport-
suddenly we've found them.
What say @10DowningStreet ?
https://t.co/5dhLo6kfvu</t>
  </si>
  <si>
    <t>Mon May 02 01:12:40 +0000 2022</t>
  </si>
  <si>
    <t>341454994</t>
  </si>
  <si>
    <t>http://pbs.twimg.com/profile_images/1511030380467478530/2rGH3Qum_normal.jpg</t>
  </si>
  <si>
    <t>West Yorkshire/Andalucia</t>
  </si>
  <si>
    <t>http://twitter.com/HackettTom/statuses/1520934261129416704</t>
  </si>
  <si>
    <t>{"hashtags":[{"text":"Brexit","indices":[119,126]}],"symbols":[],"user_mentions":[{"screen_name":"DNewtonC","name":"Deborah #3.5% 🐟🔸🇺🇦🇪🇺 ReJoinEU","id":1896835741,"id_str":"1896835741","indices":[3,12]}],"urls":[]}</t>
  </si>
  <si>
    <t>1520934256607965185</t>
  </si>
  <si>
    <t>Mon May 02 01:12:39 +0000 2022</t>
  </si>
  <si>
    <t>http://twitter.com/SueKeen1/statuses/1520934256607965185</t>
  </si>
  <si>
    <t>1520933336344113153</t>
  </si>
  <si>
    <t>AscendinPenguin</t>
  </si>
  <si>
    <t>Mon May 02 01:08:59 +0000 2022</t>
  </si>
  <si>
    <t>172694414</t>
  </si>
  <si>
    <t>http://pbs.twimg.com/profile_images/1180842254/TM-logo-black-low_normal.jpg</t>
  </si>
  <si>
    <t>http://twitter.com/AscendinPenguin/statuses/1520933336344113153</t>
  </si>
  <si>
    <t>1520933299312545793</t>
  </si>
  <si>
    <t>Mon May 02 01:08:50 +0000 2022</t>
  </si>
  <si>
    <t>http://twitter.com/AscendinPenguin/statuses/1520933299312545793</t>
  </si>
  <si>
    <t>1520933264634036225</t>
  </si>
  <si>
    <t>Mon May 02 01:08:42 +0000 2022</t>
  </si>
  <si>
    <t>http://twitter.com/AscendinPenguin/statuses/1520933264634036225</t>
  </si>
  <si>
    <t>1520933228948959233</t>
  </si>
  <si>
    <t>WelfordGeoff</t>
  </si>
  <si>
    <t>Mon May 02 01:08:34 +0000 2022</t>
  </si>
  <si>
    <t>1034446644694208512</t>
  </si>
  <si>
    <t>http://twitter.com/WelfordGeoff/statuses/1520933228948959233</t>
  </si>
  <si>
    <t>1520933224716947457</t>
  </si>
  <si>
    <t>Mon May 02 01:08:33 +0000 2022</t>
  </si>
  <si>
    <t>http://twitter.com/AscendinPenguin/statuses/1520933224716947457</t>
  </si>
  <si>
    <t>1520933213358772224</t>
  </si>
  <si>
    <t>Mon May 02 01:08:30 +0000 2022</t>
  </si>
  <si>
    <t>http://twitter.com/AscendinPenguin/statuses/1520933213358772224</t>
  </si>
  <si>
    <t>1520932583395270657</t>
  </si>
  <si>
    <t>CuriousLearner2</t>
  </si>
  <si>
    <t>Mon May 02 01:06:00 +0000 2022</t>
  </si>
  <si>
    <t>453409780</t>
  </si>
  <si>
    <t>http://pbs.twimg.com/profile_images/1124310842592432130/kxzc9l-s_normal.jpg</t>
  </si>
  <si>
    <t>http://twitter.com/CuriousLearner2/statuses/1520932583395270657</t>
  </si>
  <si>
    <t>1520932582707417088</t>
  </si>
  <si>
    <t>JohnKLDN</t>
  </si>
  <si>
    <t>RT @JKLDNMAD: @AngelaRayner #Brexit #ToryBrexit 
⚠️ adding to inflation
⚠️ destroying jobs &amp;amp; businesses in 🇬🇧 
⚠️ removed 🇬🇧 citizens rights &amp;amp; opportunities across 30 neighbouring 🇪🇺 countries 
⚠️ stripping food &amp;amp; environmental protections &amp;amp; workers rights in 🇬🇧 
⚠️ Open door for NHS privatisation https://t.co/yfsrwj09NN</t>
  </si>
  <si>
    <t>Mon May 02 01:05:59 +0000 2022</t>
  </si>
  <si>
    <t>1224488362616160256</t>
  </si>
  <si>
    <t>http://pbs.twimg.com/profile_images/1224491997030907904/ijyV4Dwh_normal.jpg</t>
  </si>
  <si>
    <t>Morecambe</t>
  </si>
  <si>
    <t>http://twitter.com/JohnKLDN/statuses/1520932582707417088</t>
  </si>
  <si>
    <t>{"hashtags":[{"text":"Brexit","indices":[28,35]},{"text":"ToryBrexit","indices":[36,47]}],"symbols":[],"user_mentions":[{"screen_name":"JKLDNMAD","name":"JK","id":872158753008877600,"id_str":"872158753008877569","indices":[3,12]},{"screen_name":"AngelaRayner","name":"Angela Rayner 🌹","id":222748037,"id_str":"222748037","indices":[14,27]}],"urls":[]}</t>
  </si>
  <si>
    <t>1520932524003926016</t>
  </si>
  <si>
    <t>Mon May 02 01:05:45 +0000 2022</t>
  </si>
  <si>
    <t>http://twitter.com/CuriousLearner2/statuses/1520932524003926016</t>
  </si>
  <si>
    <t>1520932458837032960</t>
  </si>
  <si>
    <t>Mon May 02 01:05:30 +0000 2022</t>
  </si>
  <si>
    <t>http://twitter.com/CuriousLearner2/statuses/1520932458837032960</t>
  </si>
  <si>
    <t>1520932204645212161</t>
  </si>
  <si>
    <t>But but but, #brexiteers knew what they were voting for?  
The countries economy &amp;amp; international reputation has been destroyed by folk that couldn’t be bothered doing basic research or were desperate for their xenephobic #brexit https://t.co/Emf6xy15Ex</t>
  </si>
  <si>
    <t>Mon May 02 01:04:29 +0000 2022</t>
  </si>
  <si>
    <t>http://twitter.com/ronbuch/statuses/1520932204645212161</t>
  </si>
  <si>
    <t>{"hashtags":[{"text":"brexiteers","indices":[13,24]},{"text":"brexit","indices":[225,232]}],"symbols":[],"user_mentions":[],"urls":[],"media":[{"id":1520932201419841500,"id_str":"1520932201419841536","indices":[233,256],"media_url":"http://pbs.twimg.com/media/FRtvx2kVIAA5Fb-.jpg","media_url_https":"https://pbs.twimg.com/media/FRtvx2kVIAA5Fb-.jpg","url":"https://t.co/Emf6xy15Ex","display_url":"pic.twitter.com/Emf6xy15Ex","expanded_url":"https://twitter.com/ronbuch/status/1520932204645212161/photo/1","type":"photo","sizes":{"thumb":{"w":150,"h":150,"resize":"crop"},"small":{"w":414,"h":680,"resize":"fit"},"medium":{"w":731,"h":1200,"resize":"fit"},"large":{"w":1106,"h":1816,"resize":"fit"}}}]}</t>
  </si>
  <si>
    <t>1520931800469716992</t>
  </si>
  <si>
    <t>FbpePiste</t>
  </si>
  <si>
    <t>Mon May 02 01:02:53 +0000 2022</t>
  </si>
  <si>
    <t>1180785187816448000</t>
  </si>
  <si>
    <t>http://pbs.twimg.com/profile_images/1180798962699243521/awbRJcSm_normal.jpg</t>
  </si>
  <si>
    <t>http://twitter.com/FbpePiste/statuses/1520931800469716992</t>
  </si>
  <si>
    <t>1520931531786788866</t>
  </si>
  <si>
    <t>danielRob001</t>
  </si>
  <si>
    <t>Mon May 02 01:01:49 +0000 2022</t>
  </si>
  <si>
    <t>3387068859</t>
  </si>
  <si>
    <t>http://pbs.twimg.com/profile_images/623808529820848129/n3RdlFXp_normal.png</t>
  </si>
  <si>
    <t>http://twitter.com/danielRob001/statuses/1520931531786788866</t>
  </si>
  <si>
    <t>1520930757610545154</t>
  </si>
  <si>
    <t>BramProvost</t>
  </si>
  <si>
    <t>Een nieuw historisch moment in mijn leven : dankzij de Brexit ga ik nu voor de allereerste keer een reispas aanvragen en dat enkel om naar Engeland te varen. Anders had ik dat ding  nooit nodig gehad. Ginder minder uitgeven en ik heb het terug verdiend.
#Brexit</t>
  </si>
  <si>
    <t>Mon May 02 00:58:44 +0000 2022</t>
  </si>
  <si>
    <t>1315814065210621952</t>
  </si>
  <si>
    <t>http://pbs.twimg.com/profile_images/1412207136470450177/oFkjYVkI_normal.jpg</t>
  </si>
  <si>
    <t>Belgium</t>
  </si>
  <si>
    <t>http://twitter.com/BramProvost/statuses/1520930757610545154</t>
  </si>
  <si>
    <t>{"hashtags":[{"text":"Brexit","indices":[254,261]}],"symbols":[],"user_mentions":[],"urls":[]}</t>
  </si>
  <si>
    <t>1520930368005812226</t>
  </si>
  <si>
    <t>thomaslynda123</t>
  </si>
  <si>
    <t>Mon May 02 00:57:11 +0000 2022</t>
  </si>
  <si>
    <t>801241272</t>
  </si>
  <si>
    <t>http://pbs.twimg.com/profile_images/763489790406828032/q5iwm01V_normal.jpg</t>
  </si>
  <si>
    <t>http://twitter.com/thomaslynda123/statuses/1520930368005812226</t>
  </si>
  <si>
    <t>1520930335466434561</t>
  </si>
  <si>
    <t>Mon May 02 00:57:04 +0000 2022</t>
  </si>
  <si>
    <t>http://twitter.com/thomaslynda123/statuses/1520930335466434561</t>
  </si>
  <si>
    <t>1520930301517733888</t>
  </si>
  <si>
    <t>Mon May 02 00:56:56 +0000 2022</t>
  </si>
  <si>
    <t>http://twitter.com/thomaslynda123/statuses/1520930301517733888</t>
  </si>
  <si>
    <t>1520930212065824768</t>
  </si>
  <si>
    <t>MichaelJGollop</t>
  </si>
  <si>
    <t>Mon May 02 00:56:34 +0000 2022</t>
  </si>
  <si>
    <t>21582075</t>
  </si>
  <si>
    <t>http://pbs.twimg.com/profile_images/868092806262403072/nDQH5C4d_normal.jpg</t>
  </si>
  <si>
    <t xml:space="preserve">Cymru </t>
  </si>
  <si>
    <t>http://twitter.com/MichaelJGollop/statuses/1520930212065824768</t>
  </si>
  <si>
    <t>1520929025077792768</t>
  </si>
  <si>
    <t>Bassaces1</t>
  </si>
  <si>
    <t>RT @julianHjessop: @cjsnowdon FYI, Posen was widely misreported. He claimed that #Brexit is 80% of why the #IMF is forecasting that UK inflation will be higher than the rest of the G7 *in 2023*.
But this is still cobblers. At best it is circular: IMF expects #inflation to remain high because of Brexit... 🙄</t>
  </si>
  <si>
    <t>Mon May 02 00:51:51 +0000 2022</t>
  </si>
  <si>
    <t>1066275282653536256</t>
  </si>
  <si>
    <t>http://pbs.twimg.com/profile_images/1345571648590802944/PVUCi5Fd_normal.jpg</t>
  </si>
  <si>
    <t>http://twitter.com/Bassaces1/statuses/1520929025077792768</t>
  </si>
  <si>
    <t>{"hashtags":[{"text":"Brexit","indices":[81,88]},{"text":"IMF","indices":[107,111]}],"symbols":[],"user_mentions":[{"screen_name":"julianHjessop","name":"Julian Jessop 🇬🇧 🇺🇦","id":42622053,"id_str":"42622053","indices":[3,17]},{"screen_name":"cjsnowdon","name":"Christopher Snowdon 🇺🇦","id":144658847,"id_str":"144658847","indices":[19,29]}],"urls":[]}</t>
  </si>
  <si>
    <t>1520928637775712258</t>
  </si>
  <si>
    <t>Old_Ted_Euro</t>
  </si>
  <si>
    <t>Mon May 02 00:50:19 +0000 2022</t>
  </si>
  <si>
    <t>1173720579540705286</t>
  </si>
  <si>
    <t>http://pbs.twimg.com/profile_images/1268707395468959745/6T0Vcd9e_normal.jpg</t>
  </si>
  <si>
    <t>Yorkshire and The Humber</t>
  </si>
  <si>
    <t>http://twitter.com/Old_Ted_Euro/statuses/1520928637775712258</t>
  </si>
  <si>
    <t>1520928625490604035</t>
  </si>
  <si>
    <t>hilton_philip</t>
  </si>
  <si>
    <t>To #MP #MPs @BarrySheerman @UKLabour @campbellclaret #LabourParty @AngelaRayner #Sir @Keir_Starmer it is nearly #5thMay #Elections2022 it’s all about the future of #uk &amp;amp; #tractors at the moment let’s celebrate #Brexit #farm #organic sustainable #farming #Politics @BBCFarmingToday https://t.co/1lIxYnAyhd</t>
  </si>
  <si>
    <t>Mon May 02 00:50:16 +0000 2022</t>
  </si>
  <si>
    <t>2778616972</t>
  </si>
  <si>
    <t>http://pbs.twimg.com/profile_images/1503018460259004417/tn_FA9_R_normal.jpg</t>
  </si>
  <si>
    <t>eastleigh</t>
  </si>
  <si>
    <t>http://twitter.com/hilton_philip/statuses/1520928625490604035</t>
  </si>
  <si>
    <t>{"hashtags":[{"text":"MP","indices":[3,6]},{"text":"MPs","indices":[7,11]},{"text":"LabourParty","indices":[53,65]},{"text":"Sir","indices":[80,84]},{"text":"5thMay","indices":[112,119]},{"text":"Elections2022","indices":[120,134]},{"text":"uk","indices":[164,167]},{"text":"tractors","indices":[174,183]},{"text":"Brexit","indices":[214,221]},{"text":"farm","indices":[222,227]},{"text":"organic","indices":[228,236]},{"text":"farming","indices":[249,257]},{"text":"Politics","indices":[258,267]}],"symbols":[],"user_mentions":[{"screen_name":"BarrySheerman","name":"Barry Sheerman MP","id":250091875,"id_str":"250091875","indices":[12,26]},{"screen_name":"UKLabour","name":"The Labour Party","id":14291684,"id_str":"14291684","indices":[27,36]},{"screen_name":"campbellclaret","name":"ALASTAIR CAMPBELL","id":19644592,"id_str":"19644592","indices":[37,52]},{"screen_name":"AngelaRayner","name":"Angela Rayner 🌹","id":222748037,"id_str":"222748037","indices":[66,79]},{"screen_name":"Keir_Starmer","name":"Keir Starmer","id":2425571623,"id_str":"2425571623","indices":[85,98]},{"screen_name":"BBCFarmingToday","name":"Farming Today","id":819612452,"id_str":"819612452","indices":[268,284]}],"urls":[],"media":[{"id":1520928619421393000,"id_str":"1520928619421392902","indices":[285,308],"media_url":"http://pbs.twimg.com/media/FRtshWlWYAY35q-.jpg","media_url_https":"https://pbs.twimg.com/media/FRtshWlWYAY35q-.jpg","url":"https://t.co/1lIxYnAyhd","display_url":"pic.twitter.com/1lIxYnAyhd","expanded_url":"https://twitter.com/hilton_philip/status/1520928625490604035/photo/1","type":"photo","sizes":{"thumb":{"w":150,"h":150,"resize":"crop"},"medium":{"w":1080,"h":1080,"resize":"fit"},"large":{"w":1080,"h":1080,"resize":"fit"},"small":{"w":680,"h":680,"resize":"fit"}}}]}</t>
  </si>
  <si>
    <t>1520928463317839873</t>
  </si>
  <si>
    <t>davidsugars</t>
  </si>
  <si>
    <t>Mon May 02 00:49:37 +0000 2022</t>
  </si>
  <si>
    <t>2498906180</t>
  </si>
  <si>
    <t>http://pbs.twimg.com/profile_images/890691174297718784/swKNXk3F_normal.jpg</t>
  </si>
  <si>
    <t>http://twitter.com/davidsugars/statuses/1520928463317839873</t>
  </si>
  <si>
    <t>1520928382783037441</t>
  </si>
  <si>
    <t>graydominic4</t>
  </si>
  <si>
    <t>Mon May 02 00:49:18 +0000 2022</t>
  </si>
  <si>
    <t>22679926</t>
  </si>
  <si>
    <t>http://pbs.twimg.com/profile_images/1509798820372221954/435TFDd7_normal.jpg</t>
  </si>
  <si>
    <t>Norfolk, England</t>
  </si>
  <si>
    <t>http://twitter.com/graydominic4/statuses/1520928382783037441</t>
  </si>
  <si>
    <t>1520928320136925190</t>
  </si>
  <si>
    <t>Mon May 02 00:49:03 +0000 2022</t>
  </si>
  <si>
    <t>http://twitter.com/isthisab0t/statuses/1520928320136925190</t>
  </si>
  <si>
    <t>1520928255259426820</t>
  </si>
  <si>
    <t>https://t.co/Y8GKWSPRAW
#ukpolitics #torybritain #GTTO #Brexit #BrexitShambles #ToryShambles #projectreality #ToryScum 
#BorisTheLiar #JohnsonMustGo #nastyparty #ToryCorruption #RWNJs 
Tory lies &amp;amp; incompetence
#DissolveTheUnion #ProgressiveAlliance
#BrexitCompany #UKIP #DUP</t>
  </si>
  <si>
    <t>Mon May 02 00:48:48 +0000 2022</t>
  </si>
  <si>
    <t>http://twitter.com/Patthedog5/statuses/1520928255259426820</t>
  </si>
  <si>
    <t>{"hashtags":[{"text":"ukpolitics","indices":[24,35]},{"text":"torybritain","indices":[36,48]},{"text":"GTTO","indices":[49,54]},{"text":"Brexit","indices":[55,62]},{"text":"BrexitShambles","indices":[63,78]},{"text":"ToryShambles","indices":[79,92]},{"text":"projectreality","indices":[93,108]},{"text":"ToryScum","indices":[109,118]},{"text":"BorisTheLiar","indices":[120,133]},{"text":"JohnsonMustGo","indices":[134,148]},{"text":"nastyparty","indices":[149,160]},{"text":"ToryCorruption","indices":[161,176]},{"text":"RWNJs","indices":[177,183]},{"text":"DissolveTheUnion","indices":[214,231]},{"text":"ProgressiveAlliance","indices":[232,252]},{"text":"BrexitCompany","indices":[253,267]},{"text":"UKIP","indices":[268,273]},{"text":"DUP","indices":[274,278]}],"symbols":[],"user_mentions":[],"urls":[{"url":"https://t.co/Y8GKWSPRAW","expanded_url":"https://www.youtube.com/watch?v=QVGMQcTNDZQ","display_url":"youtube.com/watch?v=QVGMQc…","indices":[0,23]}]}</t>
  </si>
  <si>
    <t>1520927841168371713</t>
  </si>
  <si>
    <t>Jackbentwarner</t>
  </si>
  <si>
    <t>Mon May 02 00:47:09 +0000 2022</t>
  </si>
  <si>
    <t>308090533</t>
  </si>
  <si>
    <t>http://pbs.twimg.com/profile_images/946124966533173249/Ij-9M2m6_normal.jpg</t>
  </si>
  <si>
    <t>Most corrupt official on earth</t>
  </si>
  <si>
    <t>http://twitter.com/Jackbentwarner/statuses/1520927841168371713</t>
  </si>
  <si>
    <t>1520927748876865540</t>
  </si>
  <si>
    <t>RT @rec777777: A big thank you to all my leave voting followers for one of the best years in a long time.
Business is booming, all investments are up and our great vaccine programme, thanks to escaping the EU/EMA.
Looking forward to an exciting 2022.
#brexit #Brexitbenefits @BBCNews</t>
  </si>
  <si>
    <t>Mon May 02 00:46:47 +0000 2022</t>
  </si>
  <si>
    <t>http://twitter.com/BrexitLalaland/statuses/1520927748876865540</t>
  </si>
  <si>
    <t>{"hashtags":[],"symbols":[],"user_mentions":[{"screen_name":"rec777777","name":"REC","id":812295444604866600,"id_str":"812295444604866560","indices":[3,13]}],"urls":[]}</t>
  </si>
  <si>
    <t>1520927745190019074</t>
  </si>
  <si>
    <t>dexter_mavhura</t>
  </si>
  <si>
    <t>Mon May 02 00:46:46 +0000 2022</t>
  </si>
  <si>
    <t>1472467899390607362</t>
  </si>
  <si>
    <t>http://pbs.twimg.com/profile_images/1491525494466093056/1K2vhhTj_normal.jpg</t>
  </si>
  <si>
    <t>Ohio, USA</t>
  </si>
  <si>
    <t>http://twitter.com/dexter_mavhura/statuses/1520927745190019074</t>
  </si>
  <si>
    <t>1520927144670797824</t>
  </si>
  <si>
    <t>idlersj</t>
  </si>
  <si>
    <t>Mon May 02 00:44:23 +0000 2022</t>
  </si>
  <si>
    <t>881008197380710400</t>
  </si>
  <si>
    <t>http://pbs.twimg.com/profile_images/1333879298214694912/-gPTfqKp_normal.jpg</t>
  </si>
  <si>
    <t>http://twitter.com/idlersj/statuses/1520927144670797824</t>
  </si>
  <si>
    <t>1520926957592264704</t>
  </si>
  <si>
    <t>Mon May 02 00:43:38 +0000 2022</t>
  </si>
  <si>
    <t>http://twitter.com/idlersj/statuses/1520926957592264704</t>
  </si>
  <si>
    <t>1520926658152341504</t>
  </si>
  <si>
    <t>Mon May 02 00:42:27 +0000 2022</t>
  </si>
  <si>
    <t>http://twitter.com/h1llbillies/statuses/1520926658152341504</t>
  </si>
  <si>
    <t>1520926587000082432</t>
  </si>
  <si>
    <t>yipmann82</t>
  </si>
  <si>
    <t>@jclanoe I wish I had the empathy needed to feel sorry for flagshagging #Brexit misogynist Lance Forman, he really isn't the sharpest tool in the shed! #TorySleaze #ToriesOut 
Brexiteer’s attempt to defend Brexit spectacularly backfires. https://t.co/eorAZC3Q7X</t>
  </si>
  <si>
    <t>Mon May 02 00:42:10 +0000 2022</t>
  </si>
  <si>
    <t>63275377</t>
  </si>
  <si>
    <t>jclanoe</t>
  </si>
  <si>
    <t>3432562233</t>
  </si>
  <si>
    <t>1520839118309179395</t>
  </si>
  <si>
    <t>http://pbs.twimg.com/profile_images/1343629207637782528/Ryusk_NY_normal.jpg</t>
  </si>
  <si>
    <t>http://twitter.com/yipmann82/statuses/1520926587000082432</t>
  </si>
  <si>
    <t>{"hashtags":[{"text":"Brexit","indices":[72,79]},{"text":"TorySleaze","indices":[152,163]},{"text":"ToriesOut","indices":[164,174]}],"symbols":[],"user_mentions":[{"screen_name":"jclanoe","name":"King JC❤️📺🇬🇧🇪🇺fronche tosseur, flâneur, lover","id":63275377,"id_str":"63275377","indices":[0,8]}],"urls":[{"url":"https://t.co/eorAZC3Q7X","expanded_url":"https://www.indy100.com/politics/lance-forman-brexit-tweet-backfires-b1934822","display_url":"indy100.com/politics/lance…","indices":[238,261]}]}</t>
  </si>
  <si>
    <t>1520926533870829568</t>
  </si>
  <si>
    <t>SobiaStellarS</t>
  </si>
  <si>
    <t>Mon May 02 00:41:57 +0000 2022</t>
  </si>
  <si>
    <t>1379089488572514306</t>
  </si>
  <si>
    <t>http://pbs.twimg.com/profile_images/1379157311638409216/9PxchByw_normal.jpg</t>
  </si>
  <si>
    <t>http://twitter.com/SobiaStellarS/statuses/1520926533870829568</t>
  </si>
  <si>
    <t>1520926051291041793</t>
  </si>
  <si>
    <t>BusEconYMO_HGS</t>
  </si>
  <si>
    <t>#MonetaryPolicy: #BankofEngland ‘duty bound’ to trigger #recession to curb #inflation - Ex-official says policymakers must shrink the UK economy to limit upward pressure on prices made worse by #Brexit  https://t.co/3x0lO1FPUz #economics #finance #business #unemployment</t>
  </si>
  <si>
    <t>Mon May 02 00:40:02 +0000 2022</t>
  </si>
  <si>
    <t>2319664800</t>
  </si>
  <si>
    <t>http://pbs.twimg.com/profile_images/1491086171883061252/RQly2kc1_normal.jpg</t>
  </si>
  <si>
    <t>Office with an amazing view</t>
  </si>
  <si>
    <t>http://twitter.com/BusEconYMO_HGS/statuses/1520926051291041793</t>
  </si>
  <si>
    <t>{"hashtags":[{"text":"MonetaryPolicy","indices":[0,15]},{"text":"BankofEngland","indices":[17,31]},{"text":"recession","indices":[56,66]},{"text":"inflation","indices":[75,85]},{"text":"Brexit","indices":[194,201]},{"text":"economics","indices":[227,237]},{"text":"finance","indices":[238,246]},{"text":"business","indices":[247,256]},{"text":"unemployment","indices":[257,270]}],"symbols":[],"user_mentions":[],"urls":[{"url":"https://t.co/3x0lO1FPUz","expanded_url":"https://www.theguardian.com/business/2022/may/01/bank-of-england-duty-bound-to-trigger-recession-to-curb-inflation?CMP=share_btn_tw","display_url":"theguardian.com/business/2022/…","indices":[203,226]}]}</t>
  </si>
  <si>
    <t>1520925781282631680</t>
  </si>
  <si>
    <t>cairnrobin</t>
  </si>
  <si>
    <t>Mon May 02 00:38:58 +0000 2022</t>
  </si>
  <si>
    <t>1420075359387611137</t>
  </si>
  <si>
    <t>http://pbs.twimg.com/profile_images/1497722273741950976/OYGXf9Vr_normal.jpg</t>
  </si>
  <si>
    <t>http://twitter.com/cairnrobin/statuses/1520925781282631680</t>
  </si>
  <si>
    <t>1520925611371413505</t>
  </si>
  <si>
    <t>SteviMandi</t>
  </si>
  <si>
    <t>Mon May 02 00:38:17 +0000 2022</t>
  </si>
  <si>
    <t>1497944749449400322</t>
  </si>
  <si>
    <t>http://pbs.twimg.com/profile_images/1512377612500414465/Q3VrB91__normal.jpg</t>
  </si>
  <si>
    <t>http://twitter.com/SteviMandi/statuses/1520925611371413505</t>
  </si>
  <si>
    <t>1520925553112588289</t>
  </si>
  <si>
    <t>RT @Patthedog5: https://t.co/IcPnLfVHCH
#ukpolitics #torybritain #GTTO #Brexit #BrexitShambles #ToryShambles #projectreality #ToryScum 
#BorisTheLiar #JohnsonMustGo #nastyparty #ToryCorruption #Murdoch #austerity #RWNJs 
Tory lies &amp;amp; incompetence
#DissolveTheUnion #ProgressiveAlliance
#DailyFail</t>
  </si>
  <si>
    <t>Mon May 02 00:38:03 +0000 2022</t>
  </si>
  <si>
    <t>http://twitter.com/isthisab0t/statuses/1520925553112588289</t>
  </si>
  <si>
    <t>{"hashtags":[{"text":"ukpolitics","indices":[40,51]},{"text":"torybritain","indices":[52,64]},{"text":"GTTO","indices":[65,70]},{"text":"Brexit","indices":[71,78]},{"text":"BrexitShambles","indices":[79,94]},{"text":"ToryShambles","indices":[95,108]},{"text":"projectreality","indices":[109,124]},{"text":"ToryScum","indices":[125,134]}],"symbols":[],"user_mentions":[{"screen_name":"Patthedog5","name":"Pat the dog(Voted for Brexit?; Brexidiot you are)","id":1141411703273525200,"id_str":"1141411703273525248","indices":[3,14]}],"urls":[{"url":"https://t.co/IcPnLfVHCH","expanded_url":"https://www.youtube.com/watch?v=3IhPDHVhblU","display_url":"youtube.com/watch?v=3IhPDH…","indices":[16,39]}]}</t>
  </si>
  <si>
    <t>1520925453254598656</t>
  </si>
  <si>
    <t>https://t.co/IcPnLfVHCH
#ukpolitics #torybritain #GTTO #Brexit #BrexitShambles #ToryShambles #projectreality #ToryScum 
#BorisTheLiar #JohnsonMustGo #nastyparty #ToryCorruption #Murdoch #austerity #RWNJs 
Tory lies &amp;amp; incompetence
#DissolveTheUnion #ProgressiveAlliance
#DailyFail</t>
  </si>
  <si>
    <t>Mon May 02 00:37:40 +0000 2022</t>
  </si>
  <si>
    <t>http://twitter.com/Patthedog5/statuses/1520925453254598656</t>
  </si>
  <si>
    <t>{"hashtags":[{"text":"ukpolitics","indices":[24,35]},{"text":"torybritain","indices":[36,48]},{"text":"GTTO","indices":[49,54]},{"text":"Brexit","indices":[55,62]},{"text":"BrexitShambles","indices":[63,78]},{"text":"ToryShambles","indices":[79,92]},{"text":"projectreality","indices":[93,108]},{"text":"ToryScum","indices":[109,118]},{"text":"BorisTheLiar","indices":[120,133]},{"text":"JohnsonMustGo","indices":[134,148]},{"text":"nastyparty","indices":[149,160]},{"text":"ToryCorruption","indices":[161,176]},{"text":"Murdoch","indices":[177,185]},{"text":"austerity","indices":[186,196]},{"text":"RWNJs","indices":[197,203]},{"text":"DissolveTheUnion","indices":[234,251]},{"text":"ProgressiveAlliance","indices":[252,272]},{"text":"DailyFail","indices":[273,283]}],"symbols":[],"user_mentions":[],"urls":[{"url":"https://t.co/IcPnLfVHCH","expanded_url":"https://www.youtube.com/watch?v=3IhPDHVhblU","display_url":"youtube.com/watch?v=3IhPDH…","indices":[0,23]}]}</t>
  </si>
  <si>
    <t>1520925334312566786</t>
  </si>
  <si>
    <t>JWGarratt</t>
  </si>
  <si>
    <t>Mon May 02 00:37:11 +0000 2022</t>
  </si>
  <si>
    <t>2194331552</t>
  </si>
  <si>
    <t>http://pbs.twimg.com/profile_images/1240544974644576258/sWryMZ4m_normal.jpg</t>
  </si>
  <si>
    <t>http://twitter.com/JWGarratt/statuses/1520925334312566786</t>
  </si>
  <si>
    <t>1520925319607291906</t>
  </si>
  <si>
    <t>SparklersW</t>
  </si>
  <si>
    <t>Mon May 02 00:37:08 +0000 2022</t>
  </si>
  <si>
    <t>1205588943036653569</t>
  </si>
  <si>
    <t>http://pbs.twimg.com/profile_images/1205750435556007936/luwYM-O4_normal.jpg</t>
  </si>
  <si>
    <t>http://twitter.com/SparklersW/statuses/1520925319607291906</t>
  </si>
  <si>
    <t>1520925215831867393</t>
  </si>
  <si>
    <t>Mon May 02 00:36:43 +0000 2022</t>
  </si>
  <si>
    <t>http://twitter.com/JWGarratt/statuses/1520925215831867393</t>
  </si>
  <si>
    <t>1520924848976932864</t>
  </si>
  <si>
    <t>Desinumber9</t>
  </si>
  <si>
    <t>Mon May 02 00:35:16 +0000 2022</t>
  </si>
  <si>
    <t>905799638472507392</t>
  </si>
  <si>
    <t>http://pbs.twimg.com/profile_images/1398765707240771586/GGF4w05V_normal.jpg</t>
  </si>
  <si>
    <t>Canada</t>
  </si>
  <si>
    <t>http://twitter.com/Desinumber9/statuses/1520924848976932864</t>
  </si>
  <si>
    <t>1520924722397167616</t>
  </si>
  <si>
    <t>FalcoScuderia</t>
  </si>
  <si>
    <t>Mon May 02 00:34:45 +0000 2022</t>
  </si>
  <si>
    <t>605775177</t>
  </si>
  <si>
    <t>http://twitter.com/FalcoScuderia/statuses/1520924722397167616</t>
  </si>
  <si>
    <t>1520924442741850114</t>
  </si>
  <si>
    <t>elpistolero7</t>
  </si>
  <si>
    <t>Mon May 02 00:33:39 +0000 2022</t>
  </si>
  <si>
    <t>246527663</t>
  </si>
  <si>
    <t>http://pbs.twimg.com/profile_images/1136260032918687746/haOAps2N_normal.jpg</t>
  </si>
  <si>
    <t>http://twitter.com/elpistolero7/statuses/1520924442741850114</t>
  </si>
  <si>
    <t>1520924381022760960</t>
  </si>
  <si>
    <t>polightbulb</t>
  </si>
  <si>
    <t>Mon May 02 00:33:24 +0000 2022</t>
  </si>
  <si>
    <t>2903625598</t>
  </si>
  <si>
    <t>http://pbs.twimg.com/profile_images/540095934667845633/uFIeZtQf_normal.png</t>
  </si>
  <si>
    <t>http://twitter.com/polightbulb/statuses/1520924381022760960</t>
  </si>
  <si>
    <t>1520924158846279682</t>
  </si>
  <si>
    <t>erichearn</t>
  </si>
  <si>
    <t>Mon May 02 00:32:31 +0000 2022</t>
  </si>
  <si>
    <t>16826153</t>
  </si>
  <si>
    <t>http://pbs.twimg.com/profile_images/486218866423373825/eAxq9vGy_normal.jpeg</t>
  </si>
  <si>
    <t>http://twitter.com/erichearn/statuses/1520924158846279682</t>
  </si>
  <si>
    <t>1520924052298293250</t>
  </si>
  <si>
    <t>Jaybronwenhall</t>
  </si>
  <si>
    <t>Mon May 02 00:32:06 +0000 2022</t>
  </si>
  <si>
    <t>593736074</t>
  </si>
  <si>
    <t>http://pbs.twimg.com/profile_images/1300397573073776641/3uHHkyyb_normal.jpg</t>
  </si>
  <si>
    <t>http://twitter.com/Jaybronwenhall/statuses/1520924052298293250</t>
  </si>
  <si>
    <t>1520923778166968322</t>
  </si>
  <si>
    <t>IMSpardagus</t>
  </si>
  <si>
    <t>Mon May 02 00:31:00 +0000 2022</t>
  </si>
  <si>
    <t>322454727</t>
  </si>
  <si>
    <t>http://pbs.twimg.com/profile_images/1353297218237829120/5dHdrhca_normal.jpg</t>
  </si>
  <si>
    <t>http://twitter.com/IMSpardagus/statuses/1520923778166968322</t>
  </si>
  <si>
    <t>1520923285571227649</t>
  </si>
  <si>
    <t>RT @Patthedog5: #ukpolitics #torybritain #GTTO #Brexit #BrexitShambles #ToryShambles #projectreality #ToryScum 
#BorisTheLiar #JohnsonMustGo #nastyparty #ToryCorruption #Murdoch #austerity #RWNJs 
Tory lies &amp;amp; incompetence
#DissolveTheUnion #ProgressiveAlliance 
#DailyFail https://t.co/x8d86387IU</t>
  </si>
  <si>
    <t>Mon May 02 00:29:03 +0000 2022</t>
  </si>
  <si>
    <t>http://twitter.com/isthisab0t/statuses/1520923285571227649</t>
  </si>
  <si>
    <t>1520923279292342273</t>
  </si>
  <si>
    <t>BoycottNTU</t>
  </si>
  <si>
    <t>Mon May 02 00:29:01 +0000 2022</t>
  </si>
  <si>
    <t>1245308447073210369</t>
  </si>
  <si>
    <t>http://pbs.twimg.com/profile_images/1375123670755082244/tNX9ZfSD_normal.png</t>
  </si>
  <si>
    <t>http://twitter.com/BoycottNTU/statuses/1520923279292342273</t>
  </si>
  <si>
    <t>1520923101017653251</t>
  </si>
  <si>
    <t>#ukpolitics #torybritain #GTTO #Brexit #BrexitShambles #ToryShambles #projectreality #ToryScum 
#BorisTheLiar #JohnsonMustGo #nastyparty #ToryCorruption #Murdoch #austerity #RWNJs 
Tory lies &amp;amp; incompetence
#DissolveTheUnion #ProgressiveAlliance 
#DailyFail https://t.co/x8d86387IU</t>
  </si>
  <si>
    <t>Mon May 02 00:28:19 +0000 2022</t>
  </si>
  <si>
    <t>http://twitter.com/Patthedog5/statuses/1520923101017653251</t>
  </si>
  <si>
    <t>{"hashtags":[{"text":"ukpolitics","indices":[0,11]},{"text":"torybritain","indices":[12,24]},{"text":"GTTO","indices":[25,30]},{"text":"Brexit","indices":[31,38]},{"text":"BrexitShambles","indices":[39,54]},{"text":"ToryShambles","indices":[55,68]},{"text":"projectreality","indices":[69,84]},{"text":"ToryScum","indices":[85,94]},{"text":"BorisTheLiar","indices":[96,109]},{"text":"JohnsonMustGo","indices":[110,124]},{"text":"nastyparty","indices":[125,136]},{"text":"ToryCorruption","indices":[137,152]},{"text":"Murdoch","indices":[153,161]},{"text":"austerity","indices":[162,172]},{"text":"RWNJs","indices":[173,179]},{"text":"DissolveTheUnion","indices":[210,227]},{"text":"ProgressiveAlliance","indices":[228,248]},{"text":"DailyFail","indices":[250,260]}],"symbols":[],"user_mentions":[],"urls":[{"url":"https://t.co/x8d86387IU","expanded_url":"https://twitter.com/AdamBienkov/status/1520531088275345409","display_url":"twitter.com/AdamBienkov/st…","indices":[261,284]}]}</t>
  </si>
  <si>
    <t>1520923033980084226</t>
  </si>
  <si>
    <t>RT @Patthedog5: #ukpolitics #torybritain #GTTO #Brexit #BrexitShambles #ToryShambles #projectreality #ToryScum 
#BorisTheLiar #JohnsonMustGo #nastyparty #ToryCorruption #Murdoch #austerity #RWNJs 
Tory lies &amp;amp; incompetence
#DissolveTheUnion #ProgressiveAlliance 
#DailyFail https://t.co/vQhz0DAMyL</t>
  </si>
  <si>
    <t>Mon May 02 00:28:03 +0000 2022</t>
  </si>
  <si>
    <t>http://twitter.com/isthisab0t/statuses/1520923033980084226</t>
  </si>
  <si>
    <t>1520923032864411648</t>
  </si>
  <si>
    <t>RT @Patthedog5: #ukpolitics #torybritain #GTTO #Brexit #BrexitShambles #ToryShambles #projectreality #ToryScum 
#BorisTheLiar #JohnsonMustGo #nastyparty #ToryCorruption #Murdoch #austerity #RWNJs 
Tory lies &amp;amp; incompetence
#DissolveTheUnion #ProgressiveAlliance 
#DailyFail https://t.co/iT7YjbO9vB</t>
  </si>
  <si>
    <t>http://twitter.com/isthisab0t/statuses/1520923032864411648</t>
  </si>
  <si>
    <t>1520922974492278785</t>
  </si>
  <si>
    <t>#ukpolitics #torybritain #GTTO #Brexit #BrexitShambles #ToryShambles #projectreality #ToryScum 
#BorisTheLiar #JohnsonMustGo #nastyparty #ToryCorruption #Murdoch #austerity #RWNJs 
Tory lies &amp;amp; incompetence
#DissolveTheUnion #ProgressiveAlliance 
#DailyFail https://t.co/iT7YjbO9vB</t>
  </si>
  <si>
    <t>Mon May 02 00:27:49 +0000 2022</t>
  </si>
  <si>
    <t>http://twitter.com/Patthedog5/statuses/1520922974492278785</t>
  </si>
  <si>
    <t>{"hashtags":[{"text":"ukpolitics","indices":[0,11]},{"text":"torybritain","indices":[12,24]},{"text":"GTTO","indices":[25,30]},{"text":"Brexit","indices":[31,38]},{"text":"BrexitShambles","indices":[39,54]},{"text":"ToryShambles","indices":[55,68]},{"text":"projectreality","indices":[69,84]},{"text":"ToryScum","indices":[85,94]},{"text":"BorisTheLiar","indices":[96,109]},{"text":"JohnsonMustGo","indices":[110,124]},{"text":"nastyparty","indices":[125,136]},{"text":"ToryCorruption","indices":[137,152]},{"text":"Murdoch","indices":[153,161]},{"text":"austerity","indices":[162,172]},{"text":"RWNJs","indices":[173,179]},{"text":"DissolveTheUnion","indices":[210,227]},{"text":"ProgressiveAlliance","indices":[228,248]},{"text":"DailyFail","indices":[250,260]}],"symbols":[],"user_mentions":[],"urls":[{"url":"https://t.co/iT7YjbO9vB","expanded_url":"https://twitter.com/AdamBienkov/status/1520529372972826624","display_url":"twitter.com/AdamBienkov/st…","indices":[261,284]}]}</t>
  </si>
  <si>
    <t>1520922850638577664</t>
  </si>
  <si>
    <t>#ukpolitics #torybritain #GTTO #Brexit #BrexitShambles #ToryShambles #projectreality #ToryScum 
#BorisTheLiar #JohnsonMustGo #nastyparty #ToryCorruption #Murdoch #austerity #RWNJs 
Tory lies &amp;amp; incompetence
#DissolveTheUnion #ProgressiveAlliance 
#DailyFail https://t.co/vQhz0DAMyL</t>
  </si>
  <si>
    <t>Mon May 02 00:27:19 +0000 2022</t>
  </si>
  <si>
    <t>http://twitter.com/Patthedog5/statuses/1520922850638577664</t>
  </si>
  <si>
    <t>{"hashtags":[{"text":"ukpolitics","indices":[0,11]},{"text":"torybritain","indices":[12,24]},{"text":"GTTO","indices":[25,30]},{"text":"Brexit","indices":[31,38]},{"text":"BrexitShambles","indices":[39,54]},{"text":"ToryShambles","indices":[55,68]},{"text":"projectreality","indices":[69,84]},{"text":"ToryScum","indices":[85,94]},{"text":"BorisTheLiar","indices":[96,109]},{"text":"JohnsonMustGo","indices":[110,124]},{"text":"nastyparty","indices":[125,136]},{"text":"ToryCorruption","indices":[137,152]},{"text":"Murdoch","indices":[153,161]},{"text":"austerity","indices":[162,172]},{"text":"RWNJs","indices":[173,179]},{"text":"DissolveTheUnion","indices":[210,227]},{"text":"ProgressiveAlliance","indices":[228,248]},{"text":"DailyFail","indices":[250,260]}],"symbols":[],"user_mentions":[],"urls":[{"url":"https://t.co/vQhz0DAMyL","expanded_url":"https://twitter.com/AdamBienkov/status/1520523617389486080","display_url":"twitter.com/AdamBienkov/st…","indices":[261,284]}]}</t>
  </si>
  <si>
    <t>1520922782476947462</t>
  </si>
  <si>
    <t>RT @Patthedog5: #ukpolitics #torybritain #GTTO #Brexit #BrexitShambles #ToryShambles #projectreality #ToryScum 
#BorisTheLiar #JohnsonMustGo #nastyparty #ToryCorruption #Murdoch #austerity #RWNJs 
Tory lies &amp;amp; incompetence
#DissolveTheUnion #ProgressiveAlliance 
#DailyFail https://t.co/LNwhEmnQbm</t>
  </si>
  <si>
    <t>Mon May 02 00:27:03 +0000 2022</t>
  </si>
  <si>
    <t>http://twitter.com/isthisab0t/statuses/1520922782476947462</t>
  </si>
  <si>
    <t>1520922724532736001</t>
  </si>
  <si>
    <t>JJ_Enchanted</t>
  </si>
  <si>
    <t>Mon May 02 00:26:49 +0000 2022</t>
  </si>
  <si>
    <t>112134883</t>
  </si>
  <si>
    <t>http://pbs.twimg.com/profile_images/1390133348438323202/nJ6V04FT_normal.jpg</t>
  </si>
  <si>
    <t>http://twitter.com/JJ_Enchanted/statuses/1520922724532736001</t>
  </si>
  <si>
    <t>1520922607645827072</t>
  </si>
  <si>
    <t>#ukpolitics #torybritain #GTTO #Brexit #BrexitShambles #ToryShambles #projectreality #ToryScum 
#BorisTheLiar #JohnsonMustGo #nastyparty #ToryCorruption #Murdoch #austerity #RWNJs 
Tory lies &amp;amp; incompetence
#DissolveTheUnion #ProgressiveAlliance 
#DailyFail https://t.co/LNwhEmnQbm</t>
  </si>
  <si>
    <t>Mon May 02 00:26:21 +0000 2022</t>
  </si>
  <si>
    <t>http://twitter.com/Patthedog5/statuses/1520922607645827072</t>
  </si>
  <si>
    <t>{"hashtags":[{"text":"ukpolitics","indices":[0,11]},{"text":"torybritain","indices":[12,24]},{"text":"GTTO","indices":[25,30]},{"text":"Brexit","indices":[31,38]},{"text":"BrexitShambles","indices":[39,54]},{"text":"ToryShambles","indices":[55,68]},{"text":"projectreality","indices":[69,84]},{"text":"ToryScum","indices":[85,94]},{"text":"BorisTheLiar","indices":[96,109]},{"text":"JohnsonMustGo","indices":[110,124]},{"text":"nastyparty","indices":[125,136]},{"text":"ToryCorruption","indices":[137,152]},{"text":"Murdoch","indices":[153,161]},{"text":"austerity","indices":[162,172]},{"text":"RWNJs","indices":[173,179]},{"text":"DissolveTheUnion","indices":[210,227]},{"text":"ProgressiveAlliance","indices":[228,248]},{"text":"DailyFail","indices":[250,260]}],"symbols":[],"user_mentions":[],"urls":[{"url":"https://t.co/LNwhEmnQbm","expanded_url":"https://twitter.com/ABClimateAction/status/1520717328480153600","display_url":"twitter.com/ABClimateActio…","indices":[261,284]}]}</t>
  </si>
  <si>
    <t>1520922532815196166</t>
  </si>
  <si>
    <t>RT @Patthedog5: #ukpolitics #torybritain #GTTO #Brexit #BrexitShambles #ToryShambles #projectreality #ToryScum 
#BorisTheLiar #JohnsonMustGo #nastyparty #ToryCorruption #Murdoch #austerity #RWNJs 
Tory lies &amp;amp; incompetence
#DissolveTheUnion #ProgressiveAlliance 
#DailyFail https://t.co/NqNPUBUVXV</t>
  </si>
  <si>
    <t>Mon May 02 00:26:03 +0000 2022</t>
  </si>
  <si>
    <t>http://twitter.com/isthisab0t/statuses/1520922532815196166</t>
  </si>
  <si>
    <t>1520922521423462402</t>
  </si>
  <si>
    <t>castervaria</t>
  </si>
  <si>
    <t>Mon May 02 00:26:01 +0000 2022</t>
  </si>
  <si>
    <t>174992151</t>
  </si>
  <si>
    <t>http://pbs.twimg.com/profile_images/1497892375154380812/oRCJEtMR_normal.jpg</t>
  </si>
  <si>
    <t>http://twitter.com/castervaria/statuses/1520922521423462402</t>
  </si>
  <si>
    <t>1520922468831178752</t>
  </si>
  <si>
    <t>where_am_i_now_</t>
  </si>
  <si>
    <t>Mon May 02 00:25:48 +0000 2022</t>
  </si>
  <si>
    <t>1449400073406795788</t>
  </si>
  <si>
    <t>http://twitter.com/where_am_i_now_/statuses/1520922468831178752</t>
  </si>
  <si>
    <t>1520922418625363968</t>
  </si>
  <si>
    <t>#ukpolitics #torybritain #GTTO #Brexit #BrexitShambles #ToryShambles #projectreality #ToryScum 
#BorisTheLiar #JohnsonMustGo #nastyparty #ToryCorruption #Murdoch #austerity #RWNJs 
Tory lies &amp;amp; incompetence
#DissolveTheUnion #ProgressiveAlliance 
#DailyFail https://t.co/NqNPUBUVXV</t>
  </si>
  <si>
    <t>Mon May 02 00:25:36 +0000 2022</t>
  </si>
  <si>
    <t>http://twitter.com/Patthedog5/statuses/1520922418625363968</t>
  </si>
  <si>
    <t>{"hashtags":[{"text":"ukpolitics","indices":[0,11]},{"text":"torybritain","indices":[12,24]},{"text":"GTTO","indices":[25,30]},{"text":"Brexit","indices":[31,38]},{"text":"BrexitShambles","indices":[39,54]},{"text":"ToryShambles","indices":[55,68]},{"text":"projectreality","indices":[69,84]},{"text":"ToryScum","indices":[85,94]},{"text":"BorisTheLiar","indices":[96,109]},{"text":"JohnsonMustGo","indices":[110,124]},{"text":"nastyparty","indices":[125,136]},{"text":"ToryCorruption","indices":[137,152]},{"text":"Murdoch","indices":[153,161]},{"text":"austerity","indices":[162,172]},{"text":"RWNJs","indices":[173,179]},{"text":"DissolveTheUnion","indices":[210,227]},{"text":"ProgressiveAlliance","indices":[228,248]},{"text":"DailyFail","indices":[250,260]}],"symbols":[],"user_mentions":[],"urls":[{"url":"https://t.co/NqNPUBUVXV","expanded_url":"https://twitter.com/HopeFbpe/status/1520682530743197696","display_url":"twitter.com/HopeFbpe/statu…","indices":[261,284]}]}</t>
  </si>
  <si>
    <t>1520922379341504512</t>
  </si>
  <si>
    <t>Yasmin22867421</t>
  </si>
  <si>
    <t>Mon May 02 00:25:27 +0000 2022</t>
  </si>
  <si>
    <t>1258187483008950272</t>
  </si>
  <si>
    <t>http://twitter.com/Yasmin22867421/statuses/1520922379341504512</t>
  </si>
  <si>
    <t>1520922309208547328</t>
  </si>
  <si>
    <t>Mon May 02 00:25:10 +0000 2022</t>
  </si>
  <si>
    <t>http://twitter.com/where_am_i_now_/statuses/1520922309208547328</t>
  </si>
  <si>
    <t>1520922279915540481</t>
  </si>
  <si>
    <t>RT @Patthedog5: #ukpolitics #torybritain #GTTO #Brexit #BrexitShambles #ToryShambles #projectreality #ToryScum 
#BorisTheLiar #JohnsonMustGo #nastyparty #ToryCorruption #Murdoch #austerity #RWNJs 
Tory lies &amp;amp; incompetence
#DissolveTheUnion #ProgressiveAlliance 
#DailyFail https://t.co/WP7dXr0wDk</t>
  </si>
  <si>
    <t>Mon May 02 00:25:03 +0000 2022</t>
  </si>
  <si>
    <t>http://twitter.com/isthisab0t/statuses/1520922279915540481</t>
  </si>
  <si>
    <t>1520922249917784064</t>
  </si>
  <si>
    <t>Mon May 02 00:24:56 +0000 2022</t>
  </si>
  <si>
    <t>http://twitter.com/where_am_i_now_/statuses/1520922249917784064</t>
  </si>
  <si>
    <t>1520922181299056641</t>
  </si>
  <si>
    <t>#ukpolitics #torybritain #GTTO #Brexit #BrexitShambles #ToryShambles #projectreality #ToryScum 
#BorisTheLiar #JohnsonMustGo #nastyparty #ToryCorruption #Murdoch #austerity #RWNJs 
Tory lies &amp;amp; incompetence
#DissolveTheUnion #ProgressiveAlliance 
#DailyFail https://t.co/WP7dXr0wDk</t>
  </si>
  <si>
    <t>Mon May 02 00:24:40 +0000 2022</t>
  </si>
  <si>
    <t>http://twitter.com/Patthedog5/statuses/1520922181299056641</t>
  </si>
  <si>
    <t>{"hashtags":[{"text":"ukpolitics","indices":[0,11]},{"text":"torybritain","indices":[12,24]},{"text":"GTTO","indices":[25,30]},{"text":"Brexit","indices":[31,38]},{"text":"BrexitShambles","indices":[39,54]},{"text":"ToryShambles","indices":[55,68]},{"text":"projectreality","indices":[69,84]},{"text":"ToryScum","indices":[85,94]},{"text":"BorisTheLiar","indices":[96,109]},{"text":"JohnsonMustGo","indices":[110,124]},{"text":"nastyparty","indices":[125,136]},{"text":"ToryCorruption","indices":[137,152]},{"text":"Murdoch","indices":[153,161]},{"text":"austerity","indices":[162,172]},{"text":"RWNJs","indices":[173,179]},{"text":"DissolveTheUnion","indices":[210,227]},{"text":"ProgressiveAlliance","indices":[228,248]},{"text":"DailyFail","indices":[250,260]}],"symbols":[],"user_mentions":[],"urls":[{"url":"https://t.co/WP7dXr0wDk","expanded_url":"https://twitter.com/MBourkeEtc/status/1520696370465808384","display_url":"twitter.com/MBourkeEtc/sta…","indices":[261,284]}]}</t>
  </si>
  <si>
    <t>1520922028957650944</t>
  </si>
  <si>
    <t>RT @Patthedog5: #ukpolitics #torybritain #GTTO #Brexit #BrexitShambles #ToryShambles #projectreality #ToryScum 
#BorisTheLiar #JohnsonMustGo #nastyparty #ToryCorruption #Murdoch #austerity #RWNJs 
Tory lies &amp;amp; incompetence
#DissolveTheUnion #ProgressiveAlliance 
#DailyFail https://t.co/qL749gWLdD</t>
  </si>
  <si>
    <t>Mon May 02 00:24:03 +0000 2022</t>
  </si>
  <si>
    <t>http://twitter.com/isthisab0t/statuses/1520922028957650944</t>
  </si>
  <si>
    <t>1520921824091156480</t>
  </si>
  <si>
    <t>#ukpolitics #torybritain #GTTO #Brexit #BrexitShambles #ToryShambles #projectreality #ToryScum 
#BorisTheLiar #JohnsonMustGo #nastyparty #ToryCorruption #Murdoch #austerity #RWNJs 
Tory lies &amp;amp; incompetence
#DissolveTheUnion #ProgressiveAlliance 
#DailyFail https://t.co/qL749gWLdD</t>
  </si>
  <si>
    <t>Mon May 02 00:23:14 +0000 2022</t>
  </si>
  <si>
    <t>http://twitter.com/Patthedog5/statuses/1520921824091156480</t>
  </si>
  <si>
    <t>{"hashtags":[{"text":"ukpolitics","indices":[0,11]},{"text":"torybritain","indices":[12,24]},{"text":"GTTO","indices":[25,30]},{"text":"Brexit","indices":[31,38]},{"text":"BrexitShambles","indices":[39,54]},{"text":"ToryShambles","indices":[55,68]},{"text":"projectreality","indices":[69,84]},{"text":"ToryScum","indices":[85,94]},{"text":"BorisTheLiar","indices":[96,109]},{"text":"JohnsonMustGo","indices":[110,124]},{"text":"nastyparty","indices":[125,136]},{"text":"ToryCorruption","indices":[137,152]},{"text":"Murdoch","indices":[153,161]},{"text":"austerity","indices":[162,172]},{"text":"RWNJs","indices":[173,179]},{"text":"DissolveTheUnion","indices":[210,227]},{"text":"ProgressiveAlliance","indices":[228,248]},{"text":"DailyFail","indices":[250,260]}],"symbols":[],"user_mentions":[],"urls":[{"url":"https://t.co/qL749gWLdD","expanded_url":"https://twitter.com/AdamBienkov/status/1520663279814815746","display_url":"twitter.com/AdamBienkov/st…","indices":[261,284]}]}</t>
  </si>
  <si>
    <t>1520921523283976192</t>
  </si>
  <si>
    <t>RT @Patthedog5: #ukpolitics #torybritain #GTTO #Brexit #BrexitShambles #ToryShambles #projectreality #ToryScum 
#BorisTheLiar #JohnsonMustGo #nastyparty #ToryCorruption #Murdoch #austerity #RWNJs 
Tory lies &amp;amp; incompetence
#DissolveTheUnion #ProgressiveAlliance
#DailyFail https://t.co/QgC2Mrh9jK</t>
  </si>
  <si>
    <t>Mon May 02 00:22:03 +0000 2022</t>
  </si>
  <si>
    <t>http://twitter.com/isthisab0t/statuses/1520921523283976192</t>
  </si>
  <si>
    <t>1520921354870173696</t>
  </si>
  <si>
    <t>PaddyNenagh</t>
  </si>
  <si>
    <t>Mon May 02 00:21:23 +0000 2022</t>
  </si>
  <si>
    <t>1926562094</t>
  </si>
  <si>
    <t>http://pbs.twimg.com/profile_images/746299747506368512/U7ZzVGZc_normal.jpg</t>
  </si>
  <si>
    <t>Stornoway, Scotland</t>
  </si>
  <si>
    <t>http://twitter.com/PaddyNenagh/statuses/1520921354870173696</t>
  </si>
  <si>
    <t>1520921321567305737</t>
  </si>
  <si>
    <t>#ukpolitics #torybritain #GTTO #Brexit #BrexitShambles #ToryShambles #projectreality #ToryScum 
#BorisTheLiar #JohnsonMustGo #nastyparty #ToryCorruption #Murdoch #austerity #RWNJs 
Tory lies &amp;amp; incompetence
#DissolveTheUnion #ProgressiveAlliance
#DailyFail https://t.co/QgC2Mrh9jK</t>
  </si>
  <si>
    <t>Mon May 02 00:21:15 +0000 2022</t>
  </si>
  <si>
    <t>http://twitter.com/Patthedog5/statuses/1520921321567305737</t>
  </si>
  <si>
    <t>{"hashtags":[{"text":"ukpolitics","indices":[0,11]},{"text":"torybritain","indices":[12,24]},{"text":"GTTO","indices":[25,30]},{"text":"Brexit","indices":[31,38]},{"text":"BrexitShambles","indices":[39,54]},{"text":"ToryShambles","indices":[55,68]},{"text":"projectreality","indices":[69,84]},{"text":"ToryScum","indices":[85,94]},{"text":"BorisTheLiar","indices":[96,109]},{"text":"JohnsonMustGo","indices":[110,124]},{"text":"nastyparty","indices":[125,136]},{"text":"ToryCorruption","indices":[137,152]},{"text":"Murdoch","indices":[153,161]},{"text":"austerity","indices":[162,172]},{"text":"RWNJs","indices":[173,179]},{"text":"DissolveTheUnion","indices":[210,227]},{"text":"ProgressiveAlliance","indices":[228,248]},{"text":"DailyFail","indices":[249,259]}],"symbols":[],"user_mentions":[],"urls":[{"url":"https://t.co/QgC2Mrh9jK","expanded_url":"https://twitter.com/AdamBienkov/status/1520662187227947008","display_url":"twitter.com/AdamBienkov/st…","indices":[260,283]}]}</t>
  </si>
  <si>
    <t>1520921316995760128</t>
  </si>
  <si>
    <t>Mon May 02 00:21:13 +0000 2022</t>
  </si>
  <si>
    <t>http://twitter.com/PaddyNenagh/statuses/1520921316995760128</t>
  </si>
  <si>
    <t>1520921256450830337</t>
  </si>
  <si>
    <t>Mon May 02 00:20:59 +0000 2022</t>
  </si>
  <si>
    <t>http://twitter.com/PaddyNenagh/statuses/1520921256450830337</t>
  </si>
  <si>
    <t>1520921180416483328</t>
  </si>
  <si>
    <t>Mon May 02 00:20:41 +0000 2022</t>
  </si>
  <si>
    <t>http://twitter.com/PaddyNenagh/statuses/1520921180416483328</t>
  </si>
  <si>
    <t>1520921082735255552</t>
  </si>
  <si>
    <t>Mon May 02 00:20:18 +0000 2022</t>
  </si>
  <si>
    <t>http://twitter.com/PaddyNenagh/statuses/1520921082735255552</t>
  </si>
  <si>
    <t>1520920987344244736</t>
  </si>
  <si>
    <t>systonhouse</t>
  </si>
  <si>
    <t>RT @BylinesEast: With no government commitment to protect British farmers, East Anglia faces competition from cheaper, global imports of products made to lower standards -- a bad result for consumers, farmers and sugar processors
-- @TastesofAnglia on #brexit and #Sugar.
https://t.co/cRsrWOZ5i0</t>
  </si>
  <si>
    <t>Mon May 02 00:19:55 +0000 2022</t>
  </si>
  <si>
    <t>557236002</t>
  </si>
  <si>
    <t>http://pbs.twimg.com/profile_images/378800000655776129/f04eef8f7053e505e592abf535c7fa0f_normal.jpeg</t>
  </si>
  <si>
    <t>http://twitter.com/systonhouse/statuses/1520920987344244736</t>
  </si>
  <si>
    <t>{"hashtags":[],"symbols":[],"user_mentions":[{"screen_name":"BylinesEast","name":"East Anglia Bylines","id":1403655691773022200,"id_str":"1403655691773022208","indices":[3,15]}],"urls":[]}</t>
  </si>
  <si>
    <t>1520920515740938241</t>
  </si>
  <si>
    <t>howell_karen</t>
  </si>
  <si>
    <t>Mon May 02 00:18:02 +0000 2022</t>
  </si>
  <si>
    <t>421495337</t>
  </si>
  <si>
    <t>http://pbs.twimg.com/profile_images/1496911492238790662/dho2gCS__normal.jpg</t>
  </si>
  <si>
    <t>Stafford</t>
  </si>
  <si>
    <t>http://twitter.com/howell_karen/statuses/1520920515740938241</t>
  </si>
  <si>
    <t>1520920509541720064</t>
  </si>
  <si>
    <t>Mon May 02 00:18:01 +0000 2022</t>
  </si>
  <si>
    <t>http://twitter.com/howell_karen/statuses/1520920509541720064</t>
  </si>
  <si>
    <t>1520920471193149441</t>
  </si>
  <si>
    <t>Mon May 02 00:17:52 +0000 2022</t>
  </si>
  <si>
    <t>http://twitter.com/howell_karen/statuses/1520920471193149441</t>
  </si>
  <si>
    <t>1520920400946995203</t>
  </si>
  <si>
    <t>Mon May 02 00:17:35 +0000 2022</t>
  </si>
  <si>
    <t>http://twitter.com/howell_karen/statuses/1520920400946995203</t>
  </si>
  <si>
    <t>1520920394181578755</t>
  </si>
  <si>
    <t>LeahWas</t>
  </si>
  <si>
    <t>Mon May 02 00:17:33 +0000 2022</t>
  </si>
  <si>
    <t>1246149181120618497</t>
  </si>
  <si>
    <t>http://pbs.twimg.com/profile_images/1509937316521037829/JCytXreJ_normal.jpg</t>
  </si>
  <si>
    <t>Virginia ,USA</t>
  </si>
  <si>
    <t>http://twitter.com/LeahWas/statuses/1520920394181578755</t>
  </si>
  <si>
    <t>1520920348400791554</t>
  </si>
  <si>
    <t>Mon May 02 00:17:23 +0000 2022</t>
  </si>
  <si>
    <t>http://twitter.com/howell_karen/statuses/1520920348400791554</t>
  </si>
  <si>
    <t>1520920279232487424</t>
  </si>
  <si>
    <t>Usernamesake</t>
  </si>
  <si>
    <t>Mon May 02 00:17:06 +0000 2022</t>
  </si>
  <si>
    <t>236952435</t>
  </si>
  <si>
    <t>http://pbs.twimg.com/profile_images/1512265571966017536/fmG2LttH_normal.jpg</t>
  </si>
  <si>
    <t>heart in Chicago</t>
  </si>
  <si>
    <t>http://twitter.com/Usernamesake/statuses/1520920279232487424</t>
  </si>
  <si>
    <t>1520920175788314625</t>
  </si>
  <si>
    <t>CrazyBengieFB_</t>
  </si>
  <si>
    <t>RT @CrazyBengieFB_: "The european union provoked a war with #Russia, and spent a long time planning it. #BrExit "</t>
  </si>
  <si>
    <t>Mon May 02 00:16:41 +0000 2022</t>
  </si>
  <si>
    <t>234015092</t>
  </si>
  <si>
    <t>http://pbs.twimg.com/profile_images/1217206536/CrazyBengieFB_logo_sn_0005_02_b12242010_2s0_normal.JPG</t>
  </si>
  <si>
    <t>London England UK 👇</t>
  </si>
  <si>
    <t>http://twitter.com/CrazyBengieFB_/statuses/1520920175788314625</t>
  </si>
  <si>
    <t>{"hashtags":[{"text":"Russia","indices":[60,67]},{"text":"BrExit","indices":[104,111]}],"symbols":[],"user_mentions":[{"screen_name":"CrazyBengieFB_","name":"Crazy Bengie F B™","id":234015092,"id_str":"234015092","indices":[3,18]}],"urls":[]}</t>
  </si>
  <si>
    <t>1520919754768363520</t>
  </si>
  <si>
    <t>OverUnderClover</t>
  </si>
  <si>
    <t>Mon May 02 00:15:01 +0000 2022</t>
  </si>
  <si>
    <t>803700222186684416</t>
  </si>
  <si>
    <t>http://pbs.twimg.com/profile_images/967604347323473921/SCG5UJa7_normal.jpg</t>
  </si>
  <si>
    <t>Crawfordsville, IN</t>
  </si>
  <si>
    <t>http://twitter.com/OverUnderClover/statuses/1520919754768363520</t>
  </si>
  <si>
    <t>1520919512572469248</t>
  </si>
  <si>
    <t>mry_stcy</t>
  </si>
  <si>
    <t>Mon May 02 00:14:03 +0000 2022</t>
  </si>
  <si>
    <t>18822478</t>
  </si>
  <si>
    <t>http://pbs.twimg.com/profile_images/1240096734510014465/jN7lI0Gw_normal.jpg</t>
  </si>
  <si>
    <t>http://twitter.com/mry_stcy/statuses/1520919512572469248</t>
  </si>
  <si>
    <t>1520919507283365891</t>
  </si>
  <si>
    <t>MarkDSimmons</t>
  </si>
  <si>
    <t>Mon May 02 00:14:02 +0000 2022</t>
  </si>
  <si>
    <t>401460432</t>
  </si>
  <si>
    <t>http://pbs.twimg.com/profile_images/2633411958/610acf21fae95a5c5bdb96a86d3234e4_normal.jpeg</t>
  </si>
  <si>
    <t>Here, mostly.</t>
  </si>
  <si>
    <t>http://twitter.com/MarkDSimmons/statuses/1520919507283365891</t>
  </si>
  <si>
    <t>1520919003295891457</t>
  </si>
  <si>
    <t>rachelm77632546</t>
  </si>
  <si>
    <t>Mon May 02 00:12:02 +0000 2022</t>
  </si>
  <si>
    <t>1113877559123546113</t>
  </si>
  <si>
    <t>http://pbs.twimg.com/profile_images/1113879048206397443/E6b9-kkz_normal.jpg</t>
  </si>
  <si>
    <t>http://twitter.com/rachelm77632546/statuses/1520919003295891457</t>
  </si>
  <si>
    <t>1520918998279413760</t>
  </si>
  <si>
    <t>lee_brookfield</t>
  </si>
  <si>
    <t>Mon May 02 00:12:01 +0000 2022</t>
  </si>
  <si>
    <t>1316465525355053062</t>
  </si>
  <si>
    <t>http://pbs.twimg.com/profile_images/1501286229312258048/q-X96zkn_normal.jpg</t>
  </si>
  <si>
    <t>http://twitter.com/lee_brookfield/statuses/1520918998279413760</t>
  </si>
  <si>
    <t>1520918992361299970</t>
  </si>
  <si>
    <t>Fionna6669</t>
  </si>
  <si>
    <t>RT @DavidRandall_: @markjenkinsonmp It's everyone's game now.  If you still support #Brexit after what is has done to the country then you are either a traitor or a fool. 
#BrexitHasFailed</t>
  </si>
  <si>
    <t>Mon May 02 00:11:59 +0000 2022</t>
  </si>
  <si>
    <t>146456641</t>
  </si>
  <si>
    <t>http://pbs.twimg.com/profile_images/1129116804511617024/W0KV61dM_normal.png</t>
  </si>
  <si>
    <t xml:space="preserve">Scotland, Great Britain </t>
  </si>
  <si>
    <t>http://twitter.com/Fionna6669/statuses/1520918992361299970</t>
  </si>
  <si>
    <t>{"hashtags":[{"text":"Brexit","indices":[84,91]}],"symbols":[],"user_mentions":[{"screen_name":"DavidRandall_","name":"David Randall #FBPE","id":2895214607,"id_str":"2895214607","indices":[3,17]},{"screen_name":"markjenkinsonmp","name":"Mark Jenkinson MP","id":116228328,"id_str":"116228328","indices":[19,35]}],"urls":[]}</t>
  </si>
  <si>
    <t>1520918795682000897</t>
  </si>
  <si>
    <t>CZEdwards</t>
  </si>
  <si>
    <t>Mon May 02 00:11:12 +0000 2022</t>
  </si>
  <si>
    <t>15463315</t>
  </si>
  <si>
    <t>http://pbs.twimg.com/profile_images/1056336855430508546/vZ7nN6CK_normal.jpg</t>
  </si>
  <si>
    <t>Bad Orb, Deutschland</t>
  </si>
  <si>
    <t>http://twitter.com/CZEdwards/statuses/1520918795682000897</t>
  </si>
  <si>
    <t>1520918775415123974</t>
  </si>
  <si>
    <t>MuffitOfTea</t>
  </si>
  <si>
    <t>Mon May 02 00:11:08 +0000 2022</t>
  </si>
  <si>
    <t>43752205</t>
  </si>
  <si>
    <t>http://pbs.twimg.com/profile_images/1314972605607219202/DzQeSdip_normal.jpg</t>
  </si>
  <si>
    <t>Sligo</t>
  </si>
  <si>
    <t>http://twitter.com/MuffitOfTea/statuses/1520918775415123974</t>
  </si>
  <si>
    <t>1520918651506937859</t>
  </si>
  <si>
    <t>TheStephenRalph</t>
  </si>
  <si>
    <t>@LeftMensch @PickardJE Have a feeling that there are #Brexit voters right across mainland Europe who are suffering regret these days. 🙄</t>
  </si>
  <si>
    <t>Mon May 02 00:10:38 +0000 2022</t>
  </si>
  <si>
    <t>1098794038352785408</t>
  </si>
  <si>
    <t>LeftMensch</t>
  </si>
  <si>
    <t>319619581</t>
  </si>
  <si>
    <t>1520917650003570688</t>
  </si>
  <si>
    <t>http://pbs.twimg.com/profile_images/1499802573221425152/g3ruYekN_normal.png</t>
  </si>
  <si>
    <t>Ayr, 🏴󠁧󠁢󠁳󠁣󠁴󠁿🇬🇧</t>
  </si>
  <si>
    <t>http://twitter.com/TheStephenRalph/statuses/1520918651506937859</t>
  </si>
  <si>
    <t>{"hashtags":[{"text":"Brexit","indices":[53,60]}],"symbols":[],"user_mentions":[{"screen_name":"LeftMensch","name":"Ehud Ur 🇺🇦","id":1098794038352785400,"id_str":"1098794038352785408","indices":[0,11]},{"screen_name":"PickardJE","name":"Jim Pickard","id":69080476,"id_str":"69080476","indices":[12,22]}],"urls":[]}</t>
  </si>
  <si>
    <t>1520918169698852866</t>
  </si>
  <si>
    <t>StunnedVoter</t>
  </si>
  <si>
    <t>Mon May 02 00:08:43 +0000 2022</t>
  </si>
  <si>
    <t>856131595518005253</t>
  </si>
  <si>
    <t>http://pbs.twimg.com/profile_images/1437431495787008001/P3yzzA4Y_normal.jpg</t>
  </si>
  <si>
    <t>Pennsylvania, USA</t>
  </si>
  <si>
    <t>http://twitter.com/StunnedVoter/statuses/1520918169698852866</t>
  </si>
  <si>
    <t>1520918027809796096</t>
  </si>
  <si>
    <t>davidbo61210816</t>
  </si>
  <si>
    <t>RT @mcopsey: Surely this in an admission #brexit is a very bad idea for the economy
"Cabinet Office says UK firms will save at least £1bn from decision to delay some planned post-Brexit checks on food imports"</t>
  </si>
  <si>
    <t>Mon May 02 00:08:09 +0000 2022</t>
  </si>
  <si>
    <t>3408923777</t>
  </si>
  <si>
    <t>http://pbs.twimg.com/profile_images/1494994495796088833/iTuFHUn-_normal.jpg</t>
  </si>
  <si>
    <t>watford, herts</t>
  </si>
  <si>
    <t>http://twitter.com/davidbo61210816/statuses/1520918027809796096</t>
  </si>
  <si>
    <t>{"hashtags":[{"text":"brexit","indices":[41,48]}],"symbols":[],"user_mentions":[{"screen_name":"mcopsey","name":"Mark Copsey 🇺🇦","id":37599308,"id_str":"37599308","indices":[3,11]}],"urls":[]}</t>
  </si>
  <si>
    <t>1520917823643688960</t>
  </si>
  <si>
    <t>Helenkalliope</t>
  </si>
  <si>
    <t>Mon May 02 00:07:21 +0000 2022</t>
  </si>
  <si>
    <t>146114183</t>
  </si>
  <si>
    <t>http://pbs.twimg.com/profile_images/1296812023578275840/u1EarURl_normal.jpg</t>
  </si>
  <si>
    <t>Cymru - Wales</t>
  </si>
  <si>
    <t>http://twitter.com/Helenkalliope/statuses/1520917823643688960</t>
  </si>
  <si>
    <t>1520917586900303872</t>
  </si>
  <si>
    <t>realmumma2</t>
  </si>
  <si>
    <t>Mon May 02 00:06:24 +0000 2022</t>
  </si>
  <si>
    <t>2945604423</t>
  </si>
  <si>
    <t>http://pbs.twimg.com/profile_images/1378494632812765192/S_G7B5cm_normal.jpg</t>
  </si>
  <si>
    <t>http://twitter.com/realmumma2/statuses/1520917586900303872</t>
  </si>
  <si>
    <t>1520917348672315393</t>
  </si>
  <si>
    <t>chrismilne69</t>
  </si>
  <si>
    <t>Mon May 02 00:05:27 +0000 2022</t>
  </si>
  <si>
    <t>733534758</t>
  </si>
  <si>
    <t>http://pbs.twimg.com/profile_images/1124351199669518336/jNgMdZ78_normal.jpg</t>
  </si>
  <si>
    <t>http://twitter.com/chrismilne69/statuses/1520917348672315393</t>
  </si>
  <si>
    <t>1520917259367157760</t>
  </si>
  <si>
    <t>KevinAn48751902</t>
  </si>
  <si>
    <t>Mon May 02 00:05:06 +0000 2022</t>
  </si>
  <si>
    <t>3342507880</t>
  </si>
  <si>
    <t>http://pbs.twimg.com/profile_images/622702322951540736/fAKFwNi6_normal.jpg</t>
  </si>
  <si>
    <t xml:space="preserve">God and Cuthbert's country. </t>
  </si>
  <si>
    <t>http://twitter.com/KevinAn48751902/statuses/1520917259367157760</t>
  </si>
  <si>
    <t>1520917221836570624</t>
  </si>
  <si>
    <t>englishfil</t>
  </si>
  <si>
    <t>Mon May 02 00:04:57 +0000 2022</t>
  </si>
  <si>
    <t>128354489</t>
  </si>
  <si>
    <t>http://pbs.twimg.com/profile_images/378800000444814725/a8526042847fcc20c88d5e1b77ed85a6_normal.jpeg</t>
  </si>
  <si>
    <t>Who knows?</t>
  </si>
  <si>
    <t>http://twitter.com/englishfil/statuses/1520917221836570624</t>
  </si>
  <si>
    <t>1520916791316430851</t>
  </si>
  <si>
    <t>Alheri</t>
  </si>
  <si>
    <t>Mon May 02 00:03:14 +0000 2022</t>
  </si>
  <si>
    <t>69583</t>
  </si>
  <si>
    <t>http://pbs.twimg.com/profile_images/1302002255147732992/yiwApCed_normal.jpg</t>
  </si>
  <si>
    <t>http://twitter.com/Alheri/statuses/1520916791316430851</t>
  </si>
  <si>
    <t>1520916775440982017</t>
  </si>
  <si>
    <t>cllr_nardelli</t>
  </si>
  <si>
    <t>Mon May 02 00:03:11 +0000 2022</t>
  </si>
  <si>
    <t>3120838350</t>
  </si>
  <si>
    <t>http://pbs.twimg.com/profile_images/587036474832453632/FO7bvn2u_normal.png</t>
  </si>
  <si>
    <t>http://twitter.com/cllr_nardelli/statuses/1520916775440982017</t>
  </si>
  <si>
    <t>1520916695346470913</t>
  </si>
  <si>
    <t>Mon May 02 00:02:52 +0000 2022</t>
  </si>
  <si>
    <t>http://twitter.com/cllr_nardelli/statuses/1520916695346470913</t>
  </si>
  <si>
    <t>1520916669341839363</t>
  </si>
  <si>
    <t>SimonTurkas</t>
  </si>
  <si>
    <t>Mon May 02 00:02:45 +0000 2022</t>
  </si>
  <si>
    <t>558545453</t>
  </si>
  <si>
    <t>http://pbs.twimg.com/profile_images/1513272222357590016/PsJ1vHjg_normal.jpg</t>
  </si>
  <si>
    <t xml:space="preserve">citizen of the world </t>
  </si>
  <si>
    <t>http://twitter.com/SimonTurkas/statuses/1520916669341839363</t>
  </si>
  <si>
    <t>1520916187521069058</t>
  </si>
  <si>
    <t>nick_0971</t>
  </si>
  <si>
    <t>Mon May 02 00:00:51 +0000 2022</t>
  </si>
  <si>
    <t>1840812206</t>
  </si>
  <si>
    <t>Stamford, England</t>
  </si>
  <si>
    <t>http://twitter.com/nick_0971/statuses/1520916187521069058</t>
  </si>
  <si>
    <t>1520916169452052482</t>
  </si>
  <si>
    <t>dennbarr44</t>
  </si>
  <si>
    <t>Mon May 02 00:00:46 +0000 2022</t>
  </si>
  <si>
    <t>743325624136196100</t>
  </si>
  <si>
    <t>http://pbs.twimg.com/profile_images/761644318276915200/TwrZLhJ__normal.jpg</t>
  </si>
  <si>
    <t>http://twitter.com/dennbarr44/statuses/1520916169452052482</t>
  </si>
  <si>
    <t>1520916101965750273</t>
  </si>
  <si>
    <t>Hyperion_PSN</t>
  </si>
  <si>
    <t>Mon May 02 00:00:30 +0000 2022</t>
  </si>
  <si>
    <t>1107958435264503809</t>
  </si>
  <si>
    <t>http://pbs.twimg.com/profile_images/1147807747745955841/lValyphl_normal.jpg</t>
  </si>
  <si>
    <t>http://twitter.com/Hyperion_PSN/statuses/1520916101965750273</t>
  </si>
  <si>
    <t>1520916031799283715</t>
  </si>
  <si>
    <t>kohenzoller</t>
  </si>
  <si>
    <t>Mon May 02 00:00:13 +0000 2022</t>
  </si>
  <si>
    <t>123137380</t>
  </si>
  <si>
    <t>http://pbs.twimg.com/profile_images/844064912263602178/TRCh0cHL_normal.jpg</t>
  </si>
  <si>
    <t>http://twitter.com/kohenzoller/statuses/1520916031799283715</t>
  </si>
  <si>
    <t>1520915849959325698</t>
  </si>
  <si>
    <t>dgmicro</t>
  </si>
  <si>
    <t>Sun May 01 23:59:30 +0000 2022</t>
  </si>
  <si>
    <t>2375463293</t>
  </si>
  <si>
    <t>http://pbs.twimg.com/profile_images/788050570594619392/mQBlxNN4_normal.jpg</t>
  </si>
  <si>
    <t>Scottish NOT 'british'</t>
  </si>
  <si>
    <t>http://twitter.com/dgmicro/statuses/1520915849959325698</t>
  </si>
  <si>
    <t>1520915819928117250</t>
  </si>
  <si>
    <t>Andrade1357</t>
  </si>
  <si>
    <t>Sun May 01 23:59:23 +0000 2022</t>
  </si>
  <si>
    <t>1510773646113001473</t>
  </si>
  <si>
    <t>http://pbs.twimg.com/profile_images/1511402383909310466/hUGmg9Jr_normal.jpg</t>
  </si>
  <si>
    <t>http://twitter.com/Andrade1357/statuses/1520915819928117250</t>
  </si>
  <si>
    <t>1520915801070579718</t>
  </si>
  <si>
    <t>RT @jamie_murray: It takes longer to get thru passport control at Lisbon airport than it does to fly here. #brexit https://t.co/7QKjYgiw6G</t>
  </si>
  <si>
    <t>Sun May 01 23:59:18 +0000 2022</t>
  </si>
  <si>
    <t>http://twitter.com/SimonTurkas/statuses/1520915801070579718</t>
  </si>
  <si>
    <t>{"hashtags":[{"text":"brexit","indices":[107,114]}],"symbols":[],"user_mentions":[{"screen_name":"jamie_murray","name":"Jamie Murray","id":14131275,"id_str":"14131275","indices":[3,16]}],"urls":[],"media":[{"id":1518168539420668000,"id_str":"1518168539420667905","indices":[115,138],"media_url":"http://pbs.twimg.com/media/FRGePjVXsAE2IVm.jpg","media_url_https":"https://pbs.twimg.com/media/FRGePjVXsAE2IVm.jpg","url":"https://t.co/7QKjYgiw6G","display_url":"pic.twitter.com/7QKjYgiw6G","expanded_url":"https://twitter.com/jamie_murray/status/1518168546462904320/photo/1","type":"photo","sizes":{"thumb":{"w":150,"h":150,"resize":"crop"},"small":{"w":680,"h":383,"resize":"fit"},"large":{"w":2048,"h":1152,"resize":"fit"},"medium":{"w":1200,"h":675,"resize":"fit"}},"source_status_id":1518168546462904300,"source_status_id_str":"1518168546462904320","source_user_id":14131275,"source_user_id_str":"14131275"}]}</t>
  </si>
  <si>
    <t>1520915346257027074</t>
  </si>
  <si>
    <t>RT @Ava_lou82: How has #Brexit enriched your life?                                      Genuine question.I voted remain but am happy to be proven wrong. So far I haven’t seen any benefits so please can someone enlighten me.. I just don’t get it. &amp;amp; I don’t get why it’s so fiercely defended?</t>
  </si>
  <si>
    <t>Sun May 01 23:57:30 +0000 2022</t>
  </si>
  <si>
    <t>http://twitter.com/SimonTurkas/statuses/1520915346257027074</t>
  </si>
  <si>
    <t>{"hashtags":[{"text":"Brexit","indices":[23,30]}],"symbols":[],"user_mentions":[{"screen_name":"Ava_lou82","name":"Ava","id":1205723899,"id_str":"1205723899","indices":[3,13]}],"urls":[]}</t>
  </si>
  <si>
    <t>1520915264040312834</t>
  </si>
  <si>
    <t>jeremysmith98</t>
  </si>
  <si>
    <t>Sun May 01 23:57:10 +0000 2022</t>
  </si>
  <si>
    <t>274082500</t>
  </si>
  <si>
    <t>http://pbs.twimg.com/profile_images/640219904147374080/vGISC050_normal.jpg</t>
  </si>
  <si>
    <t>http://twitter.com/jeremysmith98/statuses/1520915264040312834</t>
  </si>
  <si>
    <t>1520915031134769153</t>
  </si>
  <si>
    <t>JulianC2412</t>
  </si>
  <si>
    <t>Sun May 01 23:56:15 +0000 2022</t>
  </si>
  <si>
    <t>1487028337457483776</t>
  </si>
  <si>
    <t>http://twitter.com/JulianC2412/statuses/1520915031134769153</t>
  </si>
  <si>
    <t>1520915007009181698</t>
  </si>
  <si>
    <t>Sun May 01 23:56:09 +0000 2022</t>
  </si>
  <si>
    <t>http://twitter.com/EMSouthCheshire/statuses/1520915007009181698</t>
  </si>
  <si>
    <t>1520914979494453248</t>
  </si>
  <si>
    <t>Sun May 01 23:56:03 +0000 2022</t>
  </si>
  <si>
    <t>http://twitter.com/EMSouthCheshire/statuses/1520914979494453248</t>
  </si>
  <si>
    <t>1520914385161621510</t>
  </si>
  <si>
    <t>Sun May 01 23:53:41 +0000 2022</t>
  </si>
  <si>
    <t>http://twitter.com/SimonTurkas/statuses/1520914385161621510</t>
  </si>
  <si>
    <t>1520914382166929409</t>
  </si>
  <si>
    <t>VeraVeritas3</t>
  </si>
  <si>
    <t>Sun May 01 23:53:40 +0000 2022</t>
  </si>
  <si>
    <t>4309824023</t>
  </si>
  <si>
    <t>http://pbs.twimg.com/profile_images/1482396865521987588/strWt6Ph_normal.jpg</t>
  </si>
  <si>
    <t>http://twitter.com/VeraVeritas3/statuses/1520914382166929409</t>
  </si>
  <si>
    <t>1520914368153767936</t>
  </si>
  <si>
    <t>Chump3z</t>
  </si>
  <si>
    <t>Sun May 01 23:53:37 +0000 2022</t>
  </si>
  <si>
    <t>983863319432974337</t>
  </si>
  <si>
    <t>http://pbs.twimg.com/profile_images/1337388386743619585/cr6BsVO__normal.jpg</t>
  </si>
  <si>
    <t>http://twitter.com/Chump3z/statuses/1520914368153767936</t>
  </si>
  <si>
    <t>1520914351443619842</t>
  </si>
  <si>
    <t>Sun May 01 23:53:33 +0000 2022</t>
  </si>
  <si>
    <t>http://twitter.com/VeraVeritas3/statuses/1520914351443619842</t>
  </si>
  <si>
    <t>1520914263598149634</t>
  </si>
  <si>
    <t>simondebrux</t>
  </si>
  <si>
    <t>Sun May 01 23:53:12 +0000 2022</t>
  </si>
  <si>
    <t>195702863</t>
  </si>
  <si>
    <t>http://pbs.twimg.com/profile_images/1460030494716874756/ebRnaTD9_normal.jpg</t>
  </si>
  <si>
    <t>Wiltshire / London</t>
  </si>
  <si>
    <t>http://twitter.com/simondebrux/statuses/1520914263598149634</t>
  </si>
  <si>
    <t>1520914230362488832</t>
  </si>
  <si>
    <t>Sun May 01 23:53:04 +0000 2022</t>
  </si>
  <si>
    <t>http://twitter.com/SimonTurkas/statuses/1520914230362488832</t>
  </si>
  <si>
    <t>1520914214415650816</t>
  </si>
  <si>
    <t>Sun May 01 23:53:00 +0000 2022</t>
  </si>
  <si>
    <t>http://twitter.com/VeraVeritas3/statuses/1520914214415650816</t>
  </si>
  <si>
    <t>1520914152881074182</t>
  </si>
  <si>
    <t>JoeLucking66</t>
  </si>
  <si>
    <t>Sun May 01 23:52:45 +0000 2022</t>
  </si>
  <si>
    <t>260918875</t>
  </si>
  <si>
    <t>http://pbs.twimg.com/profile_images/1399674869420376068/orikgj6w_normal.jpg</t>
  </si>
  <si>
    <t>http://twitter.com/JoeLucking66/statuses/1520914152881074182</t>
  </si>
  <si>
    <t>1520914128843517953</t>
  </si>
  <si>
    <t>filsdelenin</t>
  </si>
  <si>
    <t>Sun May 01 23:52:40 +0000 2022</t>
  </si>
  <si>
    <t>780506480449650689</t>
  </si>
  <si>
    <t>http://pbs.twimg.com/profile_images/780514360443670528/vdpWJG0A_normal.jpg</t>
  </si>
  <si>
    <t>http://twitter.com/filsdelenin/statuses/1520914128843517953</t>
  </si>
  <si>
    <t>1520913829932195840</t>
  </si>
  <si>
    <t>PippaLeeuwen</t>
  </si>
  <si>
    <t>Sun May 01 23:51:28 +0000 2022</t>
  </si>
  <si>
    <t>824023503728939008</t>
  </si>
  <si>
    <t>http://pbs.twimg.com/profile_images/1309773640007913472/hptd-Y5o_normal.jpg</t>
  </si>
  <si>
    <t>Nederland</t>
  </si>
  <si>
    <t>http://twitter.com/PippaLeeuwen/statuses/1520913829932195840</t>
  </si>
  <si>
    <t>1520913765105029121</t>
  </si>
  <si>
    <t>Sun May 01 23:51:13 +0000 2022</t>
  </si>
  <si>
    <t>http://twitter.com/SimonTurkas/statuses/1520913765105029121</t>
  </si>
  <si>
    <t>1520913755349131264</t>
  </si>
  <si>
    <t>Sun May 01 23:51:11 +0000 2022</t>
  </si>
  <si>
    <t>http://twitter.com/PippaLeeuwen/statuses/1520913755349131264</t>
  </si>
  <si>
    <t>1520913714291122177</t>
  </si>
  <si>
    <t>HarryJamesBooks</t>
  </si>
  <si>
    <t>Sun May 01 23:51:01 +0000 2022</t>
  </si>
  <si>
    <t>1371945368347377665</t>
  </si>
  <si>
    <t>http://pbs.twimg.com/profile_images/1512772410273153024/ihTbrr_t_normal.jpg</t>
  </si>
  <si>
    <t>Depends</t>
  </si>
  <si>
    <t>http://twitter.com/HarryJamesBooks/statuses/1520913714291122177</t>
  </si>
  <si>
    <t>1520913706590289921</t>
  </si>
  <si>
    <t>Sun May 01 23:50:59 +0000 2022</t>
  </si>
  <si>
    <t>http://twitter.com/RejoinersRus/statuses/1520913706590289921</t>
  </si>
  <si>
    <t>1520913596129189890</t>
  </si>
  <si>
    <t>MatthewJJenkins</t>
  </si>
  <si>
    <t>Sun May 01 23:50:33 +0000 2022</t>
  </si>
  <si>
    <t>82371671</t>
  </si>
  <si>
    <t>http://pbs.twimg.com/profile_images/1498106961577000964/gG9HhpQB_normal.jpg</t>
  </si>
  <si>
    <t>The land of the Lotus eaters</t>
  </si>
  <si>
    <t>http://twitter.com/MatthewJJenkins/statuses/1520913596129189890</t>
  </si>
  <si>
    <t>1520913454076510215</t>
  </si>
  <si>
    <t>Sun May 01 23:49:59 +0000 2022</t>
  </si>
  <si>
    <t>http://twitter.com/sen_j59/statuses/1520913454076510215</t>
  </si>
  <si>
    <t>1520913254213640192</t>
  </si>
  <si>
    <t>EveryDayTaiChi</t>
  </si>
  <si>
    <t>Sun May 01 23:49:11 +0000 2022</t>
  </si>
  <si>
    <t>379898152</t>
  </si>
  <si>
    <t>http://pbs.twimg.com/profile_images/1496650638628900870/ZARkdiLC_normal.jpg</t>
  </si>
  <si>
    <t>http://twitter.com/EveryDayTaiChi/statuses/1520913254213640192</t>
  </si>
  <si>
    <t>1520913107496968193</t>
  </si>
  <si>
    <t>eurightswatch</t>
  </si>
  <si>
    <t>RT @PedalTrill: Dismayed by the claim that even Stuart Rose can't admit the impact of #Brexit. 
If true, one has to wonder how rational economists sleep at night. Until you admit the problem you can't solve it. Do we really have to have a change of government to stop this downward spiral? https://t.co/rY49ewjUCe</t>
  </si>
  <si>
    <t>Sun May 01 23:48:36 +0000 2022</t>
  </si>
  <si>
    <t>863039674918555650</t>
  </si>
  <si>
    <t>&lt;a href="http://www.choosefreedom.eu/" rel="nofollow"&gt;eurightswatch&lt;/a&gt;</t>
  </si>
  <si>
    <t>http://twitter.com/eurightswatch/statuses/1520913107496968193</t>
  </si>
  <si>
    <t>{"hashtags":[{"text":"Brexit","indices":[86,93]}],"symbols":[],"user_mentions":[{"screen_name":"PedalTrill","name":"Amanda Forsyth 🇺🇦 💙","id":269352991,"id_str":"269352991","indices":[3,14]}],"urls":[]}</t>
  </si>
  <si>
    <t>1520912923371184128</t>
  </si>
  <si>
    <t>nighthawkgeoff</t>
  </si>
  <si>
    <t>Sun May 01 23:47:52 +0000 2022</t>
  </si>
  <si>
    <t>38349055</t>
  </si>
  <si>
    <t>http://pbs.twimg.com/profile_images/1480718875901710337/tzVRboLE_normal.jpg</t>
  </si>
  <si>
    <t>Hoylake, Wirral, U.K.</t>
  </si>
  <si>
    <t>http://twitter.com/nighthawkgeoff/statuses/1520912923371184128</t>
  </si>
  <si>
    <t>1520912918124003328</t>
  </si>
  <si>
    <t>Emmynance</t>
  </si>
  <si>
    <t>Sun May 01 23:47:51 +0000 2022</t>
  </si>
  <si>
    <t>18829128</t>
  </si>
  <si>
    <t>http://pbs.twimg.com/profile_images/1248649161018228736/gWkjgvct_normal.jpg</t>
  </si>
  <si>
    <t>Paris, london</t>
  </si>
  <si>
    <t>http://twitter.com/Emmynance/statuses/1520912918124003328</t>
  </si>
  <si>
    <t>1520912824716996609</t>
  </si>
  <si>
    <t>cheese58chat</t>
  </si>
  <si>
    <t>Sun May 01 23:47:29 +0000 2022</t>
  </si>
  <si>
    <t>357092908</t>
  </si>
  <si>
    <t>http://pbs.twimg.com/profile_images/1181190055123136512/jBW_JYaC_normal.jpg</t>
  </si>
  <si>
    <t>South West, UK</t>
  </si>
  <si>
    <t>http://twitter.com/cheese58chat/statuses/1520912824716996609</t>
  </si>
  <si>
    <t>1520912556742823937</t>
  </si>
  <si>
    <t>Sun May 01 23:46:25 +0000 2022</t>
  </si>
  <si>
    <t>http://twitter.com/brotherguerilla/statuses/1520912556742823937</t>
  </si>
  <si>
    <t>1520912220959526912</t>
  </si>
  <si>
    <t>LordOfTheNacho</t>
  </si>
  <si>
    <t>@LanceForman Shouldn't have voted for #Brexit. 🤣🤣🤣</t>
  </si>
  <si>
    <t>Sun May 01 23:45:05 +0000 2022</t>
  </si>
  <si>
    <t>961239792</t>
  </si>
  <si>
    <t>http://pbs.twimg.com/profile_images/2875119158/07b48ffe47c82d461a1ac0f9cd7c3464_normal.png</t>
  </si>
  <si>
    <t>http://twitter.com/LordOfTheNacho/statuses/1520912220959526912</t>
  </si>
  <si>
    <t>{"hashtags":[{"text":"Brexit","indices":[38,45]}],"symbols":[],"user_mentions":[{"screen_name":"LanceForman","name":"Lance Forman","id":757537572,"id_str":"757537572","indices":[0,12]}],"urls":[]}</t>
  </si>
  <si>
    <t>1520912130345938944</t>
  </si>
  <si>
    <t>inabster</t>
  </si>
  <si>
    <t>RT @inabster: #Brexit is #economicterrorism on the United Kingdom.
Economic terrorists financial controllers &amp;amp; steerers:
Oligarchs Hedge Fund Banking operators -
David Lilley, RK Capital
Jon Wood, SRM Global
Johan Christofferson, Christofferson
Robb &amp;amp; Co
Crispin Odey
et al. https://t.co/ptm9sZ6big</t>
  </si>
  <si>
    <t>Sun May 01 23:44:43 +0000 2022</t>
  </si>
  <si>
    <t>259975018</t>
  </si>
  <si>
    <t>http://pbs.twimg.com/profile_images/843577364000849920/80ylzxSm_normal.jpg</t>
  </si>
  <si>
    <t>http://twitter.com/inabster/statuses/1520912130345938944</t>
  </si>
  <si>
    <t>{"hashtags":[{"text":"Brexit","indices":[14,21]},{"text":"economicterrorism","indices":[25,43]}],"symbols":[],"user_mentions":[{"screen_name":"inabster","name":"Nabil H The Peacemaker ⚛️☮️","id":259975018,"id_str":"259975018","indices":[3,12]}],"urls":[]}</t>
  </si>
  <si>
    <t>1520912118769504256</t>
  </si>
  <si>
    <t>RT @inabster: #Brexit is #economicterrorism on the United Kingdom.
Economic terrorists operators: @michaelgove @MPIainDS @sajidjavid @DominicRaab @EstherMcVey1 @trussliz @patel4witham @Jacob_Rees_Mogg 
Dominic Cummins
Matthew Elliott
Oligarchs Hedge Fund Banking operators...
- @GCHQ @UN @wto https://t.co/7ltasqh7Ec</t>
  </si>
  <si>
    <t>Sun May 01 23:44:40 +0000 2022</t>
  </si>
  <si>
    <t>http://twitter.com/inabster/statuses/1520912118769504256</t>
  </si>
  <si>
    <t>{"hashtags":[{"text":"Brexit","indices":[14,21]},{"text":"economicterrorism","indices":[25,43]}],"symbols":[],"user_mentions":[{"screen_name":"inabster","name":"Nabil H The Peacemaker ⚛️☮️","id":259975018,"id_str":"259975018","indices":[3,12]},{"screen_name":"michaelgove","name":"Michael Gove","id":748453510048518100,"id_str":"748453510048518145","indices":[98,110]},{"screen_name":"MPIainDS","name":"Iain Duncan Smith MP","id":1133305785910550500,"id_str":"1133305785910550528","indices":[111,120]},{"screen_name":"sajidjavid","name":"Sajid Javid","id":20052899,"id_str":"20052899","indices":[121,132]}],"urls":[]}</t>
  </si>
  <si>
    <t>1520912107436486661</t>
  </si>
  <si>
    <t>RT @inabster: #Brexit is an act of #economicterrorism on the United Kingdom.
The economic terrorists are:
@Arron_banks @LordAshcroft @rupertmurdoch @BorisJohnson @theresa_may @David_Cameron @RichardDesmond @Telegraph @DailyMailUK @jeremycorbyn @SeumasMilne @LyntonKCrosby @Nigel_Farage @POTUS https://t.co/lVK4lLKp1C</t>
  </si>
  <si>
    <t>Sun May 01 23:44:38 +0000 2022</t>
  </si>
  <si>
    <t>http://twitter.com/inabster/statuses/1520912107436486661</t>
  </si>
  <si>
    <t>{"hashtags":[{"text":"Brexit","indices":[14,21]},{"text":"economicterrorism","indices":[35,53]}],"symbols":[],"user_mentions":[{"screen_name":"inabster","name":"Nabil H The Peacemaker ⚛️☮️","id":259975018,"id_str":"259975018","indices":[3,12]},{"screen_name":"Arron_banks","name":"Arron Banks","id":3390728889,"id_str":"3390728889","indices":[106,118]},{"screen_name":"LordAshcroft","name":"Lord Ashcroft","id":1282992704,"id_str":"1282992704","indices":[119,132]}],"urls":[]}</t>
  </si>
  <si>
    <t>1520912028378050560</t>
  </si>
  <si>
    <t>RT @inabster: If the time has come for us to suffer for our sins, #Brexit &amp;amp; collapse of Europe might be it, also the collapse of the US &amp;amp; the West. There is too much pain &amp;amp; inequity piling up through the last 3 centuries - #Illuminati #Jesuits #Vatican #Freemasons #KnightsTemplars @Pontifex</t>
  </si>
  <si>
    <t>Sun May 01 23:44:19 +0000 2022</t>
  </si>
  <si>
    <t>http://twitter.com/inabster/statuses/1520912028378050560</t>
  </si>
  <si>
    <t>{"hashtags":[{"text":"Brexit","indices":[66,73]}],"symbols":[],"user_mentions":[{"screen_name":"inabster","name":"Nabil H The Peacemaker ⚛️☮️","id":259975018,"id_str":"259975018","indices":[3,12]}],"urls":[]}</t>
  </si>
  <si>
    <t>1520912015258267648</t>
  </si>
  <si>
    <t>thedragonaunt</t>
  </si>
  <si>
    <t>Sun May 01 23:44:16 +0000 2022</t>
  </si>
  <si>
    <t>1696846248</t>
  </si>
  <si>
    <t>http://pbs.twimg.com/profile_images/1497336306057326599/l1PemIZK_normal.jpg</t>
  </si>
  <si>
    <t>http://twitter.com/thedragonaunt/statuses/1520912015258267648</t>
  </si>
  <si>
    <t>1520911955061575681</t>
  </si>
  <si>
    <t>DariaGrimaldi</t>
  </si>
  <si>
    <t>Sun May 01 23:44:01 +0000 2022</t>
  </si>
  <si>
    <t>2540779745</t>
  </si>
  <si>
    <t>http://pbs.twimg.com/profile_images/1278949302644158469/3xgtC0sr_normal.jpg</t>
  </si>
  <si>
    <t>http://twitter.com/DariaGrimaldi/statuses/1520911955061575681</t>
  </si>
  <si>
    <t>1520911943158177792</t>
  </si>
  <si>
    <t>Sun May 01 23:43:59 +0000 2022</t>
  </si>
  <si>
    <t>http://twitter.com/h1llbillies/statuses/1520911943158177792</t>
  </si>
  <si>
    <t>1520911934354341896</t>
  </si>
  <si>
    <t>redflame1960</t>
  </si>
  <si>
    <t>Sun May 01 23:43:56 +0000 2022</t>
  </si>
  <si>
    <t>485063569</t>
  </si>
  <si>
    <t>http://pbs.twimg.com/profile_images/1323270086174646277/2zVDZ4cL_normal.jpg</t>
  </si>
  <si>
    <t>Dumfries and Galloway</t>
  </si>
  <si>
    <t>http://twitter.com/redflame1960/statuses/1520911934354341896</t>
  </si>
  <si>
    <t>1520911914309763074</t>
  </si>
  <si>
    <t>bronzearethusa</t>
  </si>
  <si>
    <t>RT @Anna_Soubry: Former Perm Sec of the Brexit Dept tells #Today but tucked away before 6.30 in biz news, that #Brexit is responsible for at least a 6% rise in food. 
Why isn’t this being widely reported &amp;amp; analysed? 
Journos should hold their heads in shame.
#Brexit was built on lies</t>
  </si>
  <si>
    <t>Sun May 01 23:43:52 +0000 2022</t>
  </si>
  <si>
    <t>274551846</t>
  </si>
  <si>
    <t>http://pbs.twimg.com/profile_images/2729994091/45c6834e1c8b2e64973de5ec2c86430e_normal.jpeg</t>
  </si>
  <si>
    <t>http://twitter.com/bronzearethusa/statuses/1520911914309763074</t>
  </si>
  <si>
    <t>{"hashtags":[{"text":"Today","indices":[58,64]},{"text":"Brexit","indices":[111,118]}],"symbols":[],"user_mentions":[{"screen_name":"Anna_Soubry","name":"Anna Soubry","id":326184301,"id_str":"326184301","indices":[3,15]}],"urls":[]}</t>
  </si>
  <si>
    <t>1520911908366430209</t>
  </si>
  <si>
    <t>WalshC129</t>
  </si>
  <si>
    <t>Sun May 01 23:43:50 +0000 2022</t>
  </si>
  <si>
    <t>2695692189</t>
  </si>
  <si>
    <t>http://pbs.twimg.com/profile_images/497772371374125056/Tbtb3AjK_normal.jpeg</t>
  </si>
  <si>
    <t>http://twitter.com/WalshC129/statuses/1520911908366430209</t>
  </si>
  <si>
    <t>1520911884312092673</t>
  </si>
  <si>
    <t>Sun May 01 23:43:45 +0000 2022</t>
  </si>
  <si>
    <t>http://twitter.com/WalshC129/statuses/1520911884312092673</t>
  </si>
  <si>
    <t>1520911832826925060</t>
  </si>
  <si>
    <t>Sun May 01 23:43:32 +0000 2022</t>
  </si>
  <si>
    <t>http://twitter.com/WalshC129/statuses/1520911832826925060</t>
  </si>
  <si>
    <t>1520911774505127936</t>
  </si>
  <si>
    <t>Sun May 01 23:43:18 +0000 2022</t>
  </si>
  <si>
    <t>http://twitter.com/WalshC129/statuses/1520911774505127936</t>
  </si>
  <si>
    <t>1520911721849921536</t>
  </si>
  <si>
    <t>Sandrapeake10</t>
  </si>
  <si>
    <t>RT @LizWebsterLD: Fascinating @guardian interview with Stanley  Johnson from 2012.
Clip 👇 and full interview here https://t.co/ChyzhgjFhU
Could provide some answers to the utter disregard of economic prosperity with #Brexit and #COVID19 if Stanley has played #CriticalRole in his son’s ideology. https://t.co/GRL75dbIG8</t>
  </si>
  <si>
    <t>Sun May 01 23:43:06 +0000 2022</t>
  </si>
  <si>
    <t>1118252174105034753</t>
  </si>
  <si>
    <t>http://pbs.twimg.com/profile_images/1263510353092251648/vCdk9PZN_normal.jpg</t>
  </si>
  <si>
    <t>http://twitter.com/Sandrapeake10/statuses/1520911721849921536</t>
  </si>
  <si>
    <t>{"hashtags":[],"symbols":[],"user_mentions":[{"screen_name":"LizWebsterLD","name":"Liz Webster","id":489377813,"id_str":"489377813","indices":[3,16]},{"screen_name":"guardian","name":"The Guardian","id":87818409,"id_str":"87818409","indices":[30,39]}],"urls":[{"url":"https://t.co/ChyzhgjFhU","expanded_url":"https://youtu.be/XpMTz1pICGE","display_url":"youtu.be/XpMTz1pICGE","indices":[115,138]}]}</t>
  </si>
  <si>
    <t>1520911703072030720</t>
  </si>
  <si>
    <t>Sun May 01 23:43:01 +0000 2022</t>
  </si>
  <si>
    <t>http://twitter.com/WalshC129/statuses/1520911703072030720</t>
  </si>
  <si>
    <t>1520911521236365313</t>
  </si>
  <si>
    <t>AlanAmoody6161</t>
  </si>
  <si>
    <t>@steve_hawkes @Jacob_Rees_Mogg admits #brexit an act of self harm. Where do @Conservatives stand?</t>
  </si>
  <si>
    <t>Sun May 01 23:42:18 +0000 2022</t>
  </si>
  <si>
    <t>3161056613</t>
  </si>
  <si>
    <t>http://twitter.com/AlanAmoody6161/statuses/1520911521236365313</t>
  </si>
  <si>
    <t>{"hashtags":[{"text":"brexit","indices":[38,45]}],"symbols":[],"user_mentions":[{"screen_name":"steve_hawkes","name":"Steve Hawkes","id":41394240,"id_str":"41394240","indices":[0,13]},{"screen_name":"Jacob_Rees_Mogg","name":"Jacob Rees-Mogg","id":885838630928994300,"id_str":"885838630928994304","indices":[14,30]},{"screen_name":"Conservatives","name":"Conservatives","id":14281853,"id_str":"14281853","indices":[76,90]}],"urls":[]}</t>
  </si>
  <si>
    <t>1520911357851410434</t>
  </si>
  <si>
    <t>helenamayb</t>
  </si>
  <si>
    <t>Sun May 01 23:41:39 +0000 2022</t>
  </si>
  <si>
    <t>41333934</t>
  </si>
  <si>
    <t>http://pbs.twimg.com/profile_images/872169700331048963/MQzadWQe_normal.jpg</t>
  </si>
  <si>
    <t>http://twitter.com/helenamayb/statuses/1520911357851410434</t>
  </si>
  <si>
    <t>1520911346388410368</t>
  </si>
  <si>
    <t>BunsenAbroad</t>
  </si>
  <si>
    <t>RT @Changeling_1: @docrussjackson They claim to be the party of the Union, but with their catastrophic #Brexit they have driven a stake into the heart of the #GoodFridayAgreement &amp;amp; dug a chasm between England &amp;amp; Scotland, emboldening #ScottishIndependence 
#JohnsonOut97 #ToriesUnfitToGovern #LocalElections2022 https://t.co/A3ZqUr5IVm</t>
  </si>
  <si>
    <t>Sun May 01 23:41:36 +0000 2022</t>
  </si>
  <si>
    <t>848184964852191241</t>
  </si>
  <si>
    <t>http://pbs.twimg.com/profile_images/889406894653231104/ecHtykSd_normal.jpg</t>
  </si>
  <si>
    <t>http://twitter.com/BunsenAbroad/statuses/1520911346388410368</t>
  </si>
  <si>
    <t>{"hashtags":[{"text":"Brexit","indices":[103,110]}],"symbols":[],"user_mentions":[{"screen_name":"Changeling_1","name":"Urban_Tribesman💙#MMT #ToryFeedingYourFamilyTips","id":2893772003,"id_str":"2893772003","indices":[3,16]},{"screen_name":"docrussjackson","name":"GET A GRIP","id":2813049204,"id_str":"2813049204","indices":[18,33]}],"urls":[]}</t>
  </si>
  <si>
    <t>1520911329451819010</t>
  </si>
  <si>
    <t>ASfB_UK</t>
  </si>
  <si>
    <t>Check out today's #business #news https://t.co/0yLcBnnGla #brexit #travel</t>
  </si>
  <si>
    <t>Sun May 01 23:41:32 +0000 2022</t>
  </si>
  <si>
    <t>2711482524</t>
  </si>
  <si>
    <t>&lt;a href="https://paper.li" rel="nofollow"&gt;Paper.li&lt;/a&gt;</t>
  </si>
  <si>
    <t>http://pbs.twimg.com/profile_images/1196174779168051200/iotX3gE7_normal.jpg</t>
  </si>
  <si>
    <t>Bournemouth</t>
  </si>
  <si>
    <t>http://twitter.com/ASfB_UK/statuses/1520911329451819010</t>
  </si>
  <si>
    <t>{"hashtags":[{"text":"business","indices":[18,27]},{"text":"news","indices":[28,33]},{"text":"brexit","indices":[58,65]},{"text":"travel","indices":[66,73]}],"symbols":[],"user_mentions":[],"urls":[{"url":"https://t.co/0yLcBnnGla","expanded_url":"http://news.asfb.co/","display_url":"news.asfb.co","indices":[34,57]}]}</t>
  </si>
  <si>
    <t>1520911296648171521</t>
  </si>
  <si>
    <t>bestgrandma56</t>
  </si>
  <si>
    <t>Sun May 01 23:41:24 +0000 2022</t>
  </si>
  <si>
    <t>4056494069</t>
  </si>
  <si>
    <t>http://pbs.twimg.com/profile_images/1251887664887980037/L6o_9AzJ_normal.jpg</t>
  </si>
  <si>
    <t>http://twitter.com/bestgrandma56/statuses/1520911296648171521</t>
  </si>
  <si>
    <t>1520911180218384386</t>
  </si>
  <si>
    <t>sarahgollin</t>
  </si>
  <si>
    <t>Sun May 01 23:40:57 +0000 2022</t>
  </si>
  <si>
    <t>82372756</t>
  </si>
  <si>
    <t>http://pbs.twimg.com/profile_images/1166788810241400833/qFMPyXMh_normal.jpg</t>
  </si>
  <si>
    <t>http://twitter.com/sarahgollin/statuses/1520911180218384386</t>
  </si>
  <si>
    <t>1520911177651470336</t>
  </si>
  <si>
    <t>Infrared_44</t>
  </si>
  <si>
    <t>Sun May 01 23:40:56 +0000 2022</t>
  </si>
  <si>
    <t>3324294891</t>
  </si>
  <si>
    <t>http://pbs.twimg.com/profile_images/947955462917500928/w4zsWyCz_normal.jpg</t>
  </si>
  <si>
    <t>Round and round</t>
  </si>
  <si>
    <t>http://twitter.com/Infrared_44/statuses/1520911177651470336</t>
  </si>
  <si>
    <t>1520911155123965955</t>
  </si>
  <si>
    <t>Sun May 01 23:40:51 +0000 2022</t>
  </si>
  <si>
    <t>http://twitter.com/sarahgollin/statuses/1520911155123965955</t>
  </si>
  <si>
    <t>1520910956007677952</t>
  </si>
  <si>
    <t>Sun May 01 23:40:03 +0000 2022</t>
  </si>
  <si>
    <t>http://twitter.com/isthisab0t/statuses/1520910956007677952</t>
  </si>
  <si>
    <t>1520910877108678657</t>
  </si>
  <si>
    <t>Sun May 01 23:39:44 +0000 2022</t>
  </si>
  <si>
    <t>http://twitter.com/thedragonaunt/statuses/1520910877108678657</t>
  </si>
  <si>
    <t>1520910864626421760</t>
  </si>
  <si>
    <t>dwinnera</t>
  </si>
  <si>
    <t>Sun May 01 23:39:41 +0000 2022</t>
  </si>
  <si>
    <t>47056173</t>
  </si>
  <si>
    <t>http://pbs.twimg.com/profile_images/786626920356126720/YTLzUg0g_normal.jpg</t>
  </si>
  <si>
    <t>http://twitter.com/dwinnera/statuses/1520910864626421760</t>
  </si>
  <si>
    <t>1520910830753230849</t>
  </si>
  <si>
    <t>Sun May 01 23:39:33 +0000 2022</t>
  </si>
  <si>
    <t>http://twitter.com/dwinnera/statuses/1520910830753230849</t>
  </si>
  <si>
    <t>1520910828622553095</t>
  </si>
  <si>
    <t>Changeling_1</t>
  </si>
  <si>
    <t>@docrussjackson They claim to be the party of the Union, but with their catastrophic #Brexit they have driven a stake into the heart of the #GoodFridayAgreement &amp;amp; dug a chasm between England &amp;amp; Scotland, emboldening #ScottishIndependence 
#JohnsonOut97 #ToriesUnfitToGovern #LocalElections2022 https://t.co/A3ZqUr5IVm</t>
  </si>
  <si>
    <t>2813049204</t>
  </si>
  <si>
    <t>docrussjackson</t>
  </si>
  <si>
    <t>2893772003</t>
  </si>
  <si>
    <t>1520898537499906049</t>
  </si>
  <si>
    <t>http://pbs.twimg.com/profile_images/1468729116182597632/ACb-rZDU_normal.jpg</t>
  </si>
  <si>
    <t>Where Mountains meet the Sea</t>
  </si>
  <si>
    <t>http://twitter.com/Changeling_1/statuses/1520910828622553095</t>
  </si>
  <si>
    <t>{"hashtags":[{"text":"Brexit","indices":[85,92]},{"text":"GoodFridayAgreement","indices":[140,160]},{"text":"ScottishIndependence","indices":[223,244]},{"text":"JohnsonOut97","indices":[246,259]},{"text":"ToriesUnfitToGovern","indices":[260,280]},{"text":"LocalElections2022","indices":[281,300]}],"symbols":[],"user_mentions":[{"screen_name":"docrussjackson","name":"GET A GRIP","id":2813049204,"id_str":"2813049204","indices":[0,15]}],"urls":[],"media":[{"id":1520910824730210300,"id_str":"1520910824730210306","indices":[301,324],"media_url":"http://pbs.twimg.com/media/FRtcVkMXMAIEBzd.jpg","media_url_https":"https://pbs.twimg.com/media/FRtcVkMXMAIEBzd.jpg","url":"https://t.co/A3ZqUr5IVm","display_url":"pic.twitter.com/A3ZqUr5IVm","expanded_url":"https://twitter.com/Changeling_1/status/1520910828622553095/photo/1","type":"photo","sizes":{"small":{"w":605,"h":595,"resize":"fit"},"thumb":{"w":150,"h":150,"resize":"crop"},"large":{"w":605,"h":595,"resize":"fit"},"medium":{"w":605,"h":595,"resize":"fit"}}}]}</t>
  </si>
  <si>
    <t>1520910808997416960</t>
  </si>
  <si>
    <t>Sun May 01 23:39:28 +0000 2022</t>
  </si>
  <si>
    <t>http://twitter.com/dwinnera/statuses/1520910808997416960</t>
  </si>
  <si>
    <t>1520910741146152962</t>
  </si>
  <si>
    <t>Sun May 01 23:39:12 +0000 2022</t>
  </si>
  <si>
    <t>http://twitter.com/dwinnera/statuses/1520910741146152962</t>
  </si>
  <si>
    <t>1520910605783285762</t>
  </si>
  <si>
    <t>Sun May 01 23:38:40 +0000 2022</t>
  </si>
  <si>
    <t>http://twitter.com/BelfastUnionist/statuses/1520910605783285762</t>
  </si>
  <si>
    <t>1520910595591127042</t>
  </si>
  <si>
    <t>Sun May 01 23:38:37 +0000 2022</t>
  </si>
  <si>
    <t>http://twitter.com/BelfastUnionist/statuses/1520910595591127042</t>
  </si>
  <si>
    <t>1520910526510940164</t>
  </si>
  <si>
    <t>scottklogie1</t>
  </si>
  <si>
    <t>Sun May 01 23:38:21 +0000 2022</t>
  </si>
  <si>
    <t>875039516683366400</t>
  </si>
  <si>
    <t>http://pbs.twimg.com/profile_images/1280779853869060096/fvCReD9t_normal.jpg</t>
  </si>
  <si>
    <t xml:space="preserve"> Obar Dheathain, Scotland</t>
  </si>
  <si>
    <t>http://twitter.com/scottklogie1/statuses/1520910526510940164</t>
  </si>
  <si>
    <t>1520910478662418435</t>
  </si>
  <si>
    <t>Sun May 01 23:38:09 +0000 2022</t>
  </si>
  <si>
    <t>http://twitter.com/BelfastUnionist/statuses/1520910478662418435</t>
  </si>
  <si>
    <t>1520910440892878848</t>
  </si>
  <si>
    <t>Sun May 01 23:38:00 +0000 2022</t>
  </si>
  <si>
    <t>http://pbs.twimg.com/profile_images/1368843552491442176/2kCE2AX4_normal.jpg</t>
  </si>
  <si>
    <t>http://twitter.com/dontbrexitfixit/statuses/1520910440892878848</t>
  </si>
  <si>
    <t>1520910302803542017</t>
  </si>
  <si>
    <t>JohnSin12439176</t>
  </si>
  <si>
    <t>@steve_hawkes Starmer made lots of mistakes on #jimmysavile, #durhampartygate #Brexit 
Many will say he has lied or mislead us all on everything he does #NeverStarmer</t>
  </si>
  <si>
    <t>Sun May 01 23:37:27 +0000 2022</t>
  </si>
  <si>
    <t>1376943076317478914</t>
  </si>
  <si>
    <t>http://pbs.twimg.com/profile_images/1378844953569325059/CBmJINfM_normal.jpg</t>
  </si>
  <si>
    <t>http://twitter.com/JohnSin12439176/statuses/1520910302803542017</t>
  </si>
  <si>
    <t>{"hashtags":[{"text":"jimmysavile","indices":[47,59]},{"text":"durhampartygate","indices":[61,77]},{"text":"Brexit","indices":[78,85]},{"text":"NeverStarmer","indices":[153,166]}],"symbols":[],"user_mentions":[{"screen_name":"steve_hawkes","name":"Steve Hawkes","id":41394240,"id_str":"41394240","indices":[0,13]}],"urls":[]}</t>
  </si>
  <si>
    <t>1520910233379524610</t>
  </si>
  <si>
    <t>handymelon</t>
  </si>
  <si>
    <t>Sun May 01 23:37:11 +0000 2022</t>
  </si>
  <si>
    <t>1093405430</t>
  </si>
  <si>
    <t>http://pbs.twimg.com/profile_images/1475807947729084416/MYnatnDV_normal.jpg</t>
  </si>
  <si>
    <t>Down by Old Man River Humber</t>
  </si>
  <si>
    <t>http://twitter.com/handymelon/statuses/1520910233379524610</t>
  </si>
  <si>
    <t>1520909824061493249</t>
  </si>
  <si>
    <t>@DailyMailUK @Jacob_Rees_Mogg said they'd be lower after #Brexit isn't that right?</t>
  </si>
  <si>
    <t>Sun May 01 23:35:33 +0000 2022</t>
  </si>
  <si>
    <t>111556423</t>
  </si>
  <si>
    <t>DailyMailUK</t>
  </si>
  <si>
    <t>1520776326239690757</t>
  </si>
  <si>
    <t>http://pbs.twimg.com/profile_images/1513982676604272643/87PWZfra_normal.jpg</t>
  </si>
  <si>
    <t>The North of England UK Europe</t>
  </si>
  <si>
    <t>http://twitter.com/mywonderfulbest/statuses/1520909824061493249</t>
  </si>
  <si>
    <t>{"hashtags":[{"text":"Brexit","indices":[57,64]}],"symbols":[],"user_mentions":[{"screen_name":"DailyMailUK","name":"Daily Mail U.K.","id":111556423,"id_str":"111556423","indices":[0,12]},{"screen_name":"Jacob_Rees_Mogg","name":"Jacob Rees-Mogg","id":885838630928994300,"id_str":"885838630928994304","indices":[13,29]}],"urls":[]}</t>
  </si>
  <si>
    <t>1520909588102631424</t>
  </si>
  <si>
    <t>RT @CrazyBengieFB_: There are fewer cocaine aircraft in the London skies since #covid19 and #BrExit.
It is #right to leave the roman empire #organizedcrime mass of #humantrafficking, #sextrafficking, #guntrafficking, #slavetrade #europeanunion. #paperwork is hated by crooks.
#God #JAHisGreatest</t>
  </si>
  <si>
    <t>Sun May 01 23:34:37 +0000 2022</t>
  </si>
  <si>
    <t>http://twitter.com/CrazyBengieFB_/statuses/1520909588102631424</t>
  </si>
  <si>
    <t>{"hashtags":[{"text":"covid19","indices":[79,87]},{"text":"BrExit","indices":[92,99]},{"text":"right","indices":[108,114]}],"symbols":[],"user_mentions":[{"screen_name":"CrazyBengieFB_","name":"Crazy Bengie F B™","id":234015092,"id_str":"234015092","indices":[3,18]}],"urls":[]}</t>
  </si>
  <si>
    <t>1520909255406088193</t>
  </si>
  <si>
    <t>davee_evans</t>
  </si>
  <si>
    <t>Sun May 01 23:33:18 +0000 2022</t>
  </si>
  <si>
    <t>1028254243</t>
  </si>
  <si>
    <t>http://pbs.twimg.com/profile_images/1138724649100091392/c70gs-X0_normal.jpg</t>
  </si>
  <si>
    <t>http://twitter.com/davee_evans/statuses/1520909255406088193</t>
  </si>
  <si>
    <t>1520909046085263363</t>
  </si>
  <si>
    <t>Laurence_in_EU</t>
  </si>
  <si>
    <t>Sun May 01 23:32:28 +0000 2022</t>
  </si>
  <si>
    <t>1271787274745925637</t>
  </si>
  <si>
    <t>http://pbs.twimg.com/profile_images/1434594123969933313/4th1Awp__normal.jpg</t>
  </si>
  <si>
    <t>same place as Bethel's phone</t>
  </si>
  <si>
    <t>http://twitter.com/Laurence_in_EU/statuses/1520909046085263363</t>
  </si>
  <si>
    <t>1520908984181477378</t>
  </si>
  <si>
    <t>@DailyMailUK That'll be the immigrants you sold #Brexit to.</t>
  </si>
  <si>
    <t>Sun May 01 23:32:13 +0000 2022</t>
  </si>
  <si>
    <t>1520863166972014593</t>
  </si>
  <si>
    <t>http://twitter.com/mywonderfulbest/statuses/1520908984181477378</t>
  </si>
  <si>
    <t>{"hashtags":[{"text":"Brexit","indices":[48,55]}],"symbols":[],"user_mentions":[{"screen_name":"DailyMailUK","name":"Daily Mail U.K.","id":111556423,"id_str":"111556423","indices":[0,12]}],"urls":[]}</t>
  </si>
  <si>
    <t>1520908831408148482</t>
  </si>
  <si>
    <t>jenjeffiner</t>
  </si>
  <si>
    <t>Sun May 01 23:31:37 +0000 2022</t>
  </si>
  <si>
    <t>746632566548086784</t>
  </si>
  <si>
    <t>http://pbs.twimg.com/profile_images/1185318088650186754/52bCMzxi_normal.jpg</t>
  </si>
  <si>
    <t>Halifax, England</t>
  </si>
  <si>
    <t>http://twitter.com/jenjeffiner/statuses/1520908831408148482</t>
  </si>
  <si>
    <t>1520908717243383812</t>
  </si>
  <si>
    <t>Rosal7777</t>
  </si>
  <si>
    <t>Sun May 01 23:31:09 +0000 2022</t>
  </si>
  <si>
    <t>3079868044</t>
  </si>
  <si>
    <t>http://twitter.com/Rosal7777/statuses/1520908717243383812</t>
  </si>
  <si>
    <t>1520908656421838848</t>
  </si>
  <si>
    <t>Trisha81</t>
  </si>
  <si>
    <t>Sun May 01 23:30:55 +0000 2022</t>
  </si>
  <si>
    <t>1144553169021734915</t>
  </si>
  <si>
    <t>http://pbs.twimg.com/profile_images/1391761826787086341/OI-gHHMh_normal.jpg</t>
  </si>
  <si>
    <t>http://twitter.com/Trisha81/statuses/1520908656421838848</t>
  </si>
  <si>
    <t>1520908645000753154</t>
  </si>
  <si>
    <t>Sun May 01 23:30:52 +0000 2022</t>
  </si>
  <si>
    <t>http://twitter.com/dracuk/statuses/1520908645000753154</t>
  </si>
  <si>
    <t>1520908514394361860</t>
  </si>
  <si>
    <t>AndyFarquhar2</t>
  </si>
  <si>
    <t>RT @iandonald_psych: Just to quote @Jacob_Rees_Mogg here : “Free trade is hugely advantageous to consumers” Then perhaps being in a single market with zero trade barriers to the largest trading block in the world would be a good idea. Hard to say more about Mogg without swearing #BrexitLiars #Brexit https://t.co/HpatBurPJ3</t>
  </si>
  <si>
    <t>Sun May 01 23:30:21 +0000 2022</t>
  </si>
  <si>
    <t>600390256</t>
  </si>
  <si>
    <t>http://pbs.twimg.com/profile_images/1345321729309237248/bvf5ns23_normal.jpg</t>
  </si>
  <si>
    <t>Hightown, England</t>
  </si>
  <si>
    <t>http://twitter.com/AndyFarquhar2/statuses/1520908514394361860</t>
  </si>
  <si>
    <t>{"hashtags":[],"symbols":[],"user_mentions":[{"screen_name":"iandonald_psych","name":"Professor Ian Donald","id":3341278667,"id_str":"3341278667","indices":[3,19]},{"screen_name":"Jacob_Rees_Mogg","name":"Jacob Rees-Mogg","id":885838630928994300,"id_str":"885838630928994304","indices":[35,51]}],"urls":[]}</t>
  </si>
  <si>
    <t>1520908489979269120</t>
  </si>
  <si>
    <t>Sun May 01 23:30:15 +0000 2022</t>
  </si>
  <si>
    <t>http://twitter.com/Rosal7777/statuses/1520908489979269120</t>
  </si>
  <si>
    <t>1520908464117239816</t>
  </si>
  <si>
    <t>AnnEllis6</t>
  </si>
  <si>
    <t>Sun May 01 23:30:09 +0000 2022</t>
  </si>
  <si>
    <t>519930215</t>
  </si>
  <si>
    <t>http://pbs.twimg.com/profile_images/1269264348557565953/0GxXMlxM_normal.jpg</t>
  </si>
  <si>
    <t>http://twitter.com/AnnEllis6/statuses/1520908464117239816</t>
  </si>
  <si>
    <t>1520908412892110856</t>
  </si>
  <si>
    <t>Sun May 01 23:29:57 +0000 2022</t>
  </si>
  <si>
    <t>http://twitter.com/dracuk/statuses/1520908412892110856</t>
  </si>
  <si>
    <t>1520908262094344193</t>
  </si>
  <si>
    <t>MrPJLowe</t>
  </si>
  <si>
    <t>Sun May 01 23:29:21 +0000 2022</t>
  </si>
  <si>
    <t>82952403</t>
  </si>
  <si>
    <t>http://pbs.twimg.com/profile_images/1254681070970245121/HsMZFd3W_normal.jpg</t>
  </si>
  <si>
    <t>The Next Corner</t>
  </si>
  <si>
    <t>http://twitter.com/MrPJLowe/statuses/1520908262094344193</t>
  </si>
  <si>
    <t>1520908221929738243</t>
  </si>
  <si>
    <t>meNabster</t>
  </si>
  <si>
    <t>Sun May 01 23:29:11 +0000 2022</t>
  </si>
  <si>
    <t>3263253388</t>
  </si>
  <si>
    <t>http://pbs.twimg.com/profile_images/669193822472167424/zLJ50BK4_normal.jpg</t>
  </si>
  <si>
    <t>http://twitter.com/meNabster/statuses/1520908221929738243</t>
  </si>
  <si>
    <t>1520908212026974208</t>
  </si>
  <si>
    <t>Sun May 01 23:29:09 +0000 2022</t>
  </si>
  <si>
    <t>http://twitter.com/meNabster/statuses/1520908212026974208</t>
  </si>
  <si>
    <t>1520908201427877888</t>
  </si>
  <si>
    <t>Sun May 01 23:29:06 +0000 2022</t>
  </si>
  <si>
    <t>http://twitter.com/meNabster/statuses/1520908201427877888</t>
  </si>
  <si>
    <t>1520908079063343105</t>
  </si>
  <si>
    <t>Infatuatedmd</t>
  </si>
  <si>
    <t>Sun May 01 23:28:37 +0000 2022</t>
  </si>
  <si>
    <t>1103519018</t>
  </si>
  <si>
    <t>http://twitter.com/Infatuatedmd/statuses/1520908079063343105</t>
  </si>
  <si>
    <t>1520907993449222145</t>
  </si>
  <si>
    <t>Sun May 01 23:28:17 +0000 2022</t>
  </si>
  <si>
    <t>http://twitter.com/MrPJLowe/statuses/1520907993449222145</t>
  </si>
  <si>
    <t>1520907854168961025</t>
  </si>
  <si>
    <t>Sun May 01 23:27:44 +0000 2022</t>
  </si>
  <si>
    <t>http://twitter.com/meNabster/statuses/1520907854168961025</t>
  </si>
  <si>
    <t>1520907803782791168</t>
  </si>
  <si>
    <t>georgebernhard</t>
  </si>
  <si>
    <t>Sun May 01 23:27:32 +0000 2022</t>
  </si>
  <si>
    <t>21887613</t>
  </si>
  <si>
    <t>http://pbs.twimg.com/profile_images/1228105849081679878/IP-vMjus_normal.jpg</t>
  </si>
  <si>
    <t>London, Irish Archipelago</t>
  </si>
  <si>
    <t>http://twitter.com/georgebernhard/statuses/1520907803782791168</t>
  </si>
  <si>
    <t>1520907613373935617</t>
  </si>
  <si>
    <t>TristramWyatt</t>
  </si>
  <si>
    <t>Sun May 01 23:26:46 +0000 2022</t>
  </si>
  <si>
    <t>493984182</t>
  </si>
  <si>
    <t>http://pbs.twimg.com/profile_images/1415579471684542464/37hs05qd_normal.jpg</t>
  </si>
  <si>
    <t>http://twitter.com/TristramWyatt/statuses/1520907613373935617</t>
  </si>
  <si>
    <t>1520907556675375105</t>
  </si>
  <si>
    <t>KapilaRK</t>
  </si>
  <si>
    <t>Sun May 01 23:26:33 +0000 2022</t>
  </si>
  <si>
    <t>342305583</t>
  </si>
  <si>
    <t>http://pbs.twimg.com/profile_images/1460562462/P1000559_normal.JPG</t>
  </si>
  <si>
    <t>http://twitter.com/KapilaRK/statuses/1520907556675375105</t>
  </si>
  <si>
    <t>1520907370326597633</t>
  </si>
  <si>
    <t>InlimboV</t>
  </si>
  <si>
    <t>Sun May 01 23:25:48 +0000 2022</t>
  </si>
  <si>
    <t>596527396</t>
  </si>
  <si>
    <t>http://pbs.twimg.com/profile_images/1515691518430007310/vALM1SZU_normal.jpg</t>
  </si>
  <si>
    <t>http://twitter.com/InlimboV/statuses/1520907370326597633</t>
  </si>
  <si>
    <t>1520907208569065481</t>
  </si>
  <si>
    <t>Sun May 01 23:25:10 +0000 2022</t>
  </si>
  <si>
    <t>http://twitter.com/Infatuatedmd/statuses/1520907208569065481</t>
  </si>
  <si>
    <t>1520907144048091136</t>
  </si>
  <si>
    <t>Sun May 01 23:24:54 +0000 2022</t>
  </si>
  <si>
    <t>http://twitter.com/Infatuatedmd/statuses/1520907144048091136</t>
  </si>
  <si>
    <t>1520907143616118785</t>
  </si>
  <si>
    <t>Stanfrank53</t>
  </si>
  <si>
    <t>923976090707734528</t>
  </si>
  <si>
    <t>http://twitter.com/Stanfrank53/statuses/1520907143616118785</t>
  </si>
  <si>
    <t>1520907083796959237</t>
  </si>
  <si>
    <t>Sun May 01 23:24:40 +0000 2022</t>
  </si>
  <si>
    <t>http://twitter.com/dracuk/statuses/1520907083796959237</t>
  </si>
  <si>
    <t>1520907040150929408</t>
  </si>
  <si>
    <t>Sun May 01 23:24:30 +0000 2022</t>
  </si>
  <si>
    <t>http://twitter.com/dracuk/statuses/1520907040150929408</t>
  </si>
  <si>
    <t>1520907018839760897</t>
  </si>
  <si>
    <t>Sun May 01 23:24:25 +0000 2022</t>
  </si>
  <si>
    <t>http://twitter.com/Infatuatedmd/statuses/1520907018839760897</t>
  </si>
  <si>
    <t>1520907003484332033</t>
  </si>
  <si>
    <t>Sun May 01 23:24:21 +0000 2022</t>
  </si>
  <si>
    <t>http://twitter.com/dracuk/statuses/1520907003484332033</t>
  </si>
  <si>
    <t>1520906945552654336</t>
  </si>
  <si>
    <t>Sun May 01 23:24:07 +0000 2022</t>
  </si>
  <si>
    <t>http://twitter.com/dracuk/statuses/1520906945552654336</t>
  </si>
  <si>
    <t>1520906893648138241</t>
  </si>
  <si>
    <t>PeterTelford</t>
  </si>
  <si>
    <t>@pru_eu @GenghisKhan4UK Assume it’s going to hit people who were trying to fly under the radar, don’t meet the requirements for residency. You know, the #Brexit -ers.</t>
  </si>
  <si>
    <t>Sun May 01 23:23:55 +0000 2022</t>
  </si>
  <si>
    <t>1172220793541058561</t>
  </si>
  <si>
    <t>pru_eu</t>
  </si>
  <si>
    <t>404221139</t>
  </si>
  <si>
    <t>1520904936271327232</t>
  </si>
  <si>
    <t>http://pbs.twimg.com/profile_images/1309921887703756805/VorvSlri_normal.jpg</t>
  </si>
  <si>
    <t>SE England</t>
  </si>
  <si>
    <t>http://twitter.com/PeterTelford/statuses/1520906893648138241</t>
  </si>
  <si>
    <t>{"hashtags":[{"text":"Brexit","indices":[153,160]}],"symbols":[],"user_mentions":[{"screen_name":"pru_eu","name":"EU Pru #JOHNSONOUT 🇪🇺🇪🇦🇩🇪🇬🇧🇨🇮🇺🇦","id":1172220793541058600,"id_str":"1172220793541058561","indices":[0,7]},{"screen_name":"GenghisKhan4UK","name":"Genghis Khan’t","id":1342469347198062600,"id_str":"1342469347198062596","indices":[8,23]}],"urls":[]}</t>
  </si>
  <si>
    <t>1520906854875992067</t>
  </si>
  <si>
    <t>lesleypeal</t>
  </si>
  <si>
    <t>Sun May 01 23:23:45 +0000 2022</t>
  </si>
  <si>
    <t>19586239</t>
  </si>
  <si>
    <t>http://pbs.twimg.com/profile_images/718470443552894978/U_PZzo0S_normal.jpg</t>
  </si>
  <si>
    <t>sevenoaks kent england</t>
  </si>
  <si>
    <t>http://twitter.com/lesleypeal/statuses/1520906854875992067</t>
  </si>
  <si>
    <t>1520906836928602113</t>
  </si>
  <si>
    <t>Sun May 01 23:23:41 +0000 2022</t>
  </si>
  <si>
    <t>http://twitter.com/dracuk/statuses/1520906836928602113</t>
  </si>
  <si>
    <t>1520906525048455168</t>
  </si>
  <si>
    <t>goalonthedole</t>
  </si>
  <si>
    <t>Sun May 01 23:22:27 +0000 2022</t>
  </si>
  <si>
    <t>838267590</t>
  </si>
  <si>
    <t>http://pbs.twimg.com/profile_images/471201506788536320/igp3m0yi_normal.jpeg</t>
  </si>
  <si>
    <t>Great Britain</t>
  </si>
  <si>
    <t>http://twitter.com/goalonthedole/statuses/1520906525048455168</t>
  </si>
  <si>
    <t>1520906451547561984</t>
  </si>
  <si>
    <t>RhiD83</t>
  </si>
  <si>
    <t>Sun May 01 23:22:09 +0000 2022</t>
  </si>
  <si>
    <t>20466686</t>
  </si>
  <si>
    <t>http://pbs.twimg.com/profile_images/1486244679117156360/f4IE7JWA_normal.jpg</t>
  </si>
  <si>
    <t>Diff</t>
  </si>
  <si>
    <t>http://twitter.com/RhiD83/statuses/1520906451547561984</t>
  </si>
  <si>
    <t>1520906187952300033</t>
  </si>
  <si>
    <t>barlaventoexp</t>
  </si>
  <si>
    <t>Sun May 01 23:21:06 +0000 2022</t>
  </si>
  <si>
    <t>13088272</t>
  </si>
  <si>
    <t>http://pbs.twimg.com/profile_images/1488820916922556416/DvGLecA1_normal.jpg</t>
  </si>
  <si>
    <t>http://twitter.com/barlaventoexp/statuses/1520906187952300033</t>
  </si>
  <si>
    <t>1520906109535588352</t>
  </si>
  <si>
    <t>trewennack</t>
  </si>
  <si>
    <t>Sun May 01 23:20:48 +0000 2022</t>
  </si>
  <si>
    <t>811159143910359041</t>
  </si>
  <si>
    <t>http://pbs.twimg.com/profile_images/838400948238168065/fEk2osQ9_normal.jpg</t>
  </si>
  <si>
    <t>http://twitter.com/trewennack/statuses/1520906109535588352</t>
  </si>
  <si>
    <t>1520906059761823746</t>
  </si>
  <si>
    <t>JohnBoo85608696</t>
  </si>
  <si>
    <t>Sun May 01 23:20:36 +0000 2022</t>
  </si>
  <si>
    <t>873618956539617286</t>
  </si>
  <si>
    <t>http://pbs.twimg.com/profile_images/1497704279154610177/DgI5PyT0_normal.jpg</t>
  </si>
  <si>
    <t>West Mids, England, EU.</t>
  </si>
  <si>
    <t>http://twitter.com/JohnBoo85608696/statuses/1520906059761823746</t>
  </si>
  <si>
    <t>1520905925112045568</t>
  </si>
  <si>
    <t>AMSM3</t>
  </si>
  <si>
    <t>Sun May 01 23:20:04 +0000 2022</t>
  </si>
  <si>
    <t>292948130</t>
  </si>
  <si>
    <t>http://twitter.com/AMSM3/statuses/1520905925112045568</t>
  </si>
  <si>
    <t>1520905827460292615</t>
  </si>
  <si>
    <t>OthelloFloof</t>
  </si>
  <si>
    <t>Sun May 01 23:19:40 +0000 2022</t>
  </si>
  <si>
    <t>813292557685948417</t>
  </si>
  <si>
    <t>http://pbs.twimg.com/profile_images/1176018045904535552/42YZ3fZG_normal.jpg</t>
  </si>
  <si>
    <t>http://twitter.com/OthelloFloof/statuses/1520905827460292615</t>
  </si>
  <si>
    <t>1520905825589604352</t>
  </si>
  <si>
    <t>Mike_NE25</t>
  </si>
  <si>
    <t>214217434</t>
  </si>
  <si>
    <t>http://pbs.twimg.com/profile_images/1459245859300913155/IQnky-bO_normal.jpg</t>
  </si>
  <si>
    <t>Fareham, England</t>
  </si>
  <si>
    <t>http://twitter.com/Mike_NE25/statuses/1520905825589604352</t>
  </si>
  <si>
    <t>1520905809839935488</t>
  </si>
  <si>
    <t>therealkaz01</t>
  </si>
  <si>
    <t>Sun May 01 23:19:36 +0000 2022</t>
  </si>
  <si>
    <t>2906857109</t>
  </si>
  <si>
    <t>http://pbs.twimg.com/profile_images/1231014543276548097/noLO_iqE_normal.jpg</t>
  </si>
  <si>
    <t>http://twitter.com/therealkaz01/statuses/1520905809839935488</t>
  </si>
  <si>
    <t>1520905701157126146</t>
  </si>
  <si>
    <t>Sun May 01 23:19:10 +0000 2022</t>
  </si>
  <si>
    <t>http://twitter.com/OthelloFloof/statuses/1520905701157126146</t>
  </si>
  <si>
    <t>1520905694291152901</t>
  </si>
  <si>
    <t>Sun May 01 23:19:09 +0000 2022</t>
  </si>
  <si>
    <t>http://twitter.com/therealkaz01/statuses/1520905694291152901</t>
  </si>
  <si>
    <t>1520905593183260674</t>
  </si>
  <si>
    <t>Mark_Bloomfield</t>
  </si>
  <si>
    <t>Sun May 01 23:18:45 +0000 2022</t>
  </si>
  <si>
    <t>19717161</t>
  </si>
  <si>
    <t>http://pbs.twimg.com/profile_images/1231476277372170240/C2p9azfk_normal.jpg</t>
  </si>
  <si>
    <t>Royal Tunbridge Wells, England</t>
  </si>
  <si>
    <t>http://twitter.com/Mark_Bloomfield/statuses/1520905593183260674</t>
  </si>
  <si>
    <t>1520905573176422400</t>
  </si>
  <si>
    <t>Tah72388211</t>
  </si>
  <si>
    <t>RT @OutspokenSphere: @steve_hawkes Respecting democracy, pact with UK haters @LibDems 🤔#BeerwithKeir ?
#LabourLies #LocalElections2022 #durhampartygate #labourdoorstep #Brexit https://t.co/rtN15qoylS</t>
  </si>
  <si>
    <t>Sun May 01 23:18:40 +0000 2022</t>
  </si>
  <si>
    <t>1205938444507238401</t>
  </si>
  <si>
    <t>http://pbs.twimg.com/profile_images/1347643535445663751/enrobbXb_normal.jpg</t>
  </si>
  <si>
    <t>http://twitter.com/Tah72388211/statuses/1520905573176422400</t>
  </si>
  <si>
    <t>{"hashtags":[{"text":"BeerwithKeir","indices":[87,100]},{"text":"LabourLies","indices":[103,114]},{"text":"LocalElections2022","indices":[115,134]}],"symbols":[],"user_mentions":[{"screen_name":"OutspokenSphere","name":"OutspokenWorld","id":1369998682607804400,"id_str":"1369998682607804425","indices":[3,19]},{"screen_name":"steve_hawkes","name":"Steve Hawkes","id":41394240,"id_str":"41394240","indices":[21,34]},{"screen_name":"LibDems","name":"Liberal Democrats","id":5680622,"id_str":"5680622","indices":[77,85]}],"urls":[]}</t>
  </si>
  <si>
    <t>1520905373628219392</t>
  </si>
  <si>
    <t>PeterWi19446290</t>
  </si>
  <si>
    <t>Sun May 01 23:17:52 +0000 2022</t>
  </si>
  <si>
    <t>1511748107230486532</t>
  </si>
  <si>
    <t>http://pbs.twimg.com/profile_images/1511749810558283786/GvJQ26xM_normal.jpg</t>
  </si>
  <si>
    <t xml:space="preserve">Spain </t>
  </si>
  <si>
    <t>http://twitter.com/PeterWi19446290/statuses/1520905373628219392</t>
  </si>
  <si>
    <t>1520905340669378566</t>
  </si>
  <si>
    <t>Sun May 01 23:17:44 +0000 2022</t>
  </si>
  <si>
    <t>http://twitter.com/PeterWi19446290/statuses/1520905340669378566</t>
  </si>
  <si>
    <t>1520905335766233096</t>
  </si>
  <si>
    <t>BernardMcEldown</t>
  </si>
  <si>
    <t>Local Council's don't have the power to overturn #Brexit, you lying Twat!! https://t.co/ZtU7LGN5ZS</t>
  </si>
  <si>
    <t>Sun May 01 23:17:43 +0000 2022</t>
  </si>
  <si>
    <t>431023014</t>
  </si>
  <si>
    <t>http://pbs.twimg.com/profile_images/1441222866264076290/9vscQIak_normal.jpg</t>
  </si>
  <si>
    <t>Bromsgrove, Worcestershire</t>
  </si>
  <si>
    <t>http://twitter.com/BernardMcEldown/statuses/1520905335766233096</t>
  </si>
  <si>
    <t>{"hashtags":[{"text":"Brexit","indices":[49,56]}],"symbols":[],"user_mentions":[],"urls":[{"url":"https://t.co/ZtU7LGN5ZS","expanded_url":"https://twitter.com/markjenkinsonmp/status/1520848392368402433","display_url":"twitter.com/markjenkinsonm…","indices":[75,98]}]}</t>
  </si>
  <si>
    <t>1520905270406299649</t>
  </si>
  <si>
    <t>Sun May 01 23:17:28 +0000 2022</t>
  </si>
  <si>
    <t>http://twitter.com/barlaventoexp/statuses/1520905270406299649</t>
  </si>
  <si>
    <t>1520905259597631489</t>
  </si>
  <si>
    <t>Sun May 01 23:17:25 +0000 2022</t>
  </si>
  <si>
    <t>http://twitter.com/PeterWi19446290/statuses/1520905259597631489</t>
  </si>
  <si>
    <t>1520905243885768704</t>
  </si>
  <si>
    <t>ScrewedContrac1</t>
  </si>
  <si>
    <t>Sun May 01 23:17:21 +0000 2022</t>
  </si>
  <si>
    <t>1204373244498915329</t>
  </si>
  <si>
    <t>http://pbs.twimg.com/profile_images/1315637432864444417/R_jL0u4i_normal.jpg</t>
  </si>
  <si>
    <t>Somewhere on planet Earth</t>
  </si>
  <si>
    <t>http://twitter.com/ScrewedContrac1/statuses/1520905243885768704</t>
  </si>
  <si>
    <t>1520905073433493504</t>
  </si>
  <si>
    <t>guyson_7</t>
  </si>
  <si>
    <t>Sun May 01 23:16:41 +0000 2022</t>
  </si>
  <si>
    <t>314231336</t>
  </si>
  <si>
    <t>http://pbs.twimg.com/profile_images/706265624461352962/SHhLNSSS_normal.jpg</t>
  </si>
  <si>
    <t>http://twitter.com/guyson_7/statuses/1520905073433493504</t>
  </si>
  <si>
    <t>1520904733636050945</t>
  </si>
  <si>
    <t>DrDavidRSewell</t>
  </si>
  <si>
    <t>Sun May 01 23:15:20 +0000 2022</t>
  </si>
  <si>
    <t>93731524</t>
  </si>
  <si>
    <t>http://pbs.twimg.com/profile_images/1193631665156952070/hfBXquvc_normal.jpg</t>
  </si>
  <si>
    <t>http://twitter.com/DrDavidRSewell/statuses/1520904733636050945</t>
  </si>
  <si>
    <t>1520904721103523841</t>
  </si>
  <si>
    <t>MrsMoys</t>
  </si>
  <si>
    <t>Sun May 01 23:15:17 +0000 2022</t>
  </si>
  <si>
    <t>803562671304019968</t>
  </si>
  <si>
    <t>http://pbs.twimg.com/profile_images/1520386094537261056/HOZOGSbG_normal.jpg</t>
  </si>
  <si>
    <t>In the Chilterns.</t>
  </si>
  <si>
    <t>http://twitter.com/MrsMoys/statuses/1520904721103523841</t>
  </si>
  <si>
    <t>1520904696524939264</t>
  </si>
  <si>
    <t>hooshymally</t>
  </si>
  <si>
    <t>Sun May 01 23:15:11 +0000 2022</t>
  </si>
  <si>
    <t>47897332</t>
  </si>
  <si>
    <t>http://pbs.twimg.com/profile_images/300655131/112003_normal.jpeg</t>
  </si>
  <si>
    <t>http://twitter.com/hooshymally/statuses/1520904696524939264</t>
  </si>
  <si>
    <t>1520904645832548353</t>
  </si>
  <si>
    <t>Sun May 01 23:14:59 +0000 2022</t>
  </si>
  <si>
    <t>http://twitter.com/DrDavidRSewell/statuses/1520904645832548353</t>
  </si>
  <si>
    <t>1520904519609163779</t>
  </si>
  <si>
    <t>makadaw</t>
  </si>
  <si>
    <t>Sun May 01 23:14:29 +0000 2022</t>
  </si>
  <si>
    <t>40249753</t>
  </si>
  <si>
    <t>http://pbs.twimg.com/profile_images/1368935203482263553/MYKYwTlK_normal.jpg</t>
  </si>
  <si>
    <t>http://twitter.com/makadaw/statuses/1520904519609163779</t>
  </si>
  <si>
    <t>1520904484939083778</t>
  </si>
  <si>
    <t>Dr__H__Lekter</t>
  </si>
  <si>
    <t>#JohnsonOut97 #ScottishIndependence #JohnsonTheLiar #Brexit #BrexitHasFailed #NeverTrustATory #LiarNotALeader #ToryLiars #ToriesOut5thMay #TorySleaze #VoteLabour #Growlergate #gingergrowler #ToryShambles #ToriesLie #ToryLies #ToryCorruption  Angela Rayner  Sexist of the Year https://t.co/NFYQhaGP8Z</t>
  </si>
  <si>
    <t>Sun May 01 23:14:20 +0000 2022</t>
  </si>
  <si>
    <t>1453753755321708547</t>
  </si>
  <si>
    <t>http://pbs.twimg.com/profile_images/1489200827122212869/oXh-HN0L_normal.jpg</t>
  </si>
  <si>
    <t>http://twitter.com/Dr__H__Lekter/statuses/1520904484939083778</t>
  </si>
  <si>
    <t>{"hashtags":[{"text":"JohnsonOut97","indices":[0,13]},{"text":"ScottishIndependence","indices":[14,35]},{"text":"JohnsonTheLiar","indices":[36,51]},{"text":"Brexit","indices":[52,59]},{"text":"BrexitHasFailed","indices":[60,76]},{"text":"NeverTrustATory","indices":[77,93]},{"text":"LiarNotALeader","indices":[94,109]},{"text":"ToryLiars","indices":[110,120]},{"text":"ToriesOut5thMay","indices":[121,137]},{"text":"TorySleaze","indices":[138,149]},{"text":"VoteLabour","indices":[150,161]},{"text":"Growlergate","indices":[162,174]},{"text":"gingergrowler","indices":[175,189]},{"text":"ToryShambles","indices":[190,203]},{"text":"ToriesLie","indices":[204,214]},{"text":"ToryLies","indices":[215,224]},{"text":"ToryCorruption","indices":[225,240]}],"symbols":[],"user_mentions":[],"urls":[],"media":[{"id":1520904464810578000,"id_str":"1520904464810577920","indices":[276,299],"media_url":"http://pbs.twimg.com/media/FRtWjXpXEAADV0C.jpg","media_url_https":"https://pbs.twimg.com/media/FRtWjXpXEAADV0C.jpg","url":"https://t.co/NFYQhaGP8Z","display_url":"pic.twitter.com/NFYQhaGP8Z","expanded_url":"https://twitter.com/Dr__H__Lekter/status/1520904484939083778/photo/1","type":"photo","sizes":{"thumb":{"w":150,"h":150,"resize":"crop"},"medium":{"w":600,"h":364,"resize":"fit"},"large":{"w":600,"h":364,"resize":"fit"},"small":{"w":600,"h":364,"resize":"fit"}}}]}</t>
  </si>
  <si>
    <t>1520904461291507712</t>
  </si>
  <si>
    <t>roger_heywood</t>
  </si>
  <si>
    <t>@BBCNews becoming more pathetic by the day
Remember #Brexit ?
And what about #Partygate ? https://t.co/wNh6g0VHoc</t>
  </si>
  <si>
    <t>Sun May 01 23:14:15 +0000 2022</t>
  </si>
  <si>
    <t>612473</t>
  </si>
  <si>
    <t>BBCNews</t>
  </si>
  <si>
    <t>907940824121528321</t>
  </si>
  <si>
    <t>http://pbs.twimg.com/profile_images/939777045436993536/oYHVfFka_normal.jpg</t>
  </si>
  <si>
    <t>http://twitter.com/roger_heywood/statuses/1520904461291507712</t>
  </si>
  <si>
    <t>{"hashtags":[{"text":"Brexit","indices":[53,60]},{"text":"Partygate","indices":[79,89]}],"symbols":[],"user_mentions":[{"screen_name":"BBCNews","name":"BBC News (UK)","id":612473,"id_str":"612473","indices":[0,8]}],"urls":[{"url":"https://t.co/wNh6g0VHoc","expanded_url":"https://twitter.com/jolyonmaugham/status/1520805208095440897","display_url":"twitter.com/jolyonmaugham/…","indices":[92,115]}]}</t>
  </si>
  <si>
    <t>1520904426063544323</t>
  </si>
  <si>
    <t>JackyHilary</t>
  </si>
  <si>
    <t>Sun May 01 23:14:06 +0000 2022</t>
  </si>
  <si>
    <t>370311440</t>
  </si>
  <si>
    <t>http://pbs.twimg.com/profile_images/1290416798844637184/KQIaDkYc_normal.jpg</t>
  </si>
  <si>
    <t>http://twitter.com/JackyHilary/statuses/1520904426063544323</t>
  </si>
  <si>
    <t>1520904377183223808</t>
  </si>
  <si>
    <t>RT @Dr__H__Lekter: #JohnsonOut97 #ScottishIndependence #JohnsonTheLiar #Brexit #BrexitHasFailed #NeverTrustATory #LiarNotALeader #ToryLiars #ToriesOut5thMay #TorySleaze #VoteLabour #Growlergate #gingergrowler #ToryShambles #ToryLies #ToryCorruption  Angela Rayner thatcher Sexist of the Year https://t.co/G9j2hc1CeX</t>
  </si>
  <si>
    <t>Sun May 01 23:13:55 +0000 2022</t>
  </si>
  <si>
    <t>http://twitter.com/makadaw/statuses/1520904377183223808</t>
  </si>
  <si>
    <t>1520904306412687361</t>
  </si>
  <si>
    <t>Sun May 01 23:13:38 +0000 2022</t>
  </si>
  <si>
    <t>http://twitter.com/makadaw/statuses/1520904306412687361</t>
  </si>
  <si>
    <t>1520904247201644549</t>
  </si>
  <si>
    <t>EssiemfWilson</t>
  </si>
  <si>
    <t>Sun May 01 23:13:24 +0000 2022</t>
  </si>
  <si>
    <t>1569052392</t>
  </si>
  <si>
    <t>http://twitter.com/EssiemfWilson/statuses/1520904247201644549</t>
  </si>
  <si>
    <t>1520904216449282048</t>
  </si>
  <si>
    <t>#JohnsonOut97 #ScottishIndependence #JohnsonTheLiar #Brexit #BrexitHasFailed #NeverTrustATory #LiarNotALeader #ToryLiars #ToriesOut5thMay #TorySleaze #VoteLabour #Growlergate #gingergrowler #ToryShambles #ToriesLie #ToryLies #ToryCorruption  Angela Rayner  Sexist of the Year https://t.co/qPhENbpVC5</t>
  </si>
  <si>
    <t>Sun May 01 23:13:16 +0000 2022</t>
  </si>
  <si>
    <t>http://twitter.com/Dr__H__Lekter/statuses/1520904216449282048</t>
  </si>
  <si>
    <t>{"hashtags":[{"text":"JohnsonOut97","indices":[0,13]},{"text":"ScottishIndependence","indices":[14,35]},{"text":"JohnsonTheLiar","indices":[36,51]},{"text":"Brexit","indices":[52,59]},{"text":"BrexitHasFailed","indices":[60,76]},{"text":"NeverTrustATory","indices":[77,93]},{"text":"LiarNotALeader","indices":[94,109]},{"text":"ToryLiars","indices":[110,120]},{"text":"ToriesOut5thMay","indices":[121,137]},{"text":"TorySleaze","indices":[138,149]},{"text":"VoteLabour","indices":[150,161]},{"text":"Growlergate","indices":[162,174]},{"text":"gingergrowler","indices":[175,189]},{"text":"ToryShambles","indices":[190,203]},{"text":"ToriesLie","indices":[204,214]},{"text":"ToryLies","indices":[215,224]},{"text":"ToryCorruption","indices":[225,240]}],"symbols":[],"user_mentions":[],"urls":[],"media":[{"id":1520904174304641000,"id_str":"1520904174304641028","indices":[276,299],"media_url":"http://pbs.twimg.com/media/FRtWSdbWQAQ44lP.jpg","media_url_https":"https://pbs.twimg.com/media/FRtWSdbWQAQ44lP.jpg","url":"https://t.co/qPhENbpVC5","display_url":"pic.twitter.com/qPhENbpVC5","expanded_url":"https://twitter.com/Dr__H__Lekter/status/1520904216449282048/photo/1","type":"photo","sizes":{"small":{"w":680,"h":434,"resize":"fit"},"thumb":{"w":150,"h":150,"resize":"crop"},"medium":{"w":1200,"h":766,"resize":"fit"},"large":{"w":1200,"h":766,"resize":"fit"}}}]}</t>
  </si>
  <si>
    <t>1520904191488806912</t>
  </si>
  <si>
    <t>hassanrh</t>
  </si>
  <si>
    <t>Sun May 01 23:13:10 +0000 2022</t>
  </si>
  <si>
    <t>302869965</t>
  </si>
  <si>
    <t>http://pbs.twimg.com/profile_images/756818955348697088/MEAO7SEp_normal.jpg</t>
  </si>
  <si>
    <t>http://twitter.com/hassanrh/statuses/1520904191488806912</t>
  </si>
  <si>
    <t>1520904073352028160</t>
  </si>
  <si>
    <t>dholland422</t>
  </si>
  <si>
    <t>RT @Dr__H__Lekter: #JohnsonOut97 #ScottishIndependence #JohnsonTheLiar #Brexit #BrexitHasFailed #NeverTrustATory #LiarNotALeader #ToryLiars #ToriesOut5thMay #TorySleaze #VoteLabour #Growlergate #gingergrowler #ToryShambles #ToriesLie #ToryLies #ToryCorruption  Angela Rayner  Sexist of the Year https://t.co/hbzIKosnci https://t.co/W4D85eEYs2</t>
  </si>
  <si>
    <t>Sun May 01 23:12:42 +0000 2022</t>
  </si>
  <si>
    <t>442437582</t>
  </si>
  <si>
    <t>http://pbs.twimg.com/profile_images/1705369073/n837705144_2339926_8938_1__normal.jpg</t>
  </si>
  <si>
    <t>Everywhere</t>
  </si>
  <si>
    <t>http://twitter.com/dholland422/statuses/1520904073352028160</t>
  </si>
  <si>
    <t>1520904046885969920</t>
  </si>
  <si>
    <t>#JohnsonOut97 #ScottishIndependence #JohnsonTheLiar #Brexit #BrexitHasFailed #NeverTrustATory #LiarNotALeader #ToryLiars #ToriesOut5thMay #TorySleaze #VoteLabour #Growlergate #gingergrowler #ToryShambles #ToriesLie #ToryLies #ToryCorruption  Angela Rayner  Sexist of the Year https://t.co/ocsQtAh4yC</t>
  </si>
  <si>
    <t>Sun May 01 23:12:36 +0000 2022</t>
  </si>
  <si>
    <t>http://twitter.com/Dr__H__Lekter/statuses/1520904046885969920</t>
  </si>
  <si>
    <t>{"hashtags":[{"text":"JohnsonOut97","indices":[0,13]},{"text":"ScottishIndependence","indices":[14,35]},{"text":"JohnsonTheLiar","indices":[36,51]},{"text":"Brexit","indices":[52,59]},{"text":"BrexitHasFailed","indices":[60,76]},{"text":"NeverTrustATory","indices":[77,93]},{"text":"LiarNotALeader","indices":[94,109]},{"text":"ToryLiars","indices":[110,120]},{"text":"ToriesOut5thMay","indices":[121,137]},{"text":"TorySleaze","indices":[138,149]},{"text":"VoteLabour","indices":[150,161]},{"text":"Growlergate","indices":[162,174]},{"text":"gingergrowler","indices":[175,189]},{"text":"ToryShambles","indices":[190,203]},{"text":"ToriesLie","indices":[204,214]},{"text":"ToryLies","indices":[215,224]},{"text":"ToryCorruption","indices":[225,240]}],"symbols":[],"user_mentions":[],"urls":[],"media":[{"id":1520903977948393500,"id_str":"1520903977948393472","indices":[276,299],"media_url":"http://pbs.twimg.com/media/FRtWHB8XsAARlsd.jpg","media_url_https":"https://pbs.twimg.com/media/FRtWHB8XsAARlsd.jpg","url":"https://t.co/ocsQtAh4yC","display_url":"pic.twitter.com/ocsQtAh4yC","expanded_url":"https://twitter.com/Dr__H__Lekter/status/1520904046885969920/photo/1","type":"photo","sizes":{"thumb":{"w":150,"h":150,"resize":"crop"},"small":{"w":625,"h":680,"resize":"fit"},"medium":{"w":827,"h":900,"resize":"fit"},"large":{"w":827,"h":900,"resize":"fit"}}}]}</t>
  </si>
  <si>
    <t>1520903848164052993</t>
  </si>
  <si>
    <t>#JohnsonOut97 #ScottishIndependence #JohnsonTheLiar #Brexit #BrexitHasFailed #NeverTrustATory #LiarNotALeader #ToryLiars #ToriesOut5thMay #TorySleaze #VoteLabour #Growlergate #gingergrowler #ToryShambles #ToriesLie #ToryLies #ToryCorruption  Angela Rayner  Sexist of the Year https://t.co/hbzIKosnci https://t.co/W4D85eEYs2</t>
  </si>
  <si>
    <t>Sun May 01 23:11:49 +0000 2022</t>
  </si>
  <si>
    <t>http://twitter.com/Dr__H__Lekter/statuses/1520903848164052993</t>
  </si>
  <si>
    <t>{"hashtags":[{"text":"JohnsonOut97","indices":[0,13]},{"text":"ScottishIndependence","indices":[14,35]},{"text":"JohnsonTheLiar","indices":[36,51]},{"text":"Brexit","indices":[52,59]},{"text":"BrexitHasFailed","indices":[60,76]},{"text":"NeverTrustATory","indices":[77,93]},{"text":"LiarNotALeader","indices":[94,109]},{"text":"ToryLiars","indices":[110,120]},{"text":"ToriesOut5thMay","indices":[121,137]},{"text":"TorySleaze","indices":[138,149]},{"text":"VoteLabour","indices":[150,161]},{"text":"Growlergate","indices":[162,174]},{"text":"gingergrowler","indices":[175,189]},{"text":"ToryShambles","indices":[190,203]},{"text":"ToriesLie","indices":[204,214]},{"text":"ToryLies","indices":[215,224]},{"text":"ToryCorruption","indices":[225,240]}],"symbols":[],"user_mentions":[],"urls":[{"url":"https://t.co/hbzIKosnci","expanded_url":"https://twitter.com/ozmanodious/status/1520894030229475328","display_url":"twitter.com/ozmanodious/st…","indices":[276,299]}],"media":[{"id":1520903827955892200,"id_str":"1520903827955892225","indices":[300,323],"media_url":"http://pbs.twimg.com/media/FRtV-TLXwAEx0tW.jpg","media_url_https":"https://pbs.twimg.com/media/FRtV-TLXwAEx0tW.jpg","url":"https://t.co/W4D85eEYs2","display_url":"pic.twitter.com/W4D85eEYs2","expanded_url":"https://twitter.com/Dr__H__Lekter/status/1520903848164052993/photo/1","type":"photo","sizes":{"thumb":{"w":150,"h":150,"resize":"crop"},"medium":{"w":900,"h":900,"resize":"fit"},"small":{"w":680,"h":680,"resize":"fit"},"large":{"w":900,"h":900,"resize":"fit"}}}]}</t>
  </si>
  <si>
    <t>1520903688432365569</t>
  </si>
  <si>
    <t>JasmineIshika</t>
  </si>
  <si>
    <t>Sun May 01 23:11:11 +0000 2022</t>
  </si>
  <si>
    <t>773151133854474240</t>
  </si>
  <si>
    <t>http://pbs.twimg.com/profile_images/773463260158984192/NPPkqVAc_normal.jpg</t>
  </si>
  <si>
    <t>East Ham, London</t>
  </si>
  <si>
    <t>http://twitter.com/JasmineIshika/statuses/1520903688432365569</t>
  </si>
  <si>
    <t>1520903662083756032</t>
  </si>
  <si>
    <t>alex_kovaleski</t>
  </si>
  <si>
    <t>Sun May 01 23:11:04 +0000 2022</t>
  </si>
  <si>
    <t>1697751708</t>
  </si>
  <si>
    <t>http://pbs.twimg.com/profile_images/378800000354356513/eb26ebc78660378254e2886596693f13_normal.jpeg</t>
  </si>
  <si>
    <t>http://twitter.com/alex_kovaleski/statuses/1520903662083756032</t>
  </si>
  <si>
    <t>1520903407552569344</t>
  </si>
  <si>
    <t>PedalTrill</t>
  </si>
  <si>
    <t>Dismayed by the claim that even Stuart Rose can't admit the impact of #Brexit. 
If true, one has to wonder how rational economists sleep at night. Until you admit the problem you can't solve it. Do we really have to have a change of government to stop this downward spiral? https://t.co/rY49ewjUCe</t>
  </si>
  <si>
    <t>Sun May 01 23:10:04 +0000 2022</t>
  </si>
  <si>
    <t>269352991</t>
  </si>
  <si>
    <t>http://pbs.twimg.com/profile_images/378800000371645203/7be272e1756cea222dce68757fc0ee2d_normal.jpeg</t>
  </si>
  <si>
    <t>http://twitter.com/PedalTrill/statuses/1520903407552569344</t>
  </si>
  <si>
    <t>{"hashtags":[{"text":"Brexit","indices":[70,77]}],"symbols":[],"user_mentions":[],"urls":[{"url":"https://t.co/rY49ewjUCe","expanded_url":"https://twitter.com/Anna_Soubry/status/1520749250463866880","display_url":"twitter.com/Anna_Soubry/st…","indices":[275,298]}]}</t>
  </si>
  <si>
    <t>1520903341248811009</t>
  </si>
  <si>
    <t>DjokoD</t>
  </si>
  <si>
    <t>Sun May 01 23:09:48 +0000 2022</t>
  </si>
  <si>
    <t>197556227</t>
  </si>
  <si>
    <t>http://pbs.twimg.com/profile_images/1135338551/Serbia2010_020_normal.JPG</t>
  </si>
  <si>
    <t xml:space="preserve">Leeds </t>
  </si>
  <si>
    <t>http://twitter.com/DjokoD/statuses/1520903341248811009</t>
  </si>
  <si>
    <t>1520903324702289921</t>
  </si>
  <si>
    <t>Sun May 01 23:09:44 +0000 2022</t>
  </si>
  <si>
    <t>http://twitter.com/DjokoD/statuses/1520903324702289921</t>
  </si>
  <si>
    <t>1520903315550347264</t>
  </si>
  <si>
    <t>Sun May 01 23:09:42 +0000 2022</t>
  </si>
  <si>
    <t>http://twitter.com/DjokoD/statuses/1520903315550347264</t>
  </si>
  <si>
    <t>1520903299444224002</t>
  </si>
  <si>
    <t>missmarylikes</t>
  </si>
  <si>
    <t>Sun May 01 23:09:38 +0000 2022</t>
  </si>
  <si>
    <t>325729546</t>
  </si>
  <si>
    <t>http://pbs.twimg.com/profile_images/1417705101/Willy_Party_Forks_normal.jpg</t>
  </si>
  <si>
    <t>Derry</t>
  </si>
  <si>
    <t>http://twitter.com/missmarylikes/statuses/1520903299444224002</t>
  </si>
  <si>
    <t>1520903251931115521</t>
  </si>
  <si>
    <t>robeagleSS</t>
  </si>
  <si>
    <t>Sun May 01 23:09:26 +0000 2022</t>
  </si>
  <si>
    <t>1244447977</t>
  </si>
  <si>
    <t>http://pbs.twimg.com/profile_images/1136567070206898180/YPRMbhj0_normal.jpg</t>
  </si>
  <si>
    <t>The Void</t>
  </si>
  <si>
    <t>http://twitter.com/robeagleSS/statuses/1520903251931115521</t>
  </si>
  <si>
    <t>1520903190132277248</t>
  </si>
  <si>
    <t>SAdefiranye</t>
  </si>
  <si>
    <t>Sun May 01 23:09:12 +0000 2022</t>
  </si>
  <si>
    <t>814942403832455169</t>
  </si>
  <si>
    <t>http://pbs.twimg.com/profile_images/814949156364156929/jcdPvw_M_normal.jpg</t>
  </si>
  <si>
    <t>http://twitter.com/SAdefiranye/statuses/1520903190132277248</t>
  </si>
  <si>
    <t>1520902953649025025</t>
  </si>
  <si>
    <t>solutionistAl</t>
  </si>
  <si>
    <t>Sun May 01 23:08:15 +0000 2022</t>
  </si>
  <si>
    <t>61738370</t>
  </si>
  <si>
    <t>http://pbs.twimg.com/profile_images/1246701766894329857/FeCO0dK__normal.jpg</t>
  </si>
  <si>
    <t>uk</t>
  </si>
  <si>
    <t>http://twitter.com/solutionistAl/statuses/1520902953649025025</t>
  </si>
  <si>
    <t>1520902937421262851</t>
  </si>
  <si>
    <t>PHandwright</t>
  </si>
  <si>
    <t>Sun May 01 23:08:11 +0000 2022</t>
  </si>
  <si>
    <t>1224413982817226752</t>
  </si>
  <si>
    <t>http://pbs.twimg.com/profile_images/1404587678574825472/I9PGsrSn_normal.jpg</t>
  </si>
  <si>
    <t>http://twitter.com/PHandwright/statuses/1520902937421262851</t>
  </si>
  <si>
    <t>1520902712350711810</t>
  </si>
  <si>
    <t>XXX1946</t>
  </si>
  <si>
    <t>Sun May 01 23:07:18 +0000 2022</t>
  </si>
  <si>
    <t>227843834</t>
  </si>
  <si>
    <t>http://pbs.twimg.com/profile_images/1502100367991095310/A9ahtZ8i_normal.jpg</t>
  </si>
  <si>
    <t>Leicester. UK</t>
  </si>
  <si>
    <t>http://twitter.com/XXX1946/statuses/1520902712350711810</t>
  </si>
  <si>
    <t>1520902656910262274</t>
  </si>
  <si>
    <t>whataboutyehi</t>
  </si>
  <si>
    <t>@fiona_ferg Tell us about your support for #brexit Fiona?</t>
  </si>
  <si>
    <t>Sun May 01 23:07:05 +0000 2022</t>
  </si>
  <si>
    <t>26866044</t>
  </si>
  <si>
    <t>fiona_ferg</t>
  </si>
  <si>
    <t>829928560743763969</t>
  </si>
  <si>
    <t>1520809168659230720</t>
  </si>
  <si>
    <t>http://pbs.twimg.com/profile_images/1415508969104105472/_gv9rI_9_normal.jpg</t>
  </si>
  <si>
    <t>Don't look behind you!</t>
  </si>
  <si>
    <t>http://twitter.com/whataboutyehi/statuses/1520902656910262274</t>
  </si>
  <si>
    <t>{"hashtags":[{"text":"brexit","indices":[43,50]}],"symbols":[],"user_mentions":[{"screen_name":"fiona_ferg","name":"Cllr Fiona Ferguson","id":26866044,"id_str":"26866044","indices":[0,11]}],"urls":[]}</t>
  </si>
  <si>
    <t>1520902469320069122</t>
  </si>
  <si>
    <t>agnesmurray32</t>
  </si>
  <si>
    <t>Sun May 01 23:06:20 +0000 2022</t>
  </si>
  <si>
    <t>2528923222</t>
  </si>
  <si>
    <t>http://pbs.twimg.com/profile_images/593556979668426754/u_smrZTy_normal.jpg</t>
  </si>
  <si>
    <t>Forkhill</t>
  </si>
  <si>
    <t>http://twitter.com/agnesmurray32/statuses/1520902469320069122</t>
  </si>
  <si>
    <t>1520902447778181120</t>
  </si>
  <si>
    <t>CraigTribe2</t>
  </si>
  <si>
    <t>Sun May 01 23:06:15 +0000 2022</t>
  </si>
  <si>
    <t>1003692139056951298</t>
  </si>
  <si>
    <t>http://pbs.twimg.com/profile_images/1498020131158605825/4chs3VnJ_normal.jpg</t>
  </si>
  <si>
    <t>http://twitter.com/CraigTribe2/statuses/1520902447778181120</t>
  </si>
  <si>
    <t>1520902202767855617</t>
  </si>
  <si>
    <t>JonnyShiraz</t>
  </si>
  <si>
    <t>Sun May 01 23:05:16 +0000 2022</t>
  </si>
  <si>
    <t>3374710840</t>
  </si>
  <si>
    <t>http://pbs.twimg.com/profile_images/623966524034936832/w47w8tHT_normal.jpg</t>
  </si>
  <si>
    <t>Island off France/Europe</t>
  </si>
  <si>
    <t>http://twitter.com/JonnyShiraz/statuses/1520902202767855617</t>
  </si>
  <si>
    <t>1520901968939655169</t>
  </si>
  <si>
    <t>BrexitPirates</t>
  </si>
  <si>
    <t>RT @BrexitPirates: By inflicting heavy defeats on the Conservatives at the #LocalElections2022, we will be closer to getting #JohnsonOut and the #ToriesOut.
Only then can we #TakeBackDemocracy, start undoing the damage of #Brexit, and plot our course to #RejoinEU.
https://t.co/f5Jr6vikNw https://t.co/7H5WrOTWue</t>
  </si>
  <si>
    <t>Sun May 01 23:04:21 +0000 2022</t>
  </si>
  <si>
    <t>1466829518274969609</t>
  </si>
  <si>
    <t>http://pbs.twimg.com/profile_images/1466830350487887877/fK92Y94w_normal.jpg</t>
  </si>
  <si>
    <t>http://twitter.com/BrexitPirates/statuses/1520901968939655169</t>
  </si>
  <si>
    <t>{"hashtags":[{"text":"LocalElections2022","indices":[75,94]},{"text":"JohnsonOut","indices":[125,136]}],"symbols":[],"user_mentions":[{"screen_name":"BrexitPirates","name":"Brexit Pirates","id":1466829518274969600,"id_str":"1466829518274969609","indices":[3,17]}],"urls":[]}</t>
  </si>
  <si>
    <t>1520901947267731456</t>
  </si>
  <si>
    <t>jet9341</t>
  </si>
  <si>
    <t>Sun May 01 23:04:15 +0000 2022</t>
  </si>
  <si>
    <t>1100867990952820737</t>
  </si>
  <si>
    <t>http://pbs.twimg.com/profile_images/1363418900298358784/vTKNpoJQ_normal.jpg</t>
  </si>
  <si>
    <t>http://twitter.com/jet9341/statuses/1520901947267731456</t>
  </si>
  <si>
    <t>1520901918989631489</t>
  </si>
  <si>
    <t>alecsalt</t>
  </si>
  <si>
    <t>Sun May 01 23:04:09 +0000 2022</t>
  </si>
  <si>
    <t>220696513</t>
  </si>
  <si>
    <t>http://pbs.twimg.com/profile_images/1458167664/134_normal.JPG</t>
  </si>
  <si>
    <t>http://twitter.com/alecsalt/statuses/1520901918989631489</t>
  </si>
  <si>
    <t>1520901812630528000</t>
  </si>
  <si>
    <t>DCHutchings</t>
  </si>
  <si>
    <t>Sun May 01 23:03:43 +0000 2022</t>
  </si>
  <si>
    <t>1075528272723828738</t>
  </si>
  <si>
    <t>http://pbs.twimg.com/profile_images/1075539269291294721/5lbiaHgz_normal.jpg</t>
  </si>
  <si>
    <t>Bishopbriggs, Scotland</t>
  </si>
  <si>
    <t>http://twitter.com/DCHutchings/statuses/1520901812630528000</t>
  </si>
  <si>
    <t>1520901726462697476</t>
  </si>
  <si>
    <t>ade_firth</t>
  </si>
  <si>
    <t>Sun May 01 23:03:23 +0000 2022</t>
  </si>
  <si>
    <t>348499332</t>
  </si>
  <si>
    <t>http://pbs.twimg.com/profile_images/1287662198362386432/lWPgGnVj_normal.jpg</t>
  </si>
  <si>
    <t>Rothes, Scotland</t>
  </si>
  <si>
    <t>http://twitter.com/ade_firth/statuses/1520901726462697476</t>
  </si>
  <si>
    <t>1520901614437081091</t>
  </si>
  <si>
    <t>Martynmartynjf</t>
  </si>
  <si>
    <t>Sun May 01 23:02:56 +0000 2022</t>
  </si>
  <si>
    <t>1027194781</t>
  </si>
  <si>
    <t>http://pbs.twimg.com/profile_images/1160154580426076160/3oT7ISrL_normal.jpg</t>
  </si>
  <si>
    <t>http://twitter.com/Martynmartynjf/statuses/1520901614437081091</t>
  </si>
  <si>
    <t>1520901489715290112</t>
  </si>
  <si>
    <t>AndyGreen_40</t>
  </si>
  <si>
    <t>Sun May 01 23:02:26 +0000 2022</t>
  </si>
  <si>
    <t>946031406043541504</t>
  </si>
  <si>
    <t>http://pbs.twimg.com/profile_images/1288953167179284480/vHKazeGz_normal.jpg</t>
  </si>
  <si>
    <t>http://twitter.com/AndyGreen_40/statuses/1520901489715290112</t>
  </si>
  <si>
    <t>1520901221300817920</t>
  </si>
  <si>
    <t>mojotweets_</t>
  </si>
  <si>
    <t>Sun May 01 23:01:22 +0000 2022</t>
  </si>
  <si>
    <t>1491191177009414145</t>
  </si>
  <si>
    <t>http://pbs.twimg.com/profile_images/1491216462127714304/s9WWxkUu_normal.jpg</t>
  </si>
  <si>
    <t>http://twitter.com/mojotweets_/statuses/1520901221300817920</t>
  </si>
  <si>
    <t>1520901160730779651</t>
  </si>
  <si>
    <t>#JohnsonOut97 #ScottishIndependence #JohnsonTheLiar #Brexit #BrexitHasFailed #NeverTrustATory #LiarNotALeader #ToryLiars #ToriesOut5thMay #TorySleaze #VoteLabour #Growlergate #gingergrowler #ToryShambles #ToriesLie #ToryLies #ToryCorruption  Angela Rayner  Sexist of the Year https://t.co/hbzIKosnci https://t.co/2neGi5uFBe</t>
  </si>
  <si>
    <t>Sun May 01 23:01:08 +0000 2022</t>
  </si>
  <si>
    <t>http://twitter.com/Dr__H__Lekter/statuses/1520901160730779651</t>
  </si>
  <si>
    <t>{"hashtags":[{"text":"JohnsonOut97","indices":[0,13]},{"text":"ScottishIndependence","indices":[14,35]},{"text":"JohnsonTheLiar","indices":[36,51]},{"text":"Brexit","indices":[52,59]},{"text":"BrexitHasFailed","indices":[60,76]},{"text":"NeverTrustATory","indices":[77,93]},{"text":"LiarNotALeader","indices":[94,109]},{"text":"ToryLiars","indices":[110,120]},{"text":"ToriesOut5thMay","indices":[121,137]},{"text":"TorySleaze","indices":[138,149]},{"text":"VoteLabour","indices":[150,161]},{"text":"Growlergate","indices":[162,174]},{"text":"gingergrowler","indices":[175,189]},{"text":"ToryShambles","indices":[190,203]},{"text":"ToriesLie","indices":[204,214]},{"text":"ToryLies","indices":[215,224]},{"text":"ToryCorruption","indices":[225,240]}],"symbols":[],"user_mentions":[],"urls":[{"url":"https://t.co/hbzIKosnci","expanded_url":"https://twitter.com/ozmanodious/status/1520894030229475328","display_url":"twitter.com/ozmanodious/st…","indices":[276,299]}],"media":[{"id":1520901128585678800,"id_str":"1520901128585678849","indices":[300,323],"media_url":"http://pbs.twimg.com/media/FRtThLPXEAEWgBJ.jpg","media_url_https":"https://pbs.twimg.com/media/FRtThLPXEAEWgBJ.jpg","url":"https://t.co/2neGi5uFBe","display_url":"pic.twitter.com/2neGi5uFBe","expanded_url":"https://twitter.com/Dr__H__Lekter/status/1520901160730779651/photo/1","type":"photo","sizes":{"thumb":{"w":150,"h":150,"resize":"crop"},"large":{"w":976,"h":1256,"resize":"fit"},"medium":{"w":932,"h":1200,"resize":"fit"},"small":{"w":528,"h":680,"resize":"fit"}}}]}</t>
  </si>
  <si>
    <t>1520901132360593411</t>
  </si>
  <si>
    <t>Sun May 01 23:01:01 +0000 2022</t>
  </si>
  <si>
    <t>http://twitter.com/castervaria/statuses/1520901132360593411</t>
  </si>
  <si>
    <t>1520901113532362762</t>
  </si>
  <si>
    <t>Sun May 01 23:00:57 +0000 2022</t>
  </si>
  <si>
    <t>http://twitter.com/castervaria/statuses/1520901113532362762</t>
  </si>
  <si>
    <t>1520901050848448513</t>
  </si>
  <si>
    <t>Sun May 01 23:00:42 +0000 2022</t>
  </si>
  <si>
    <t>http://twitter.com/castervaria/statuses/1520901050848448513</t>
  </si>
  <si>
    <t>1520901041478414336</t>
  </si>
  <si>
    <t>Sun May 01 23:00:39 +0000 2022</t>
  </si>
  <si>
    <t>http://twitter.com/NickDWhitehead/statuses/1520901041478414336</t>
  </si>
  <si>
    <t>1520901032196329473</t>
  </si>
  <si>
    <t>pwsimerimiaw</t>
  </si>
  <si>
    <t>Sun May 01 23:00:37 +0000 2022</t>
  </si>
  <si>
    <t>68256895</t>
  </si>
  <si>
    <t>http://pbs.twimg.com/profile_images/780523203324174337/nwcxODAJ_normal.jpg</t>
  </si>
  <si>
    <t>http://twitter.com/pwsimerimiaw/statuses/1520901032196329473</t>
  </si>
  <si>
    <t>1520900981529190400</t>
  </si>
  <si>
    <t>Sun May 01 23:00:25 +0000 2022</t>
  </si>
  <si>
    <t>http://twitter.com/mojotweets_/statuses/1520900981529190400</t>
  </si>
  <si>
    <t>1520900941041569794</t>
  </si>
  <si>
    <t>svelji</t>
  </si>
  <si>
    <t>We all know #Brexit was sold using lies and these lies are coming home to roost. Well all that #BrexitTurd that was sold as a benefit is starting to smell foul #NeverVoteConservative #ToriesOut5thMay #ToriesPartiedWhilePeopleDied #BrexitHasFailed #BrexitLiars #BrexitLies https://t.co/LU4HcOUwfC</t>
  </si>
  <si>
    <t>Sun May 01 23:00:15 +0000 2022</t>
  </si>
  <si>
    <t>39704353</t>
  </si>
  <si>
    <t>http://pbs.twimg.com/profile_images/1502282062111379460/2OU08tG7_normal.jpg</t>
  </si>
  <si>
    <t>http://twitter.com/svelji/statuses/1520900941041569794</t>
  </si>
  <si>
    <t>{"hashtags":[{"text":"Brexit","indices":[12,19]},{"text":"BrexitTurd","indices":[95,106]},{"text":"NeverVoteConservative","indices":[160,182]},{"text":"ToriesOut5thMay","indices":[183,199]},{"text":"ToriesPartiedWhilePeopleDied","indices":[200,229]},{"text":"BrexitHasFailed","indices":[230,246]},{"text":"BrexitLiars","indices":[247,259]},{"text":"BrexitLies","indices":[260,271]}],"symbols":[],"user_mentions":[],"urls":[{"url":"https://t.co/LU4HcOUwfC","expanded_url":"https://twitter.com/markjenkinsonmp/status/1520848392368402433","display_url":"twitter.com/markjenkinsonm…","indices":[272,295]}]}</t>
  </si>
  <si>
    <t>1520900933487665154</t>
  </si>
  <si>
    <t>Sun May 01 23:00:14 +0000 2022</t>
  </si>
  <si>
    <t>http://twitter.com/mojotweets_/statuses/1520900933487665154</t>
  </si>
  <si>
    <t>1520900901199822848</t>
  </si>
  <si>
    <t>Sun May 01 23:00:06 +0000 2022</t>
  </si>
  <si>
    <t>http://twitter.com/mojotweets_/statuses/1520900901199822848</t>
  </si>
  <si>
    <t>1520900831779954688</t>
  </si>
  <si>
    <t>Sun May 01 22:59:49 +0000 2022</t>
  </si>
  <si>
    <t>http://twitter.com/mojotweets_/statuses/1520900831779954688</t>
  </si>
  <si>
    <t>1520900738817445889</t>
  </si>
  <si>
    <t>ArnoEu</t>
  </si>
  <si>
    <t>@Dougie19904558 @DeborahMeaden @AngelaRayner Foreman is a corrupted, far right, former BrexitParty candidate, now moaning about wanting compensation for his failed salmon export to the EU, because of #brexit , I kid you not🤦😂😂</t>
  </si>
  <si>
    <t>Sun May 01 22:59:27 +0000 2022</t>
  </si>
  <si>
    <t>1233755102873346048</t>
  </si>
  <si>
    <t>Dougie19904558</t>
  </si>
  <si>
    <t>1479171486464233487</t>
  </si>
  <si>
    <t>1520811361277779974</t>
  </si>
  <si>
    <t>http://pbs.twimg.com/profile_images/1497562020392144900/6l-urX3p_normal.jpg</t>
  </si>
  <si>
    <t>http://twitter.com/ArnoEu/statuses/1520900738817445889</t>
  </si>
  <si>
    <t>{"hashtags":[{"text":"brexit","indices":[200,207]}],"symbols":[],"user_mentions":[{"screen_name":"Dougie19904558","name":"‘Lord’ Dougie🇪🇺🏴󠁧󠁢󠁳󠁣󠁴󠁿","id":1233755102873346000,"id_str":"1233755102873346048","indices":[0,15]},{"screen_name":"DeborahMeaden","name":"Deborah Meaden 🇺🇦","id":368240745,"id_str":"368240745","indices":[16,30]},{"screen_name":"AngelaRayner","name":"Angela Rayner 🌹","id":222748037,"id_str":"222748037","indices":[31,44]}],"urls":[]}</t>
  </si>
  <si>
    <t>1520900641606049793</t>
  </si>
  <si>
    <t>SarahSt61447620</t>
  </si>
  <si>
    <t>RT @Dr__H__Lekter: #JohnsonOut97 #ScottishIndependence #JohnsonTheLiar #Brexit #BrexitHasFailed #NeverTrustATory #LiarNotALeader #ToryLiars #ToriesOut5thMay #TorySleaze #VoteLabour #Growlergate #gingergrowler #ToryShambles #ToriesLie #ToryLies #ToryCorruption  Angela Rayner  Sexist of the Year https://t.co/M1MrcVx2kE https://t.co/ZKjlI80dpJ</t>
  </si>
  <si>
    <t>Sun May 01 22:59:04 +0000 2022</t>
  </si>
  <si>
    <t>1472982994625441801</t>
  </si>
  <si>
    <t>http://pbs.twimg.com/profile_images/1484608062245810182/wslGbo8N_normal.jpg</t>
  </si>
  <si>
    <t>http://twitter.com/SarahSt61447620/statuses/1520900641606049793</t>
  </si>
  <si>
    <t>1520900584852926464</t>
  </si>
  <si>
    <t>Burahntank</t>
  </si>
  <si>
    <t>Sun May 01 22:58:51 +0000 2022</t>
  </si>
  <si>
    <t>812459744300597252</t>
  </si>
  <si>
    <t>http://pbs.twimg.com/profile_images/812790225508372480/YJ_hKMsP_normal.jpg</t>
  </si>
  <si>
    <t>http://twitter.com/Burahntank/statuses/1520900584852926464</t>
  </si>
  <si>
    <t>1520900519816011784</t>
  </si>
  <si>
    <t>JennyBrookfiel2</t>
  </si>
  <si>
    <t>RT @TheCartHorse1: 2016  #BorisJohnson #Brexit campaign
"It's time to ignore the pessimists and the merchants of gloom"  etc etc https://t.co/Rpw8bT9Gjl</t>
  </si>
  <si>
    <t>Sun May 01 22:58:35 +0000 2022</t>
  </si>
  <si>
    <t>1181256808289243136</t>
  </si>
  <si>
    <t>http://twitter.com/JennyBrookfiel2/statuses/1520900519816011784</t>
  </si>
  <si>
    <t>{"hashtags":[{"text":"BorisJohnson","indices":[25,38]},{"text":"Brexit","indices":[39,46]}],"symbols":[],"user_mentions":[{"screen_name":"TheCartHorse1","name":"# March For The UN Charter 'We The Peoples' ✍️1945","id":1244306606441070600,"id_str":"1244306606441070594","indices":[3,17]}],"urls":[]}</t>
  </si>
  <si>
    <t>1520900489340235776</t>
  </si>
  <si>
    <t>Julyon60</t>
  </si>
  <si>
    <t>Sun May 01 22:58:28 +0000 2022</t>
  </si>
  <si>
    <t>1149324021420515336</t>
  </si>
  <si>
    <t>http://pbs.twimg.com/profile_images/1480604390394408962/ecW-BgAv_normal.jpg</t>
  </si>
  <si>
    <t>Dorset</t>
  </si>
  <si>
    <t>http://twitter.com/Julyon60/statuses/1520900489340235776</t>
  </si>
  <si>
    <t>1520900274751250434</t>
  </si>
  <si>
    <t>#JohnsonOut97 #ScottishIndependence #JohnsonTheLiar #Brexit #BrexitHasFailed #NeverTrustATory #LiarNotALeader #ToryLiars #ToriesOut5thMay #TorySleaze #VoteLabour #Growlergate #gingergrowler #ToryShambles #ToriesLie #ToryLies #ToryCorruption  Angela Rayner  Sexist of the Year https://t.co/M1MrcVx2kE https://t.co/ZKjlI80dpJ</t>
  </si>
  <si>
    <t>Sun May 01 22:57:37 +0000 2022</t>
  </si>
  <si>
    <t>http://twitter.com/Dr__H__Lekter/statuses/1520900274751250434</t>
  </si>
  <si>
    <t>{"hashtags":[{"text":"JohnsonOut97","indices":[0,13]},{"text":"ScottishIndependence","indices":[14,35]},{"text":"JohnsonTheLiar","indices":[36,51]},{"text":"Brexit","indices":[52,59]},{"text":"BrexitHasFailed","indices":[60,76]},{"text":"NeverTrustATory","indices":[77,93]},{"text":"LiarNotALeader","indices":[94,109]},{"text":"ToryLiars","indices":[110,120]},{"text":"ToriesOut5thMay","indices":[121,137]},{"text":"TorySleaze","indices":[138,149]},{"text":"VoteLabour","indices":[150,161]},{"text":"Growlergate","indices":[162,174]},{"text":"gingergrowler","indices":[175,189]},{"text":"ToryShambles","indices":[190,203]},{"text":"ToriesLie","indices":[204,214]},{"text":"ToryLies","indices":[215,224]},{"text":"ToryCorruption","indices":[225,240]}],"symbols":[],"user_mentions":[],"urls":[{"url":"https://t.co/M1MrcVx2kE","expanded_url":"https://twitter.com/_Geordi_kev_/status/1520896335406411783","display_url":"twitter.com/_Geordi_kev_/s…","indices":[276,299]}],"media":[{"id":1520899705869324300,"id_str":"1520899705869324288","indices":[300,323],"media_url":"http://pbs.twimg.com/media/FRtSOXNWUAAGHK9.jpg","media_url_https":"https://pbs.twimg.com/media/FRtSOXNWUAAGHK9.jpg","url":"https://t.co/ZKjlI80dpJ","display_url":"pic.twitter.com/ZKjlI80dpJ","expanded_url":"https://twitter.com/Dr__H__Lekter/status/1520900274751250434/photo/1","type":"photo","sizes":{"thumb":{"w":150,"h":150,"resize":"crop"},"large":{"w":776,"h":774,"resize":"fit"},"small":{"w":680,"h":678,"resize":"fit"},"medium":{"w":776,"h":774,"resize":"fit"}}}]}</t>
  </si>
  <si>
    <t>1520900163031736321</t>
  </si>
  <si>
    <t>rosalynemf</t>
  </si>
  <si>
    <t>Sun May 01 22:57:10 +0000 2022</t>
  </si>
  <si>
    <t>72886834</t>
  </si>
  <si>
    <t>http://pbs.twimg.com/profile_images/1140032533251448833/1q5mdSgW_normal.jpg</t>
  </si>
  <si>
    <t>http://twitter.com/rosalynemf/statuses/1520900163031736321</t>
  </si>
  <si>
    <t>1520900100951883778</t>
  </si>
  <si>
    <t>A_Nonny_123</t>
  </si>
  <si>
    <t>Sun May 01 22:56:55 +0000 2022</t>
  </si>
  <si>
    <t>93749584</t>
  </si>
  <si>
    <t>http://pbs.twimg.com/profile_images/1497445254663852034/JaK5QEGL_normal.jpg</t>
  </si>
  <si>
    <t>http://twitter.com/A_Nonny_123/statuses/1520900100951883778</t>
  </si>
  <si>
    <t>1520899919300763648</t>
  </si>
  <si>
    <t>shimtunley</t>
  </si>
  <si>
    <t>Sun May 01 22:56:12 +0000 2022</t>
  </si>
  <si>
    <t>1053785240</t>
  </si>
  <si>
    <t>http://pbs.twimg.com/profile_images/3505926958/d17caf360cf39a8ac0fcf3ab48173799_normal.jpeg</t>
  </si>
  <si>
    <t>http://twitter.com/shimtunley/statuses/1520899919300763648</t>
  </si>
  <si>
    <t>1520899760378593283</t>
  </si>
  <si>
    <t>Wearypundit</t>
  </si>
  <si>
    <t>Sun May 01 22:55:34 +0000 2022</t>
  </si>
  <si>
    <t>828364645232680962</t>
  </si>
  <si>
    <t>http://pbs.twimg.com/profile_images/1265743445630615557/YMkTUHqU_normal.jpg</t>
  </si>
  <si>
    <t>http://twitter.com/Wearypundit/statuses/1520899760378593283</t>
  </si>
  <si>
    <t>1520899547303714823</t>
  </si>
  <si>
    <t>ROBMCCANN2</t>
  </si>
  <si>
    <t>Sun May 01 22:54:43 +0000 2022</t>
  </si>
  <si>
    <t>376657815</t>
  </si>
  <si>
    <t>http://pbs.twimg.com/profile_images/1003997336505323520/o0uuKkS2_normal.jpg</t>
  </si>
  <si>
    <t>http://twitter.com/ROBMCCANN2/statuses/1520899547303714823</t>
  </si>
  <si>
    <t>1520899515385008131</t>
  </si>
  <si>
    <t>PatAlexTea</t>
  </si>
  <si>
    <t>Sun May 01 22:54:36 +0000 2022</t>
  </si>
  <si>
    <t>257392953</t>
  </si>
  <si>
    <t>http://pbs.twimg.com/profile_images/1519093663737028609/lSxi1L-R_normal.jpg</t>
  </si>
  <si>
    <t>#Leeds West Yorkshire UK</t>
  </si>
  <si>
    <t>http://twitter.com/PatAlexTea/statuses/1520899515385008131</t>
  </si>
  <si>
    <t>1520899486817693699</t>
  </si>
  <si>
    <t>Jon_Fraser01</t>
  </si>
  <si>
    <t>Sun May 01 22:54:29 +0000 2022</t>
  </si>
  <si>
    <t>437442951</t>
  </si>
  <si>
    <t>http://twitter.com/Jon_Fraser01/statuses/1520899486817693699</t>
  </si>
  <si>
    <t>1520899479385391112</t>
  </si>
  <si>
    <t>Sun May 01 22:54:27 +0000 2022</t>
  </si>
  <si>
    <t>http://twitter.com/ROBMCCANN2/statuses/1520899479385391112</t>
  </si>
  <si>
    <t>1520899451639980037</t>
  </si>
  <si>
    <t>newswatch4u</t>
  </si>
  <si>
    <t>Sun May 01 22:54:20 +0000 2022</t>
  </si>
  <si>
    <t>297088039</t>
  </si>
  <si>
    <t>http://pbs.twimg.com/profile_images/2025146289/27-04-2011_001-30-31klein__normal.jpg</t>
  </si>
  <si>
    <t>http://twitter.com/newswatch4u/statuses/1520899451639980037</t>
  </si>
  <si>
    <t>1520899379674198017</t>
  </si>
  <si>
    <t>CYRDYN</t>
  </si>
  <si>
    <t>@business Why #BREXIT? This is why….</t>
  </si>
  <si>
    <t>Sun May 01 22:54:03 +0000 2022</t>
  </si>
  <si>
    <t>34713362</t>
  </si>
  <si>
    <t>business</t>
  </si>
  <si>
    <t>1461093871061020674</t>
  </si>
  <si>
    <t>1520894243010711555</t>
  </si>
  <si>
    <t>http://pbs.twimg.com/profile_images/1486458184550297605/tUrsTbse_normal.jpg</t>
  </si>
  <si>
    <t>Worldwide</t>
  </si>
  <si>
    <t>http://twitter.com/CYRDYN/statuses/1520899379674198017</t>
  </si>
  <si>
    <t>{"hashtags":[{"text":"BREXIT","indices":[14,21]}],"symbols":[],"user_mentions":[{"screen_name":"business","name":"Bloomberg","id":34713362,"id_str":"34713362","indices":[0,9]}],"urls":[]}</t>
  </si>
  <si>
    <t>1520899084646821892</t>
  </si>
  <si>
    <t>gooduseofbad</t>
  </si>
  <si>
    <t>Sun May 01 22:52:53 +0000 2022</t>
  </si>
  <si>
    <t>1325376114290794496</t>
  </si>
  <si>
    <t>http://pbs.twimg.com/profile_images/1483587064557977609/MkyNfE2K_normal.jpg</t>
  </si>
  <si>
    <t>http://twitter.com/gooduseofbad/statuses/1520899084646821892</t>
  </si>
  <si>
    <t>1520898961292333062</t>
  </si>
  <si>
    <t>GwalaniSonali</t>
  </si>
  <si>
    <t>Sun May 01 22:52:23 +0000 2022</t>
  </si>
  <si>
    <t>1168850689436585984</t>
  </si>
  <si>
    <t>http://pbs.twimg.com/profile_images/1223163288843964416/uowvXDAT_normal.jpg</t>
  </si>
  <si>
    <t>http://twitter.com/GwalaniSonali/statuses/1520898961292333062</t>
  </si>
  <si>
    <t>1520898783500025864</t>
  </si>
  <si>
    <t>RT @HandCNews: MSM @BBCNews now confirming @mrjamesob was not wrong in predicting the perfect storm heading for hospitality https://t.co/vpy1GeWssf ✔️
One year to the day from his first report @LBC 👂👉https://t.co/uFa1vi1o6r 
Sad to update the situation is still #Brexit centric and far worse📉 https://t.co/iDZ0Lv0cgP</t>
  </si>
  <si>
    <t>Sun May 01 22:51:41 +0000 2022</t>
  </si>
  <si>
    <t>http://twitter.com/JohnKLDN/statuses/1520898783500025864</t>
  </si>
  <si>
    <t>{"hashtags":[],"symbols":[],"user_mentions":[{"screen_name":"HandCNews","name":"HOSPITALITY &amp; CATERING NEWS","id":320831933,"id_str":"320831933","indices":[3,13]},{"screen_name":"BBCNews","name":"BBC News (UK)","id":612473,"id_str":"612473","indices":[19,27]},{"screen_name":"mrjamesob","name":"James Oh Brien","id":152656121,"id_str":"152656121","indices":[43,53]}],"urls":[]}</t>
  </si>
  <si>
    <t>1520898703699156994</t>
  </si>
  <si>
    <t>lucycowp</t>
  </si>
  <si>
    <t>Sun May 01 22:51:22 +0000 2022</t>
  </si>
  <si>
    <t>2512978409</t>
  </si>
  <si>
    <t>http://pbs.twimg.com/profile_images/1291827099523862528/IP6DSDcC_normal.jpg</t>
  </si>
  <si>
    <t>http://twitter.com/lucycowp/statuses/1520898703699156994</t>
  </si>
  <si>
    <t>1520898690474553346</t>
  </si>
  <si>
    <t>Equilibria</t>
  </si>
  <si>
    <t>Sun May 01 22:51:19 +0000 2022</t>
  </si>
  <si>
    <t>22255698</t>
  </si>
  <si>
    <t>http://pbs.twimg.com/profile_images/1408617134255661057/GoI1R1sU_normal.jpg</t>
  </si>
  <si>
    <t>NW England</t>
  </si>
  <si>
    <t>http://twitter.com/Equilibria/statuses/1520898690474553346</t>
  </si>
  <si>
    <t>1520898592181047298</t>
  </si>
  <si>
    <t>matmckenzie</t>
  </si>
  <si>
    <t>Sun May 01 22:50:55 +0000 2022</t>
  </si>
  <si>
    <t>15220357</t>
  </si>
  <si>
    <t>http://pbs.twimg.com/profile_images/1368870680805146624/NEvyb2Ar_normal.jpg</t>
  </si>
  <si>
    <t>Derby, Uk</t>
  </si>
  <si>
    <t>http://twitter.com/matmckenzie/statuses/1520898592181047298</t>
  </si>
  <si>
    <t>1520898579845550081</t>
  </si>
  <si>
    <t>cwsmith1</t>
  </si>
  <si>
    <t>RT @ramonagusta: #Brexit Britain is growing 5x times faster than the Eurozone...
#FBPE @ConHome  
https://t.co/J4ARFvRCup</t>
  </si>
  <si>
    <t>Sun May 01 22:50:53 +0000 2022</t>
  </si>
  <si>
    <t>949053447952912385</t>
  </si>
  <si>
    <t>http://pbs.twimg.com/profile_images/1414609600721133572/w2Km1r1s_normal.jpg</t>
  </si>
  <si>
    <t>http://twitter.com/cwsmith1/statuses/1520898579845550081</t>
  </si>
  <si>
    <t>{"hashtags":[{"text":"Brexit","indices":[17,24]},{"text":"FBPE","indices":[82,87]}],"symbols":[],"user_mentions":[{"screen_name":"ramonagusta","name":"Ramon Agusta","id":106469050,"id_str":"106469050","indices":[3,15]},{"screen_name":"ConHome","name":"ConservativeHome","id":159992511,"id_str":"159992511","indices":[88,96]}],"urls":[{"url":"https://t.co/J4ARFvRCup","expanded_url":"https://www.msn.com/en-gb/money/other/eurozone-facing-nasty-bout-of-stagflation-as-economy-slows-and-prices-soar/ar-AAWKyHD","display_url":"msn.com/en-gb/money/ot…","indices":[101,124]}]}</t>
  </si>
  <si>
    <t>1520898564842561536</t>
  </si>
  <si>
    <t>PatrickMDHunter</t>
  </si>
  <si>
    <t>Sun May 01 22:50:49 +0000 2022</t>
  </si>
  <si>
    <t>2680006837</t>
  </si>
  <si>
    <t>http://pbs.twimg.com/profile_images/1202288194521370625/abLXNdwR_normal.jpg</t>
  </si>
  <si>
    <t>Fittleworth</t>
  </si>
  <si>
    <t>http://twitter.com/PatrickMDHunter/statuses/1520898564842561536</t>
  </si>
  <si>
    <t>1520898505296195584</t>
  </si>
  <si>
    <t>Sun May 01 22:50:35 +0000 2022</t>
  </si>
  <si>
    <t>http://twitter.com/matmckenzie/statuses/1520898505296195584</t>
  </si>
  <si>
    <t>1520898464208539649</t>
  </si>
  <si>
    <t>RantingJon</t>
  </si>
  <si>
    <t>Sun May 01 22:50:25 +0000 2022</t>
  </si>
  <si>
    <t>446716035</t>
  </si>
  <si>
    <t>http://pbs.twimg.com/profile_images/1760773882/CNV00008_normal.JPG</t>
  </si>
  <si>
    <t>http://twitter.com/RantingJon/statuses/1520898464208539649</t>
  </si>
  <si>
    <t>1520898142488731657</t>
  </si>
  <si>
    <t>OurDawnie</t>
  </si>
  <si>
    <t>RT @AlasSmithJones: @Harley_Tory @Heather22311814 Well said Harley! I totally agree with you! #BackBoris #TeamBoris #BorisTrain #NeverLabour #NeverLiebour #Conservatives #LabourHypocricy #LabourSleaze #LabourLies #CaptainHindsight #HypocriteStarmer #SmarmyStarmer #StarmerLies #Brexit #ResignStarmer #ResignRayner #SirBeerStarmer</t>
  </si>
  <si>
    <t>Sun May 01 22:49:08 +0000 2022</t>
  </si>
  <si>
    <t>136037870</t>
  </si>
  <si>
    <t>http://pbs.twimg.com/profile_images/1518590173776429057/iHffUFA1_normal.png</t>
  </si>
  <si>
    <t>http://twitter.com/OurDawnie/statuses/1520898142488731657</t>
  </si>
  <si>
    <t>{"hashtags":[{"text":"BackBoris","indices":[94,104]},{"text":"TeamBoris","indices":[105,115]},{"text":"BorisTrain","indices":[116,127]}],"symbols":[],"user_mentions":[{"screen_name":"AlasSmithJones","name":"David Partington #BackBoris #ResignSturgeon","id":1488899444087177200,"id_str":"1488899444087177216","indices":[3,18]},{"screen_name":"Harley_Tory","name":"Harley #BackBoris #BackUkraine","id":1510696549654929400,"id_str":"1510696549654929418","indices":[20,32]},{"screen_name":"Heather22311814","name":"Granny H 🏴󠁧󠁢󠁥󠁮󠁧󠁿🇬🇧🇺🇦","id":1368992887128658000,"id_str":"1368992887128657923","indices":[33,49]}],"urls":[]}</t>
  </si>
  <si>
    <t>1520898089460146184</t>
  </si>
  <si>
    <t>Bank of England ‘duty bound’ to trigger recession to curb inflation - and the cause? @Conservatives #Brexit https://t.co/F7JaH8ZX7x</t>
  </si>
  <si>
    <t>Sun May 01 22:48:56 +0000 2022</t>
  </si>
  <si>
    <t>http://twitter.com/PeterTelford/statuses/1520898089460146184</t>
  </si>
  <si>
    <t>{"hashtags":[{"text":"Brexit","indices":[100,107]}],"symbols":[],"user_mentions":[{"screen_name":"Conservatives","name":"Conservatives","id":14281853,"id_str":"14281853","indices":[85,99]}],"urls":[{"url":"https://t.co/F7JaH8ZX7x","expanded_url":"https://www.theguardian.com/business/2022/may/01/bank-of-england-duty-bound-to-trigger-recession-to-curb-inflation?CMP=Share_iOSApp_Other","display_url":"theguardian.com/business/2022/…","indices":[108,131]}]}</t>
  </si>
  <si>
    <t>1520898036217565184</t>
  </si>
  <si>
    <t>colinjhamilton</t>
  </si>
  <si>
    <t>Sun May 01 22:48:43 +0000 2022</t>
  </si>
  <si>
    <t>47432668</t>
  </si>
  <si>
    <t>http://pbs.twimg.com/profile_images/947452668598943746/PJBQziYD_normal.jpg</t>
  </si>
  <si>
    <t>Leicestershire UK</t>
  </si>
  <si>
    <t>http://twitter.com/colinjhamilton/statuses/1520898036217565184</t>
  </si>
  <si>
    <t>1520898034690838528</t>
  </si>
  <si>
    <t>JohnWilkinspsyc</t>
  </si>
  <si>
    <t>3362591548</t>
  </si>
  <si>
    <t>http://pbs.twimg.com/profile_images/767076862464057344/Kji4pGTa_normal.jpg</t>
  </si>
  <si>
    <t>Hoylake, England</t>
  </si>
  <si>
    <t>http://twitter.com/JohnWilkinspsyc/statuses/1520898034690838528</t>
  </si>
  <si>
    <t>1520897983214387200</t>
  </si>
  <si>
    <t>PBTyrrell</t>
  </si>
  <si>
    <t>Sun May 01 22:48:30 +0000 2022</t>
  </si>
  <si>
    <t>1218696301602197505</t>
  </si>
  <si>
    <t>http://pbs.twimg.com/profile_images/1228585059923283968/Q_zoPp4H_normal.jpg</t>
  </si>
  <si>
    <t>http://twitter.com/PBTyrrell/statuses/1520897983214387200</t>
  </si>
  <si>
    <t>1520897778767081473</t>
  </si>
  <si>
    <t>ianpwriter</t>
  </si>
  <si>
    <t>Sun May 01 22:47:42 +0000 2022</t>
  </si>
  <si>
    <t>837343127644094466</t>
  </si>
  <si>
    <t>http://pbs.twimg.com/profile_images/1162446643695955968/s19tcCNp_normal.jpg</t>
  </si>
  <si>
    <t xml:space="preserve">London, Plymouth </t>
  </si>
  <si>
    <t>http://twitter.com/ianpwriter/statuses/1520897778767081473</t>
  </si>
  <si>
    <t>1520897659615297537</t>
  </si>
  <si>
    <t>Sun May 01 22:47:13 +0000 2022</t>
  </si>
  <si>
    <t>http://twitter.com/JohnKLDN/statuses/1520897659615297537</t>
  </si>
  <si>
    <t>1520897228981874688</t>
  </si>
  <si>
    <t>paddytoland</t>
  </si>
  <si>
    <t>#NIprotocol #DUP #TUV #AssemblyElections2022 #AE22 #NIDeservesBetter #Brexit #UnionOfPeople https://t.co/reBdpeUDgh</t>
  </si>
  <si>
    <t>Sun May 01 22:45:30 +0000 2022</t>
  </si>
  <si>
    <t>242792260</t>
  </si>
  <si>
    <t>http://pbs.twimg.com/profile_images/1289889562794360832/ZFMGAOV0_normal.jpg</t>
  </si>
  <si>
    <t>Belfast, Ireland</t>
  </si>
  <si>
    <t>http://twitter.com/paddytoland/statuses/1520897228981874688</t>
  </si>
  <si>
    <t>{"hashtags":[{"text":"NIprotocol","indices":[0,11]},{"text":"DUP","indices":[12,16]},{"text":"TUV","indices":[17,21]},{"text":"AssemblyElections2022","indices":[22,44]},{"text":"AE22","indices":[45,50]},{"text":"NIDeservesBetter","indices":[51,68]},{"text":"Brexit","indices":[69,76]},{"text":"UnionOfPeople","indices":[77,91]}],"symbols":[],"user_mentions":[],"urls":[],"media":[{"id":1520897224095453200,"id_str":"1520897224095453186","indices":[92,115],"media_url":"http://pbs.twimg.com/media/FRtP954WUAItaGj.jpg","media_url_https":"https://pbs.twimg.com/media/FRtP954WUAItaGj.jpg","url":"https://t.co/reBdpeUDgh","display_url":"pic.twitter.com/reBdpeUDgh","expanded_url":"https://twitter.com/paddytoland/status/1520897228981874688/photo/1","type":"photo","sizes":{"thumb":{"w":150,"h":150,"resize":"crop"},"small":{"w":680,"h":453,"resize":"fit"},"medium":{"w":686,"h":457,"resize":"fit"},"large":{"w":686,"h":457,"resize":"fit"}}}]}</t>
  </si>
  <si>
    <t>1520897177916215297</t>
  </si>
  <si>
    <t>jamessmyth17</t>
  </si>
  <si>
    <t>Sun May 01 22:45:18 +0000 2022</t>
  </si>
  <si>
    <t>789071575</t>
  </si>
  <si>
    <t>http://pbs.twimg.com/profile_images/1396735656882212867/uiO0JcZy_normal.jpg</t>
  </si>
  <si>
    <t>ashington</t>
  </si>
  <si>
    <t>http://twitter.com/jamessmyth17/statuses/1520897177916215297</t>
  </si>
  <si>
    <t>1520897155598331906</t>
  </si>
  <si>
    <t>pvsassone</t>
  </si>
  <si>
    <t>RT @Twittytwitty17: Ops! #Brexit https://t.co/PVxBw3twp5</t>
  </si>
  <si>
    <t>Sun May 01 22:45:13 +0000 2022</t>
  </si>
  <si>
    <t>3194573930</t>
  </si>
  <si>
    <t>http://pbs.twimg.com/profile_images/598543113158692864/DPFq4STi_normal.png</t>
  </si>
  <si>
    <t>Diano Marina, Liguria</t>
  </si>
  <si>
    <t>http://twitter.com/pvsassone/statuses/1520897155598331906</t>
  </si>
  <si>
    <t>{"hashtags":[{"text":"Brexit","indices":[25,32]}],"symbols":[],"user_mentions":[{"screen_name":"Twittytwitty17","name":"Twitty 🇮🇹🇪🇺 🖤 🌊 🌻💚 #FR #FBPE","id":968924433065881600,"id_str":"968924433065881606","indices":[3,18]}],"urls":[]}</t>
  </si>
  <si>
    <t>1520897128725458944</t>
  </si>
  <si>
    <t>tonybwlch</t>
  </si>
  <si>
    <t>Sun May 01 22:45:07 +0000 2022</t>
  </si>
  <si>
    <t>3726065896</t>
  </si>
  <si>
    <t>http://pbs.twimg.com/profile_images/647165806367887360/9Q4Brx1R_normal.jpg</t>
  </si>
  <si>
    <t>Deiniolen</t>
  </si>
  <si>
    <t>http://twitter.com/tonybwlch/statuses/1520897128725458944</t>
  </si>
  <si>
    <t>1520897089550655489</t>
  </si>
  <si>
    <t>floater1985</t>
  </si>
  <si>
    <t>Sun May 01 22:44:57 +0000 2022</t>
  </si>
  <si>
    <t>1122216960819957760</t>
  </si>
  <si>
    <t>http://pbs.twimg.com/profile_images/1411635639595024388/yVtDsX3f_normal.jpg</t>
  </si>
  <si>
    <t>http://twitter.com/floater1985/statuses/1520897089550655489</t>
  </si>
  <si>
    <t>1520897075944304640</t>
  </si>
  <si>
    <t>CoggleMaggie</t>
  </si>
  <si>
    <t>Sun May 01 22:44:54 +0000 2022</t>
  </si>
  <si>
    <t>779641356197167104</t>
  </si>
  <si>
    <t>http://pbs.twimg.com/profile_images/1193485050693767168/afDlOByN_normal.jpg</t>
  </si>
  <si>
    <t>http://twitter.com/CoggleMaggie/statuses/1520897075944304640</t>
  </si>
  <si>
    <t>1520896978649075712</t>
  </si>
  <si>
    <t>lowesusan155</t>
  </si>
  <si>
    <t>RT @ChillaxBcn: @BrandonLewis Tory desperation #Brexit</t>
  </si>
  <si>
    <t>Sun May 01 22:44:31 +0000 2022</t>
  </si>
  <si>
    <t>2461069121</t>
  </si>
  <si>
    <t>http://pbs.twimg.com/profile_images/1066135829746196480/jrjqsZ07_normal.jpg</t>
  </si>
  <si>
    <t>http://twitter.com/lowesusan155/statuses/1520896978649075712</t>
  </si>
  <si>
    <t>{"hashtags":[{"text":"Brexit","indices":[47,54]}],"symbols":[],"user_mentions":[{"screen_name":"ChillaxBcn","name":"🏳‍🌈 Frank 🇪🇺 🇺🇦","id":22189368,"id_str":"22189368","indices":[3,14]},{"screen_name":"BrandonLewis","name":"Brandon Lewis","id":16884084,"id_str":"16884084","indices":[16,29]}],"urls":[]}</t>
  </si>
  <si>
    <t>1520896966003200000</t>
  </si>
  <si>
    <t>SSabelus</t>
  </si>
  <si>
    <t>Sun May 01 22:44:28 +0000 2022</t>
  </si>
  <si>
    <t>1224417017035415554</t>
  </si>
  <si>
    <t>http://pbs.twimg.com/profile_images/1227558660584419328/K_9N56QZ_normal.jpg</t>
  </si>
  <si>
    <t>http://twitter.com/SSabelus/statuses/1520896966003200000</t>
  </si>
  <si>
    <t>1520896874416414721</t>
  </si>
  <si>
    <t>BanditoSjp</t>
  </si>
  <si>
    <t>Sun May 01 22:44:06 +0000 2022</t>
  </si>
  <si>
    <t>1265264738272935936</t>
  </si>
  <si>
    <t>http://twitter.com/BanditoSjp/statuses/1520896874416414721</t>
  </si>
  <si>
    <t>1520896831185731585</t>
  </si>
  <si>
    <t>nearspaceman</t>
  </si>
  <si>
    <t>@BrandonLewis Remind me, wasn't it your party that bunged a billion quid to the DUP for a handful of votes just to get your oven ready #Brexit  done?</t>
  </si>
  <si>
    <t>Sun May 01 22:43:56 +0000 2022</t>
  </si>
  <si>
    <t>257956897</t>
  </si>
  <si>
    <t>http://pbs.twimg.com/profile_images/1505650315848204305/FwvI9knd_normal.jpg</t>
  </si>
  <si>
    <t>Donegal, Ireland</t>
  </si>
  <si>
    <t>http://twitter.com/nearspaceman/statuses/1520896831185731585</t>
  </si>
  <si>
    <t>{"hashtags":[{"text":"Brexit","indices":[135,142]}],"symbols":[],"user_mentions":[{"screen_name":"BrandonLewis","name":"Brandon Lewis","id":16884084,"id_str":"16884084","indices":[0,13]}],"urls":[]}</t>
  </si>
  <si>
    <t>1520896820284735492</t>
  </si>
  <si>
    <t>Sun May 01 22:43:53 +0000 2022</t>
  </si>
  <si>
    <t>http://twitter.com/BanditoSjp/statuses/1520896820284735492</t>
  </si>
  <si>
    <t>1520896763888123904</t>
  </si>
  <si>
    <t>NBowsie999</t>
  </si>
  <si>
    <t>Sun May 01 22:43:40 +0000 2022</t>
  </si>
  <si>
    <t>984808903547514880</t>
  </si>
  <si>
    <t>http://pbs.twimg.com/profile_images/993505302044606464/e58avoFD_normal.jpg</t>
  </si>
  <si>
    <t>British</t>
  </si>
  <si>
    <t>http://twitter.com/NBowsie999/statuses/1520896763888123904</t>
  </si>
  <si>
    <t>1520896736079892491</t>
  </si>
  <si>
    <t>LucaTon42167012</t>
  </si>
  <si>
    <t>Sun May 01 22:43:33 +0000 2022</t>
  </si>
  <si>
    <t>1437105818835595266</t>
  </si>
  <si>
    <t>http://pbs.twimg.com/profile_images/1437106002315329549/6EFrmaR3_normal.jpg</t>
  </si>
  <si>
    <t>http://twitter.com/LucaTon42167012/statuses/1520896736079892491</t>
  </si>
  <si>
    <t>1520896615493550080</t>
  </si>
  <si>
    <t>boblister_poole</t>
  </si>
  <si>
    <t>Sun May 01 22:43:04 +0000 2022</t>
  </si>
  <si>
    <t>2838333676</t>
  </si>
  <si>
    <t>http://pbs.twimg.com/profile_images/1157573977046470656/WGJ743R6_normal.jpg</t>
  </si>
  <si>
    <t>http://twitter.com/boblister_poole/statuses/1520896615493550080</t>
  </si>
  <si>
    <t>1520896606702534657</t>
  </si>
  <si>
    <t>dammitjanice</t>
  </si>
  <si>
    <t>Sun May 01 22:43:02 +0000 2022</t>
  </si>
  <si>
    <t>51565874</t>
  </si>
  <si>
    <t>http://pbs.twimg.com/profile_images/875819971762376704/EH-CtcBK_normal.jpg</t>
  </si>
  <si>
    <t>Citizen of Nowhere</t>
  </si>
  <si>
    <t>http://twitter.com/dammitjanice/statuses/1520896606702534657</t>
  </si>
  <si>
    <t>1520896497650663424</t>
  </si>
  <si>
    <t>Sun May 01 22:42:36 +0000 2022</t>
  </si>
  <si>
    <t>http://twitter.com/bootleian/statuses/1520896497650663424</t>
  </si>
  <si>
    <t>1520896496748613633</t>
  </si>
  <si>
    <t>TrevorWAllman</t>
  </si>
  <si>
    <t>@Sillyshib As a Socialist, and thus someone who believes in the concept of democracy, and wants politicians to be accountable, I'm certainly glad we've left the right-wing, anti-democratic and anti-socialist European Union.
Now is the time for change.
#Brexit #Democracy #Socialism https://t.co/64ypEym8MM</t>
  </si>
  <si>
    <t>854769693051297794</t>
  </si>
  <si>
    <t>Sillyshib</t>
  </si>
  <si>
    <t>526020270</t>
  </si>
  <si>
    <t>1520452402398257156</t>
  </si>
  <si>
    <t>http://pbs.twimg.com/profile_images/1514681910706024449/ZosEN6GW_normal.jpg</t>
  </si>
  <si>
    <t>Blackheath</t>
  </si>
  <si>
    <t>http://twitter.com/TrevorWAllman/statuses/1520896496748613633</t>
  </si>
  <si>
    <t>{"hashtags":[{"text":"Brexit","indices":[252,259]},{"text":"Democracy","indices":[260,270]},{"text":"Socialism","indices":[271,281]}],"symbols":[],"user_mentions":[{"screen_name":"Sillyshib","name":"Siob, Princess of Yorkshire 💙#FBPE #FBR","id":854769693051297800,"id_str":"854769693051297794","indices":[0,10]}],"urls":[],"media":[{"id":1520896104220536800,"id_str":"1520896104220536839","indices":[282,305],"media_url":"http://pbs.twimg.com/media/FRtO8uBXMAcHKYD.jpg","media_url_https":"https://pbs.twimg.com/media/FRtO8uBXMAcHKYD.jpg","url":"https://t.co/64ypEym8MM","display_url":"pic.twitter.com/64ypEym8MM","expanded_url":"https://twitter.com/TrevorWAllman/status/1520896496748613633/photo/1","type":"photo","sizes":{"small":{"w":680,"h":376,"resize":"fit"},"thumb":{"w":150,"h":150,"resize":"crop"},"large":{"w":794,"h":439,"resize":"fit"},"medium":{"w":794,"h":439,"resize":"fit"}}}]}</t>
  </si>
  <si>
    <t>1520896438376579072</t>
  </si>
  <si>
    <t>kieranhegarty12</t>
  </si>
  <si>
    <t>Sun May 01 22:42:22 +0000 2022</t>
  </si>
  <si>
    <t>1264107498170089475</t>
  </si>
  <si>
    <t>http://pbs.twimg.com/profile_images/1497133750085468166/Hu-zR1Po_normal.jpg</t>
  </si>
  <si>
    <t>http://twitter.com/kieranhegarty12/statuses/1520896438376579072</t>
  </si>
  <si>
    <t>1520896400208371717</t>
  </si>
  <si>
    <t>CarpyGwilliam</t>
  </si>
  <si>
    <t>RT @AddictScrabble: #Brexit LIVE: 'Reality!' Economist says UK GDP growth to outpace EU by more than DOUBLE https://t.co/kA6ghKEOys</t>
  </si>
  <si>
    <t>Sun May 01 22:42:13 +0000 2022</t>
  </si>
  <si>
    <t>773279810239987712</t>
  </si>
  <si>
    <t>http://pbs.twimg.com/profile_images/907948816627888128/pG1B6x9I_normal.jpg</t>
  </si>
  <si>
    <t>http://twitter.com/CarpyGwilliam/statuses/1520896400208371717</t>
  </si>
  <si>
    <t>{"hashtags":[{"text":"Brexit","indices":[20,27]}],"symbols":[],"user_mentions":[{"screen_name":"AddictScrabble","name":"Sandy. Conservative. Back Boris 🇬🇧 🇮🇱 🇺🇦","id":1149704408768364500,"id_str":"1149704408768364544","indices":[3,18]}],"urls":[{"url":"https://t.co/kA6ghKEOys","expanded_url":"https://www.express.co.uk/news/politics/1603756/brexit-live-rees-mogg-play-down-import-biosecurity-fears-fish-fingers-id","display_url":"express.co.uk/news/politics/…","indices":[108,131]}]}</t>
  </si>
  <si>
    <t>1520896389722562567</t>
  </si>
  <si>
    <t>bhuddagosa</t>
  </si>
  <si>
    <t>Sun May 01 22:42:10 +0000 2022</t>
  </si>
  <si>
    <t>332970141</t>
  </si>
  <si>
    <t>http://pbs.twimg.com/profile_images/789231800136691712/4QmS7nyr_normal.jpg</t>
  </si>
  <si>
    <t>http://twitter.com/bhuddagosa/statuses/1520896389722562567</t>
  </si>
  <si>
    <t>1520896255714549769</t>
  </si>
  <si>
    <t>MobilityCooper</t>
  </si>
  <si>
    <t>Sun May 01 22:41:38 +0000 2022</t>
  </si>
  <si>
    <t>500752654</t>
  </si>
  <si>
    <t>http://pbs.twimg.com/profile_images/1848505237/Coops_in_Dolomites_normal.JPG</t>
  </si>
  <si>
    <t>Portsmouth</t>
  </si>
  <si>
    <t>http://twitter.com/MobilityCooper/statuses/1520896255714549769</t>
  </si>
  <si>
    <t>1520896254691225600</t>
  </si>
  <si>
    <t>notjustpensions</t>
  </si>
  <si>
    <t>2458769226</t>
  </si>
  <si>
    <t>http://pbs.twimg.com/profile_images/1457302667466838016/Gqo28Lrq_normal.jpg</t>
  </si>
  <si>
    <t>http://twitter.com/notjustpensions/statuses/1520896254691225600</t>
  </si>
  <si>
    <t>1520896228686499840</t>
  </si>
  <si>
    <t>AnExiledScot</t>
  </si>
  <si>
    <t>Sun May 01 22:41:32 +0000 2022</t>
  </si>
  <si>
    <t>3104588470</t>
  </si>
  <si>
    <t>http://pbs.twimg.com/profile_images/1512872188885745667/wst3zDfR_normal.png</t>
  </si>
  <si>
    <t>Stranger in a Strange Land</t>
  </si>
  <si>
    <t>http://twitter.com/AnExiledScot/statuses/1520896228686499840</t>
  </si>
  <si>
    <t>1520896150437777408</t>
  </si>
  <si>
    <t>fullcirclefibre</t>
  </si>
  <si>
    <t>Sun May 01 22:41:13 +0000 2022</t>
  </si>
  <si>
    <t>3600979572</t>
  </si>
  <si>
    <t>http://pbs.twimg.com/profile_images/1057016915623739392/HVPpgrh8_normal.jpg</t>
  </si>
  <si>
    <t>http://twitter.com/fullcirclefibre/statuses/1520896150437777408</t>
  </si>
  <si>
    <t>1520896122604113920</t>
  </si>
  <si>
    <t>PaulCary</t>
  </si>
  <si>
    <t>Sun May 01 22:41:07 +0000 2022</t>
  </si>
  <si>
    <t>866322283</t>
  </si>
  <si>
    <t>http://pbs.twimg.com/profile_images/1335362826936999938/a0xbZZqq_normal.jpg</t>
  </si>
  <si>
    <t>http://twitter.com/PaulCary/statuses/1520896122604113920</t>
  </si>
  <si>
    <t>1520896077364355072</t>
  </si>
  <si>
    <t>Poodlewrestler</t>
  </si>
  <si>
    <t>Sun May 01 22:40:56 +0000 2022</t>
  </si>
  <si>
    <t>19928995</t>
  </si>
  <si>
    <t>http://pbs.twimg.com/profile_images/1471813116291911684/kCxgxx-p_normal.jpg</t>
  </si>
  <si>
    <t>A town called Millhaven!!!</t>
  </si>
  <si>
    <t>http://twitter.com/Poodlewrestler/statuses/1520896077364355072</t>
  </si>
  <si>
    <t>1520896033487790080</t>
  </si>
  <si>
    <t>jenkt1</t>
  </si>
  <si>
    <t>RT @DayEskimo: @BrandonLewis Tories doing a deal with the Lib Dems in 2010 to get their hands on government.
Tories doing a deal with the DUP in 2016 (and bunging them 1.5 billion quid) to try to get a #Brexit deal through.
Tories doing a deal with the DUP to get #Brexit done.  How many peers did that cost?</t>
  </si>
  <si>
    <t>Sun May 01 22:40:45 +0000 2022</t>
  </si>
  <si>
    <t>816002813536956416</t>
  </si>
  <si>
    <t>http://pbs.twimg.com/profile_images/831184585383956481/tk6qQb9q_normal.jpg</t>
  </si>
  <si>
    <t>Suffolk, UK</t>
  </si>
  <si>
    <t>http://twitter.com/jenkt1/statuses/1520896033487790080</t>
  </si>
  <si>
    <t>{"hashtags":[],"symbols":[],"user_mentions":[{"screen_name":"DayEskimo","name":"EskimoBlueDay 3.5% FBPA 🇬🇧🏴󠁧󠁢󠁳󠁣󠁴󠁿 🇺🇦","id":1152206108930510800,"id_str":"1152206108930510848","indices":[3,13]},{"screen_name":"BrandonLewis","name":"Brandon Lewis","id":16884084,"id_str":"16884084","indices":[15,28]}],"urls":[]}</t>
  </si>
  <si>
    <t>1520895887748345860</t>
  </si>
  <si>
    <t>JolandaGjoni</t>
  </si>
  <si>
    <t>Sun May 01 22:40:11 +0000 2022</t>
  </si>
  <si>
    <t>408393843</t>
  </si>
  <si>
    <t>http://pbs.twimg.com/profile_images/1857443867/image_normal.jpg</t>
  </si>
  <si>
    <t>http://twitter.com/JolandaGjoni/statuses/1520895887748345860</t>
  </si>
  <si>
    <t>1520895842663686144</t>
  </si>
  <si>
    <t>Sun May 01 22:40:00 +0000 2022</t>
  </si>
  <si>
    <t>http://twitter.com/castervaria/statuses/1520895842663686144</t>
  </si>
  <si>
    <t>1520895738254958593</t>
  </si>
  <si>
    <t>deescattered</t>
  </si>
  <si>
    <t>Sun May 01 22:39:35 +0000 2022</t>
  </si>
  <si>
    <t>837466828993605633</t>
  </si>
  <si>
    <t>http://pbs.twimg.com/profile_images/1499202239344386048/Jjk0J6xK_normal.jpg</t>
  </si>
  <si>
    <t>Inverness</t>
  </si>
  <si>
    <t>http://twitter.com/deescattered/statuses/1520895738254958593</t>
  </si>
  <si>
    <t>1520895716385869824</t>
  </si>
  <si>
    <t>TheLynch10</t>
  </si>
  <si>
    <t>Sun May 01 22:39:30 +0000 2022</t>
  </si>
  <si>
    <t>1212025788872065031</t>
  </si>
  <si>
    <t>http://pbs.twimg.com/profile_images/1479616325899239428/tu0sk9GI_normal.jpg</t>
  </si>
  <si>
    <t>http://twitter.com/TheLynch10/statuses/1520895716385869824</t>
  </si>
  <si>
    <t>1520895663059488769</t>
  </si>
  <si>
    <t>Sun May 01 22:39:17 +0000 2022</t>
  </si>
  <si>
    <t>http://twitter.com/TheLynch10/statuses/1520895663059488769</t>
  </si>
  <si>
    <t>1520895467990786053</t>
  </si>
  <si>
    <t>pbh100</t>
  </si>
  <si>
    <t>Sun May 01 22:38:31 +0000 2022</t>
  </si>
  <si>
    <t>255000767</t>
  </si>
  <si>
    <t>http://pbs.twimg.com/profile_images/1486361079555010566/_qekSVtl_normal.jpg</t>
  </si>
  <si>
    <t>http://twitter.com/pbh100/statuses/1520895467990786053</t>
  </si>
  <si>
    <t>1520895457186258947</t>
  </si>
  <si>
    <t>Bournemouth4EU</t>
  </si>
  <si>
    <t>Sun May 01 22:38:28 +0000 2022</t>
  </si>
  <si>
    <t>820708631532466177</t>
  </si>
  <si>
    <t>http://pbs.twimg.com/profile_images/1497558085803687939/snPC2Zea_normal.jpg</t>
  </si>
  <si>
    <t>Bournemouth, England</t>
  </si>
  <si>
    <t>http://twitter.com/Bournemouth4EU/statuses/1520895457186258947</t>
  </si>
  <si>
    <t>1520895431429038083</t>
  </si>
  <si>
    <t>jngraphs</t>
  </si>
  <si>
    <t>Sun May 01 22:38:22 +0000 2022</t>
  </si>
  <si>
    <t>50118140</t>
  </si>
  <si>
    <t>http://pbs.twimg.com/profile_images/1513104972623265793/Qg6EeOfU_normal.jpg</t>
  </si>
  <si>
    <t>http://twitter.com/jngraphs/statuses/1520895431429038083</t>
  </si>
  <si>
    <t>1520895403901829122</t>
  </si>
  <si>
    <t>FBM_MidStaffs</t>
  </si>
  <si>
    <t>@markjenkinsonmp EXACTLY.
THAT is the elephant in the room, here.
The Remain media Establishment know it. And deliberately try to hide it.
Such is the DESPERATION still, even after the last GE result, of the wider non-reconciled civic and corporate and media Establishments to REVERSE #Brexit</t>
  </si>
  <si>
    <t>Sun May 01 22:38:15 +0000 2022</t>
  </si>
  <si>
    <t>3177406031</t>
  </si>
  <si>
    <t>http://pbs.twimg.com/profile_images/1024655260999184384/8V7n9pch_normal.jpg</t>
  </si>
  <si>
    <t>Cannock Chase, Staffs, UK</t>
  </si>
  <si>
    <t>http://twitter.com/FBM_MidStaffs/statuses/1520895403901829122</t>
  </si>
  <si>
    <t>{"hashtags":[{"text":"Brexit","indices":[287,294]}],"symbols":[],"user_mentions":[{"screen_name":"markjenkinsonmp","name":"Mark Jenkinson MP","id":116228328,"id_str":"116228328","indices":[0,16]}],"urls":[]}</t>
  </si>
  <si>
    <t>1520895384071155714</t>
  </si>
  <si>
    <t>Sun May 01 22:38:11 +0000 2022</t>
  </si>
  <si>
    <t>http://twitter.com/KelsallDaniel/statuses/1520895384071155714</t>
  </si>
  <si>
    <t>1520895310545174528</t>
  </si>
  <si>
    <t>whnlaws</t>
  </si>
  <si>
    <t>Sun May 01 22:37:53 +0000 2022</t>
  </si>
  <si>
    <t>1237885568</t>
  </si>
  <si>
    <t>http://pbs.twimg.com/profile_images/1477229581643894787/ObYUEoML_normal.jpg</t>
  </si>
  <si>
    <t>Off the shoulder of Orion</t>
  </si>
  <si>
    <t>http://twitter.com/whnlaws/statuses/1520895310545174528</t>
  </si>
  <si>
    <t>1520895298746335232</t>
  </si>
  <si>
    <t>Roughbird</t>
  </si>
  <si>
    <t>Sun May 01 22:37:50 +0000 2022</t>
  </si>
  <si>
    <t>26521303</t>
  </si>
  <si>
    <t>http://pbs.twimg.com/profile_images/1497110347991465986/O1BlUICG_normal.jpg</t>
  </si>
  <si>
    <t xml:space="preserve">Croydon Surrey </t>
  </si>
  <si>
    <t>http://twitter.com/Roughbird/statuses/1520895298746335232</t>
  </si>
  <si>
    <t>1520895270573199360</t>
  </si>
  <si>
    <t>Sun May 01 22:37:44 +0000 2022</t>
  </si>
  <si>
    <t>http://pbs.twimg.com/profile_images/1379309894495567873/0bND7Ya__normal.jpg</t>
  </si>
  <si>
    <t>http://twitter.com/pru_eu/statuses/1520895270573199360</t>
  </si>
  <si>
    <t>1520895212209713154</t>
  </si>
  <si>
    <t>Sun May 01 22:37:30 +0000 2022</t>
  </si>
  <si>
    <t>http://twitter.com/whnlaws/statuses/1520895212209713154</t>
  </si>
  <si>
    <t>1520895160829325312</t>
  </si>
  <si>
    <t>JBKilpatrick</t>
  </si>
  <si>
    <t>Sun May 01 22:37:17 +0000 2022</t>
  </si>
  <si>
    <t>1113922490286399488</t>
  </si>
  <si>
    <t>http://twitter.com/JBKilpatrick/statuses/1520895160829325312</t>
  </si>
  <si>
    <t>1520895134891712512</t>
  </si>
  <si>
    <t>jccharnock</t>
  </si>
  <si>
    <t>The country in the toilet is the UK. #Brexit #ToriesOut5thMay https://t.co/5W4Bo4SifR</t>
  </si>
  <si>
    <t>Sun May 01 22:37:11 +0000 2022</t>
  </si>
  <si>
    <t>2427980561</t>
  </si>
  <si>
    <t>http://pbs.twimg.com/profile_images/1345146977391169536/KLJSLJiM_normal.jpg</t>
  </si>
  <si>
    <t>http://twitter.com/jccharnock/statuses/1520895134891712512</t>
  </si>
  <si>
    <t>{"hashtags":[{"text":"Brexit","indices":[37,44]},{"text":"ToriesOut5thMay","indices":[45,61]}],"symbols":[],"user_mentions":[],"urls":[{"url":"https://t.co/5W4Bo4SifR","expanded_url":"https://twitter.com/lynnbuckley1988/status/1520682985242120196","display_url":"twitter.com/lynnbuckley198…","indices":[62,85]}]}</t>
  </si>
  <si>
    <t>1520895043573329922</t>
  </si>
  <si>
    <t>Andymorgantwit</t>
  </si>
  <si>
    <t>Sun May 01 22:36:49 +0000 2022</t>
  </si>
  <si>
    <t>582568381</t>
  </si>
  <si>
    <t>http://pbs.twimg.com/profile_images/2438429891/km2617q5w7ok0kng9qxp_normal.jpeg</t>
  </si>
  <si>
    <t>http://twitter.com/Andymorgantwit/statuses/1520895043573329922</t>
  </si>
  <si>
    <t>1520894966637203456</t>
  </si>
  <si>
    <t>MsTweets17</t>
  </si>
  <si>
    <t>Sun May 01 22:36:31 +0000 2022</t>
  </si>
  <si>
    <t>1511763814739501058</t>
  </si>
  <si>
    <t>http://pbs.twimg.com/profile_images/1520054705937866752/2N08Fe6-_normal.jpg</t>
  </si>
  <si>
    <t>http://twitter.com/MsTweets17/statuses/1520894966637203456</t>
  </si>
  <si>
    <t>1520894892838428678</t>
  </si>
  <si>
    <t>donaldstavert</t>
  </si>
  <si>
    <t>Sun May 01 22:36:13 +0000 2022</t>
  </si>
  <si>
    <t>15109854</t>
  </si>
  <si>
    <t>http://pbs.twimg.com/profile_images/1353690551804178433/Gw_dO7U6_normal.jpg</t>
  </si>
  <si>
    <t>WEST LOTHIAN</t>
  </si>
  <si>
    <t>http://twitter.com/donaldstavert/statuses/1520894892838428678</t>
  </si>
  <si>
    <t>1520894864942157825</t>
  </si>
  <si>
    <t>Wantage991</t>
  </si>
  <si>
    <t>Sun May 01 22:36:07 +0000 2022</t>
  </si>
  <si>
    <t>1176458244350447616</t>
  </si>
  <si>
    <t>http://twitter.com/Wantage991/statuses/1520894864942157825</t>
  </si>
  <si>
    <t>1520894861070807040</t>
  </si>
  <si>
    <t>chrysha22</t>
  </si>
  <si>
    <t>Sun May 01 22:36:06 +0000 2022</t>
  </si>
  <si>
    <t>102317888</t>
  </si>
  <si>
    <t>http://pbs.twimg.com/profile_images/1497376597426454528/tWzKjivo_normal.jpg</t>
  </si>
  <si>
    <t>http://twitter.com/chrysha22/statuses/1520894861070807040</t>
  </si>
  <si>
    <t>1520894860156416001</t>
  </si>
  <si>
    <t>corinna_gregory</t>
  </si>
  <si>
    <t>2153237773</t>
  </si>
  <si>
    <t>http://pbs.twimg.com/profile_images/1421945416422203394/E9sTlmky_normal.jpg</t>
  </si>
  <si>
    <t>http://twitter.com/corinna_gregory/statuses/1520894860156416001</t>
  </si>
  <si>
    <t>1520894852950642690</t>
  </si>
  <si>
    <t>@steve_hawkes #Brexit #ToryBrexitDisaster https://t.co/0uJPVk5GqE</t>
  </si>
  <si>
    <t>Sun May 01 22:36:04 +0000 2022</t>
  </si>
  <si>
    <t>http://twitter.com/JohnKLDN/statuses/1520894852950642690</t>
  </si>
  <si>
    <t>{"hashtags":[{"text":"Brexit","indices":[14,21]},{"text":"ToryBrexitDisaster","indices":[22,41]}],"symbols":[],"user_mentions":[{"screen_name":"steve_hawkes","name":"Steve Hawkes","id":41394240,"id_str":"41394240","indices":[0,13]}],"urls":[],"media":[{"id":1520894850677325800,"id_str":"1520894850677325824","indices":[42,65],"media_url":"http://pbs.twimg.com/media/FRtNzwNXwAAZPR6.jpg","media_url_https":"https://pbs.twimg.com/media/FRtNzwNXwAAZPR6.jpg","url":"https://t.co/0uJPVk5GqE","display_url":"pic.twitter.com/0uJPVk5GqE","expanded_url":"https://twitter.com/JohnKLDN/status/1520894852950642690/photo/1","type":"photo","sizes":{"thumb":{"w":150,"h":150,"resize":"crop"},"medium":{"w":1200,"h":900,"resize":"fit"},"small":{"w":680,"h":510,"resize":"fit"},"large":{"w":1200,"h":900,"resize":"fit"}}}]}</t>
  </si>
  <si>
    <t>1520894851604267009</t>
  </si>
  <si>
    <t>AndrewRemainEU</t>
  </si>
  <si>
    <t>832370043530932231</t>
  </si>
  <si>
    <t>http://pbs.twimg.com/profile_images/1110883721958383616/lcJ8qzed_normal.jpg</t>
  </si>
  <si>
    <t>Lincoln (UK)</t>
  </si>
  <si>
    <t>http://twitter.com/AndrewRemainEU/statuses/1520894851604267009</t>
  </si>
  <si>
    <t>1520894816057442305</t>
  </si>
  <si>
    <t>cardiff_martian</t>
  </si>
  <si>
    <t>Sun May 01 22:35:55 +0000 2022</t>
  </si>
  <si>
    <t>198505957</t>
  </si>
  <si>
    <t>http://pbs.twimg.com/profile_images/1029000573834731523/UP46oBLb_normal.jpg</t>
  </si>
  <si>
    <t>http://twitter.com/cardiff_martian/statuses/1520894816057442305</t>
  </si>
  <si>
    <t>1520894710029721602</t>
  </si>
  <si>
    <t>leo14754</t>
  </si>
  <si>
    <t>Sun May 01 22:35:30 +0000 2022</t>
  </si>
  <si>
    <t>568617462</t>
  </si>
  <si>
    <t>http://pbs.twimg.com/profile_images/649704744177520640/JoGy7UBL_normal.jpg</t>
  </si>
  <si>
    <t>SW UK, Europe</t>
  </si>
  <si>
    <t>http://twitter.com/leo14754/statuses/1520894710029721602</t>
  </si>
  <si>
    <t>1520894668074102787</t>
  </si>
  <si>
    <t>choccie_thief</t>
  </si>
  <si>
    <t>Sun May 01 22:35:20 +0000 2022</t>
  </si>
  <si>
    <t>1357750910</t>
  </si>
  <si>
    <t>http://pbs.twimg.com/profile_images/1100315986211811329/PAI-uA7Q_normal.jpg</t>
  </si>
  <si>
    <t>http://twitter.com/choccie_thief/statuses/1520894668074102787</t>
  </si>
  <si>
    <t>1520894658980810753</t>
  </si>
  <si>
    <t>SimmonsKen</t>
  </si>
  <si>
    <t>Sun May 01 22:35:18 +0000 2022</t>
  </si>
  <si>
    <t>1245842620125007873</t>
  </si>
  <si>
    <t>http://pbs.twimg.com/profile_images/1478822496744972290/MbyivwcP_normal.jpg</t>
  </si>
  <si>
    <t>http://twitter.com/SimmonsKen/statuses/1520894658980810753</t>
  </si>
  <si>
    <t>1520894642044219392</t>
  </si>
  <si>
    <t>Sun May 01 22:35:14 +0000 2022</t>
  </si>
  <si>
    <t>http://twitter.com/choccie_thief/statuses/1520894642044219392</t>
  </si>
  <si>
    <t>1520894625564839939</t>
  </si>
  <si>
    <t>Sun May 01 22:35:10 +0000 2022</t>
  </si>
  <si>
    <t>http://twitter.com/jccharnock/statuses/1520894625564839939</t>
  </si>
  <si>
    <t>1520894594002698240</t>
  </si>
  <si>
    <t>remainophile</t>
  </si>
  <si>
    <t>Sun May 01 22:35:02 +0000 2022</t>
  </si>
  <si>
    <t>2150158577</t>
  </si>
  <si>
    <t>http://pbs.twimg.com/profile_images/827578527318937606/CwqMCNWx_normal.jpg</t>
  </si>
  <si>
    <t>http://twitter.com/remainophile/statuses/1520894594002698240</t>
  </si>
  <si>
    <t>1520894563967287296</t>
  </si>
  <si>
    <t>Sun May 01 22:34:55 +0000 2022</t>
  </si>
  <si>
    <t>http://twitter.com/donaldstavert/statuses/1520894563967287296</t>
  </si>
  <si>
    <t>1520894557612920832</t>
  </si>
  <si>
    <t>TheSirFin</t>
  </si>
  <si>
    <t>Sun May 01 22:34:54 +0000 2022</t>
  </si>
  <si>
    <t>336537561</t>
  </si>
  <si>
    <t>http://pbs.twimg.com/profile_images/1480916916034318350/FArn408o_normal.jpg</t>
  </si>
  <si>
    <t xml:space="preserve">Bristol, Via Ireland. </t>
  </si>
  <si>
    <t>http://twitter.com/TheSirFin/statuses/1520894557612920832</t>
  </si>
  <si>
    <t>1520894476742500352</t>
  </si>
  <si>
    <t>#Brexit was and is just a way to re-engineer British society, promote new form of slaveries and export neoangloglobal agenda. That’s way they don’t concentrate on actual harms because it is just pure ideology. https://t.co/GJwLpCUfuh</t>
  </si>
  <si>
    <t>Sun May 01 22:34:34 +0000 2022</t>
  </si>
  <si>
    <t>http://twitter.com/AndreaMatyellow/statuses/1520894476742500352</t>
  </si>
  <si>
    <t>{"hashtags":[{"text":"Brexit","indices":[0,7]}],"symbols":[],"user_mentions":[],"urls":[{"url":"https://t.co/GJwLpCUfuh","expanded_url":"https://twitter.com/anna_soubry/status/1520749252313505793","display_url":"twitter.com/anna_soubry/st…","indices":[210,233]}]}</t>
  </si>
  <si>
    <t>1520894425894899716</t>
  </si>
  <si>
    <t>Sun May 01 22:34:22 +0000 2022</t>
  </si>
  <si>
    <t>http://twitter.com/carolyndare/statuses/1520894425894899716</t>
  </si>
  <si>
    <t>1520894423286046720</t>
  </si>
  <si>
    <t>francis_farrell</t>
  </si>
  <si>
    <t>767901314</t>
  </si>
  <si>
    <t>http://twitter.com/francis_farrell/statuses/1520894423286046720</t>
  </si>
  <si>
    <t>1520894366331588609</t>
  </si>
  <si>
    <t>anparry</t>
  </si>
  <si>
    <t>Sun May 01 22:34:08 +0000 2022</t>
  </si>
  <si>
    <t>22600989</t>
  </si>
  <si>
    <t>http://pbs.twimg.com/profile_images/1281563803302453255/ge3VBPJN_normal.jpg</t>
  </si>
  <si>
    <t>Valpolicella</t>
  </si>
  <si>
    <t>http://twitter.com/anparry/statuses/1520894366331588609</t>
  </si>
  <si>
    <t>1520894322517987328</t>
  </si>
  <si>
    <t>pchallinor</t>
  </si>
  <si>
    <t>Our #Brexit uplands are so sunny that the bankers have to deliberately engineer our recessions instead of just stumbling into them https://t.co/dqID3Alua9</t>
  </si>
  <si>
    <t>Sun May 01 22:33:57 +0000 2022</t>
  </si>
  <si>
    <t>14663837</t>
  </si>
  <si>
    <t>http://pbs.twimg.com/profile_images/53829328/davros_copy_normal.jpg</t>
  </si>
  <si>
    <t>http://twitter.com/pchallinor/statuses/1520894322517987328</t>
  </si>
  <si>
    <t>{"hashtags":[{"text":"Brexit","indices":[4,11]}],"symbols":[],"user_mentions":[],"urls":[{"url":"https://t.co/dqID3Alua9","expanded_url":"https://www.theguardian.com/business/2022/may/01/bank-of-england-duty-bound-to-trigger-recession-to-curb-inflation","display_url":"theguardian.com/business/2022/…","indices":[131,154]}]}</t>
  </si>
  <si>
    <t>1520894042665635840</t>
  </si>
  <si>
    <t>Johnnyrelevant</t>
  </si>
  <si>
    <t>Sun May 01 22:32:51 +0000 2022</t>
  </si>
  <si>
    <t>427231928</t>
  </si>
  <si>
    <t>http://pbs.twimg.com/profile_images/1452826464345378819/TC7qor1K_normal.jpg</t>
  </si>
  <si>
    <t>http://twitter.com/Johnnyrelevant/statuses/1520894042665635840</t>
  </si>
  <si>
    <t>1520893861979172864</t>
  </si>
  <si>
    <t>suecor</t>
  </si>
  <si>
    <t>Sun May 01 22:32:08 +0000 2022</t>
  </si>
  <si>
    <t>128162034</t>
  </si>
  <si>
    <t>Wharncliffe Side, England</t>
  </si>
  <si>
    <t>http://twitter.com/suecor/statuses/1520893861979172864</t>
  </si>
  <si>
    <t>1520893723395170304</t>
  </si>
  <si>
    <t>Truthmeister01</t>
  </si>
  <si>
    <t>Sun May 01 22:31:35 +0000 2022</t>
  </si>
  <si>
    <t>841091068137525248</t>
  </si>
  <si>
    <t>http://pbs.twimg.com/profile_images/1455336436534812682/s0qppesg_normal.jpg</t>
  </si>
  <si>
    <t>http://twitter.com/Truthmeister01/statuses/1520893723395170304</t>
  </si>
  <si>
    <t>1520893715090481159</t>
  </si>
  <si>
    <t>CuttingsQueen</t>
  </si>
  <si>
    <t>Sun May 01 22:31:33 +0000 2022</t>
  </si>
  <si>
    <t>236969181</t>
  </si>
  <si>
    <t>http://pbs.twimg.com/profile_images/473461279512739841/dKawrzy2_normal.jpeg</t>
  </si>
  <si>
    <t>Deepest Devon</t>
  </si>
  <si>
    <t>http://twitter.com/CuttingsQueen/statuses/1520893715090481159</t>
  </si>
  <si>
    <t>1520893661810241545</t>
  </si>
  <si>
    <t>billsimpson16</t>
  </si>
  <si>
    <t>Sun May 01 22:31:20 +0000 2022</t>
  </si>
  <si>
    <t>522685906</t>
  </si>
  <si>
    <t>http://twitter.com/billsimpson16/statuses/1520893661810241545</t>
  </si>
  <si>
    <t>1520893647599943680</t>
  </si>
  <si>
    <t>MatthewBaker8</t>
  </si>
  <si>
    <t>Sun May 01 22:31:17 +0000 2022</t>
  </si>
  <si>
    <t>3247507743</t>
  </si>
  <si>
    <t>http://pbs.twimg.com/profile_images/870278651924938752/4CMVAiSq_normal.jpg</t>
  </si>
  <si>
    <t>http://twitter.com/MatthewBaker8/statuses/1520893647599943680</t>
  </si>
  <si>
    <t>1520893489071988736</t>
  </si>
  <si>
    <t>BillyBr56707418</t>
  </si>
  <si>
    <t>RT @JoannaTurner8: @Anna_Soubry Thank you for your honesty &amp;amp; decency in speaking the truth about #Brexit when neither the PM, Tory Party or the mainstream media will. You are a shining light among this dreadful corrupt &amp;amp; immoral culture that our politics has now descended into.</t>
  </si>
  <si>
    <t>Sun May 01 22:30:39 +0000 2022</t>
  </si>
  <si>
    <t>1432452828694450176</t>
  </si>
  <si>
    <t>http://pbs.twimg.com/profile_images/1509113542422802434/gE2dzp7F_normal.jpg</t>
  </si>
  <si>
    <t>http://twitter.com/BillyBr56707418/statuses/1520893489071988736</t>
  </si>
  <si>
    <t>{"hashtags":[{"text":"Brexit","indices":[101,108]}],"symbols":[],"user_mentions":[{"screen_name":"JoannaTurner8","name":"Joanna Turner","id":731454242,"id_str":"731454242","indices":[3,17]},{"screen_name":"Anna_Soubry","name":"Anna Soubry","id":326184301,"id_str":"326184301","indices":[19,31]}],"urls":[]}</t>
  </si>
  <si>
    <t>1520893480364617729</t>
  </si>
  <si>
    <t>PhilipB27707256</t>
  </si>
  <si>
    <t>Sun May 01 22:30:37 +0000 2022</t>
  </si>
  <si>
    <t>1427763415582494725</t>
  </si>
  <si>
    <t>http://pbs.twimg.com/profile_images/1427763712941830147/JTrGKtee_normal.jpg</t>
  </si>
  <si>
    <t>http://twitter.com/PhilipB27707256/statuses/1520893480364617729</t>
  </si>
  <si>
    <t>1520893357240819717</t>
  </si>
  <si>
    <t>chriswalford</t>
  </si>
  <si>
    <t>Sun May 01 22:30:07 +0000 2022</t>
  </si>
  <si>
    <t>53757387</t>
  </si>
  <si>
    <t>http://pbs.twimg.com/profile_images/446911831006003200/ReVFW3DX_normal.jpeg</t>
  </si>
  <si>
    <t>Southwest Wiltshire, Europe</t>
  </si>
  <si>
    <t>http://twitter.com/chriswalford/statuses/1520893357240819717</t>
  </si>
  <si>
    <t>1520893338135797760</t>
  </si>
  <si>
    <t>GonnyGlass</t>
  </si>
  <si>
    <t>Sun May 01 22:30:03 +0000 2022</t>
  </si>
  <si>
    <t>367693978</t>
  </si>
  <si>
    <t>http://pbs.twimg.com/profile_images/1224162486364053504/QoTV-wp7_normal.jpg</t>
  </si>
  <si>
    <t>http://twitter.com/GonnyGlass/statuses/1520893338135797760</t>
  </si>
  <si>
    <t>1520893149631160320</t>
  </si>
  <si>
    <t>GlukVanstone</t>
  </si>
  <si>
    <t>What a twat.  #brexit
#BorisJohnsonResign https://t.co/xuqD9El3p4</t>
  </si>
  <si>
    <t>Sun May 01 22:29:18 +0000 2022</t>
  </si>
  <si>
    <t>1307856575848120320</t>
  </si>
  <si>
    <t>http://pbs.twimg.com/profile_images/1427366536117956608/-NRUTolL_normal.jpg</t>
  </si>
  <si>
    <t>http://twitter.com/GlukVanstone/statuses/1520893149631160320</t>
  </si>
  <si>
    <t>{"hashtags":[{"text":"brexit","indices":[14,21]},{"text":"BorisJohnsonResign","indices":[22,41]}],"symbols":[],"user_mentions":[],"urls":[],"media":[{"id":1520893147827560400,"id_str":"1520893147827560448","indices":[42,65],"media_url":"http://pbs.twimg.com/media/FRtMQomWYAAJrzv.jpg","media_url_https":"https://pbs.twimg.com/media/FRtMQomWYAAJrzv.jpg","url":"https://t.co/xuqD9El3p4","display_url":"pic.twitter.com/xuqD9El3p4","expanded_url":"https://twitter.com/GlukVanstone/status/1520893149631160320/photo/1","type":"photo","sizes":{"thumb":{"w":150,"h":150,"resize":"crop"},"medium":{"w":568,"h":1200,"resize":"fit"},"large":{"w":720,"h":1520,"resize":"fit"},"small":{"w":322,"h":680,"resize":"fit"}}}]}</t>
  </si>
  <si>
    <t>1520893143780147206</t>
  </si>
  <si>
    <t>BradipoWayway</t>
  </si>
  <si>
    <t>Sun May 01 22:29:16 +0000 2022</t>
  </si>
  <si>
    <t>285343077</t>
  </si>
  <si>
    <t>http://pbs.twimg.com/profile_images/1319144498/bradipo_normal.jpg</t>
  </si>
  <si>
    <t>http://twitter.com/BradipoWayway/statuses/1520893143780147206</t>
  </si>
  <si>
    <t>1520893115149819910</t>
  </si>
  <si>
    <t>linda36736762</t>
  </si>
  <si>
    <t>Sun May 01 22:29:10 +0000 2022</t>
  </si>
  <si>
    <t>1896593748</t>
  </si>
  <si>
    <t>http://pbs.twimg.com/profile_images/870905435158695936/xDmHU71e_normal.jpg</t>
  </si>
  <si>
    <t>http://twitter.com/linda36736762/statuses/1520893115149819910</t>
  </si>
  <si>
    <t>1520893106337599493</t>
  </si>
  <si>
    <t>LochlainnNic</t>
  </si>
  <si>
    <t>Sun May 01 22:29:08 +0000 2022</t>
  </si>
  <si>
    <t>1345822161789923329</t>
  </si>
  <si>
    <t>http://twitter.com/LochlainnNic/statuses/1520893106337599493</t>
  </si>
  <si>
    <t>1520893069721223168</t>
  </si>
  <si>
    <t>LorraineRogerso</t>
  </si>
  <si>
    <t>Sun May 01 22:28:59 +0000 2022</t>
  </si>
  <si>
    <t>310786396</t>
  </si>
  <si>
    <t>http://pbs.twimg.com/profile_images/1520795205510877188/TD5m49dB_normal.jpg</t>
  </si>
  <si>
    <t>Broadstairs</t>
  </si>
  <si>
    <t>http://twitter.com/LorraineRogerso/statuses/1520893069721223168</t>
  </si>
  <si>
    <t>1520892938045341697</t>
  </si>
  <si>
    <t>Bollocks2Brexit</t>
  </si>
  <si>
    <t>Sun May 01 22:28:27 +0000 2022</t>
  </si>
  <si>
    <t>941313917808271360</t>
  </si>
  <si>
    <t>http://pbs.twimg.com/profile_images/1498753821350236161/dGlwptOb_normal.png</t>
  </si>
  <si>
    <t>Totnes, Devon, England</t>
  </si>
  <si>
    <t>http://twitter.com/Bollocks2Brexit/statuses/1520892938045341697</t>
  </si>
  <si>
    <t>1520892883984957442</t>
  </si>
  <si>
    <t>ManleyAjmanley</t>
  </si>
  <si>
    <t>Sun May 01 22:28:15 +0000 2022</t>
  </si>
  <si>
    <t>3070069251</t>
  </si>
  <si>
    <t>http://pbs.twimg.com/profile_images/1481260055001452555/MDQc6DOQ_normal.jpg</t>
  </si>
  <si>
    <t>Suffolk</t>
  </si>
  <si>
    <t>http://twitter.com/ManleyAjmanley/statuses/1520892883984957442</t>
  </si>
  <si>
    <t>1520892683627159552</t>
  </si>
  <si>
    <t>Jackcdawes</t>
  </si>
  <si>
    <t>Sun May 01 22:27:27 +0000 2022</t>
  </si>
  <si>
    <t>3065680671</t>
  </si>
  <si>
    <t>http://pbs.twimg.com/profile_images/1505597928060211205/1_CfPlSf_normal.jpg</t>
  </si>
  <si>
    <t>http://twitter.com/Jackcdawes/statuses/1520892683627159552</t>
  </si>
  <si>
    <t>1520892677709082624</t>
  </si>
  <si>
    <t>3d3dave</t>
  </si>
  <si>
    <t>Sun May 01 22:27:25 +0000 2022</t>
  </si>
  <si>
    <t>570819830</t>
  </si>
  <si>
    <t>http://pbs.twimg.com/profile_images/874233849638772736/ThBtVyJc_normal.jpg</t>
  </si>
  <si>
    <t>Aylesbury Buckinghamshire</t>
  </si>
  <si>
    <t>http://twitter.com/3d3dave/statuses/1520892677709082624</t>
  </si>
  <si>
    <t>1520892563741360128</t>
  </si>
  <si>
    <t>gw_emily</t>
  </si>
  <si>
    <t>Sun May 01 22:26:58 +0000 2022</t>
  </si>
  <si>
    <t>1100846148</t>
  </si>
  <si>
    <t>http://pbs.twimg.com/profile_images/1477002720515182592/pkp6cG4Q_normal.jpg</t>
  </si>
  <si>
    <t>http://twitter.com/gw_emily/statuses/1520892563741360128</t>
  </si>
  <si>
    <t>1520892542912540672</t>
  </si>
  <si>
    <t>rittster</t>
  </si>
  <si>
    <t>Sun May 01 22:26:53 +0000 2022</t>
  </si>
  <si>
    <t>91231285</t>
  </si>
  <si>
    <t>http://pbs.twimg.com/profile_images/1279761638934089728/PGrfMEOB_normal.jpg</t>
  </si>
  <si>
    <t>Belfast, N. Ireland</t>
  </si>
  <si>
    <t>http://twitter.com/rittster/statuses/1520892542912540672</t>
  </si>
  <si>
    <t>1520892534091878402</t>
  </si>
  <si>
    <t>FatimaDuerden</t>
  </si>
  <si>
    <t>Sun May 01 22:26:51 +0000 2022</t>
  </si>
  <si>
    <t>19508952</t>
  </si>
  <si>
    <t>http://pbs.twimg.com/profile_images/1492600804934623235/i93tUyFQ_normal.jpg</t>
  </si>
  <si>
    <t>http://twitter.com/FatimaDuerden/statuses/1520892534091878402</t>
  </si>
  <si>
    <t>1520892361571815426</t>
  </si>
  <si>
    <t>Qu1ny</t>
  </si>
  <si>
    <t>Sun May 01 22:26:10 +0000 2022</t>
  </si>
  <si>
    <t>224709053</t>
  </si>
  <si>
    <t>http://pbs.twimg.com/profile_images/1407803942797447173/tfmX7WY4_normal.jpg</t>
  </si>
  <si>
    <t>Armadale, Scotland</t>
  </si>
  <si>
    <t>http://twitter.com/Qu1ny/statuses/1520892361571815426</t>
  </si>
  <si>
    <t>1520892331653795840</t>
  </si>
  <si>
    <t>Sun May 01 22:26:03 +0000 2022</t>
  </si>
  <si>
    <t>http://twitter.com/3d3dave/statuses/1520892331653795840</t>
  </si>
  <si>
    <t>1520892321901989891</t>
  </si>
  <si>
    <t>joannekarma</t>
  </si>
  <si>
    <t>Sun May 01 22:26:01 +0000 2022</t>
  </si>
  <si>
    <t>232144061</t>
  </si>
  <si>
    <t>http://pbs.twimg.com/profile_images/873182361030201344/Vjy5arMx_normal.jpg</t>
  </si>
  <si>
    <t>London/Kent</t>
  </si>
  <si>
    <t>http://twitter.com/joannekarma/statuses/1520892321901989891</t>
  </si>
  <si>
    <t>1520892302276775936</t>
  </si>
  <si>
    <t>hope99915</t>
  </si>
  <si>
    <t>Sun May 01 22:25:56 +0000 2022</t>
  </si>
  <si>
    <t>1505199972463087625</t>
  </si>
  <si>
    <t>http://pbs.twimg.com/profile_images/1510348846731300867/Ca5v0jxs_normal.jpg</t>
  </si>
  <si>
    <t>http://twitter.com/hope99915/statuses/1520892302276775936</t>
  </si>
  <si>
    <t>1520892276108664832</t>
  </si>
  <si>
    <t>gazfinch83</t>
  </si>
  <si>
    <t>Sun May 01 22:25:50 +0000 2022</t>
  </si>
  <si>
    <t>1061332530417319936</t>
  </si>
  <si>
    <t>http://twitter.com/gazfinch83/statuses/1520892276108664832</t>
  </si>
  <si>
    <t>1520892272363159553</t>
  </si>
  <si>
    <t>Sun May 01 22:25:49 +0000 2022</t>
  </si>
  <si>
    <t>http://twitter.com/PhilMorandi/statuses/1520892272363159553</t>
  </si>
  <si>
    <t>1520892257456513025</t>
  </si>
  <si>
    <t>Sun May 01 22:25:45 +0000 2022</t>
  </si>
  <si>
    <t>http://twitter.com/PhilMorandi/statuses/1520892257456513025</t>
  </si>
  <si>
    <t>1520892238615793664</t>
  </si>
  <si>
    <t>Sun May 01 22:25:41 +0000 2022</t>
  </si>
  <si>
    <t>http://twitter.com/kieranhegarty12/statuses/1520892238615793664</t>
  </si>
  <si>
    <t>1520892224074047488</t>
  </si>
  <si>
    <t>I see you are back in your comfort zone again...
Why do you bastards LIE so much???
So desperate to deter people voting for Labour or the Lib Dems, that you make false allegations that they are plotting to overturn #Brexit.
I am really pissed off with you LYING Tories 😡😡😡 https://t.co/uSWEVyBpbK</t>
  </si>
  <si>
    <t>Sun May 01 22:25:37 +0000 2022</t>
  </si>
  <si>
    <t>http://twitter.com/BernardMcEldown/statuses/1520892224074047488</t>
  </si>
  <si>
    <t>{"hashtags":[{"text":"Brexit","indices":[217,224]}],"symbols":[],"user_mentions":[],"urls":[{"url":"https://t.co/uSWEVyBpbK","expanded_url":"https://twitter.com/BrandonLewis/status/1520783926066823169","display_url":"twitter.com/BrandonLewis/s…","indices":[276,299]}]}</t>
  </si>
  <si>
    <t>1520892166276788224</t>
  </si>
  <si>
    <t>Sun May 01 22:25:23 +0000 2022</t>
  </si>
  <si>
    <t>http://twitter.com/Keith99352796/statuses/1520892166276788224</t>
  </si>
  <si>
    <t>1520892129551208448</t>
  </si>
  <si>
    <t>Sun May 01 22:25:15 +0000 2022</t>
  </si>
  <si>
    <t>http://twitter.com/RichardBentall/statuses/1520892129551208448</t>
  </si>
  <si>
    <t>1520892126082609157</t>
  </si>
  <si>
    <t>fascinatorfun</t>
  </si>
  <si>
    <t>Sun May 01 22:25:14 +0000 2022</t>
  </si>
  <si>
    <t>282914879</t>
  </si>
  <si>
    <t>http://pbs.twimg.com/profile_images/1430920244684546055/QE8j2D9h_normal.jpg</t>
  </si>
  <si>
    <t>http://twitter.com/fascinatorfun/statuses/1520892126082609157</t>
  </si>
  <si>
    <t>1520892090682691585</t>
  </si>
  <si>
    <t>Sun May 01 22:25:05 +0000 2022</t>
  </si>
  <si>
    <t>http://twitter.com/mikew4EU/statuses/1520892090682691585</t>
  </si>
  <si>
    <t>1520892067710439426</t>
  </si>
  <si>
    <t>Sun May 01 22:25:00 +0000 2022</t>
  </si>
  <si>
    <t>http://twitter.com/fascinatorfun/statuses/1520892067710439426</t>
  </si>
  <si>
    <t>1520892047699419137</t>
  </si>
  <si>
    <t>KommissarV</t>
  </si>
  <si>
    <t>Sun May 01 22:24:55 +0000 2022</t>
  </si>
  <si>
    <t>1519211377847590912</t>
  </si>
  <si>
    <t>http://pbs.twimg.com/profile_images/1519211588565278722/Es5iwR_0_normal.jpg</t>
  </si>
  <si>
    <t>http://twitter.com/KommissarV/statuses/1520892047699419137</t>
  </si>
  <si>
    <t>1520892044801105925</t>
  </si>
  <si>
    <t>Dependent2020</t>
  </si>
  <si>
    <t>Suspect Russian Asset
@POTUS #POTUS #EU #Europa @vonderleyen @EU_Commission #Brexit #Tory #TheHague @ICCT_TheHague https://t.co/nbU2ExSwni</t>
  </si>
  <si>
    <t>Sun May 01 22:24:54 +0000 2022</t>
  </si>
  <si>
    <t>1172208093633138688</t>
  </si>
  <si>
    <t>http://pbs.twimg.com/profile_images/1387175984693141508/qH9b-YYG_normal.jpg</t>
  </si>
  <si>
    <t>http://twitter.com/Dependent2020/statuses/1520892044801105925</t>
  </si>
  <si>
    <t>{"hashtags":[{"text":"POTUS","indices":[29,35]},{"text":"EU","indices":[36,39]},{"text":"Europa","indices":[40,47]},{"text":"Brexit","indices":[76,83]},{"text":"Tory","indices":[84,89]},{"text":"TheHague","indices":[90,99]}],"symbols":[],"user_mentions":[{"screen_name":"POTUS","name":"President Biden","id":1349149096909668400,"id_str":"1349149096909668363","indices":[22,28]},{"screen_name":"vonderleyen","name":"Ursula von der Leyen","id":1146329871418843100,"id_str":"1146329871418843136","indices":[48,60]},{"screen_name":"EU_Commission","name":"European Commission 🇪🇺","id":157981564,"id_str":"157981564","indices":[61,75]},{"screen_name":"ICCT_TheHague","name":"International Centre for Counter-Terrorism","id":215937650,"id_str":"215937650","indices":[100,114]}],"urls":[{"url":"https://t.co/nbU2ExSwni","expanded_url":"https://twitter.com/LibDemRejoin/status/1520649509205852161","display_url":"twitter.com/LibDemRejoin/s…","indices":[115,138]}]}</t>
  </si>
  <si>
    <t>1520892022231650306</t>
  </si>
  <si>
    <t>teablott</t>
  </si>
  <si>
    <t>Sun May 01 22:24:49 +0000 2022</t>
  </si>
  <si>
    <t>472400891</t>
  </si>
  <si>
    <t>http://pbs.twimg.com/profile_images/1497507935852847106/2EXYR67i_normal.jpg</t>
  </si>
  <si>
    <t>Somerset</t>
  </si>
  <si>
    <t>http://twitter.com/teablott/statuses/1520892022231650306</t>
  </si>
  <si>
    <t>1520892020214185988</t>
  </si>
  <si>
    <t>NigelHeal</t>
  </si>
  <si>
    <t>48959540</t>
  </si>
  <si>
    <t>http://pbs.twimg.com/profile_images/1135263635041898497/e5yM9aJE_normal.png</t>
  </si>
  <si>
    <t>http://twitter.com/NigelHeal/statuses/1520892020214185988</t>
  </si>
  <si>
    <t>1520891791473627136</t>
  </si>
  <si>
    <t>Sun May 01 22:23:54 +0000 2022</t>
  </si>
  <si>
    <t>http://twitter.com/FatimaDuerden/statuses/1520891791473627136</t>
  </si>
  <si>
    <t>1520891616998957057</t>
  </si>
  <si>
    <t>AaronJDavies1</t>
  </si>
  <si>
    <t>Sun May 01 22:23:12 +0000 2022</t>
  </si>
  <si>
    <t>1951687021</t>
  </si>
  <si>
    <t>http://pbs.twimg.com/profile_images/1098698276298203136/g0yIzpeP_normal.png</t>
  </si>
  <si>
    <t>http://twitter.com/AaronJDavies1/statuses/1520891616998957057</t>
  </si>
  <si>
    <t>1520891584765730817</t>
  </si>
  <si>
    <t>Boolie15</t>
  </si>
  <si>
    <t>RT @GeorgeC77556651: #NeverLabour #Growlergate #beergate #BeerStarmer #BackBoris #TeamBoris #Brexit https://t.co/xBbpesCZtH</t>
  </si>
  <si>
    <t>Sun May 01 22:23:05 +0000 2022</t>
  </si>
  <si>
    <t>1015636109068587010</t>
  </si>
  <si>
    <t>http://pbs.twimg.com/profile_images/1516074408984645635/7K9t6EpJ_normal.jpg</t>
  </si>
  <si>
    <t>http://twitter.com/Boolie15/statuses/1520891584765730817</t>
  </si>
  <si>
    <t>{"hashtags":[{"text":"NeverLabour","indices":[21,33]},{"text":"Growlergate","indices":[34,46]},{"text":"beergate","indices":[47,56]},{"text":"BeerStarmer","indices":[57,69]},{"text":"BackBoris","indices":[70,80]},{"text":"TeamBoris","indices":[81,91]},{"text":"Brexit","indices":[92,99]}],"symbols":[],"user_mentions":[{"screen_name":"GeorgeC77556651","name":"George Clinton and I stand when I pee","id":1279090164753674200,"id_str":"1279090164753674240","indices":[3,19]}],"urls":[]}</t>
  </si>
  <si>
    <t>1520891514821517314</t>
  </si>
  <si>
    <t>NeilMullens</t>
  </si>
  <si>
    <t>#BrexitBenefits
From today, tens of thousands of Brits will be unable to use their UK driving licence on roads in Spain as the two governments failed to come to an agreement by April 30
I wonder how many voted for #Brexit?
https://t.co/qH2W0TtODG</t>
  </si>
  <si>
    <t>Sun May 01 22:22:48 +0000 2022</t>
  </si>
  <si>
    <t>50968251</t>
  </si>
  <si>
    <t>http://pbs.twimg.com/profile_images/1475446876384239621/j5AH4ja5_normal.jpg</t>
  </si>
  <si>
    <t>Bristol UK</t>
  </si>
  <si>
    <t>http://twitter.com/NeilMullens/statuses/1520891514821517314</t>
  </si>
  <si>
    <t>{"hashtags":[{"text":"BrexitBenefits","indices":[0,15]},{"text":"Brexit","indices":[215,222]}],"symbols":[],"user_mentions":[],"urls":[{"url":"https://t.co/qH2W0TtODG","expanded_url":"https://www.mirror.co.uk/news/politics/brits-living-spain-face-road-26842520","display_url":"mirror.co.uk/news/politics/…","indices":[225,248]}]}</t>
  </si>
  <si>
    <t>1520891458080976896</t>
  </si>
  <si>
    <t>parallelsuburb</t>
  </si>
  <si>
    <t>Sun May 01 22:22:35 +0000 2022</t>
  </si>
  <si>
    <t>109068831</t>
  </si>
  <si>
    <t>http://pbs.twimg.com/profile_images/784496895225978882/mVKCM01__normal.jpg</t>
  </si>
  <si>
    <t>http://twitter.com/parallelsuburb/statuses/1520891458080976896</t>
  </si>
  <si>
    <t>1520891339000492041</t>
  </si>
  <si>
    <t>b4ngali</t>
  </si>
  <si>
    <t>@PickardJE @Patrici89225734 Lol….nothing to with #brexit all to do with voters.</t>
  </si>
  <si>
    <t>Sun May 01 22:22:06 +0000 2022</t>
  </si>
  <si>
    <t>295717711</t>
  </si>
  <si>
    <t>http://pbs.twimg.com/profile_images/487811180627763200/_ypGMz0n_normal.jpeg</t>
  </si>
  <si>
    <t>http://twitter.com/b4ngali/statuses/1520891339000492041</t>
  </si>
  <si>
    <t>{"hashtags":[{"text":"brexit","indices":[49,56]}],"symbols":[],"user_mentions":[{"screen_name":"PickardJE","name":"Jim Pickard","id":69080476,"id_str":"69080476","indices":[0,10]},{"screen_name":"Patrici89225734","name":"Baroness Patricia of Plague Island #JohnsonOut","id":1277653859301802000,"id_str":"1277653859301801984","indices":[11,27]}],"urls":[]}</t>
  </si>
  <si>
    <t>1520891243961663489</t>
  </si>
  <si>
    <t>elgarado</t>
  </si>
  <si>
    <t>Sun May 01 22:21:44 +0000 2022</t>
  </si>
  <si>
    <t>381229564</t>
  </si>
  <si>
    <t>http://pbs.twimg.com/profile_images/3614599410/cccbb81856e001229e665eee02937339_normal.jpeg</t>
  </si>
  <si>
    <t>http://twitter.com/elgarado/statuses/1520891243961663489</t>
  </si>
  <si>
    <t>1520891243047407616</t>
  </si>
  <si>
    <t>simeoncho</t>
  </si>
  <si>
    <t>Sun May 01 22:21:43 +0000 2022</t>
  </si>
  <si>
    <t>25315590</t>
  </si>
  <si>
    <t>http://pbs.twimg.com/profile_images/1463193046355431430/llq1niok_normal.jpg</t>
  </si>
  <si>
    <t>Marche, Italy</t>
  </si>
  <si>
    <t>http://twitter.com/simeoncho/statuses/1520891243047407616</t>
  </si>
  <si>
    <t>1520891237280190465</t>
  </si>
  <si>
    <t>Sun May 01 22:21:42 +0000 2022</t>
  </si>
  <si>
    <t>http://twitter.com/elgarado/statuses/1520891237280190465</t>
  </si>
  <si>
    <t>1520891154899902465</t>
  </si>
  <si>
    <t>Silklink</t>
  </si>
  <si>
    <t>Sun May 01 22:21:22 +0000 2022</t>
  </si>
  <si>
    <t>375903620</t>
  </si>
  <si>
    <t>http://pbs.twimg.com/profile_images/1407331428463955991/sRWO3J88_normal.jpg</t>
  </si>
  <si>
    <t>http://twitter.com/Silklink/statuses/1520891154899902465</t>
  </si>
  <si>
    <t>1520891152228143104</t>
  </si>
  <si>
    <t>BoopHawke</t>
  </si>
  <si>
    <t>871122501757173760</t>
  </si>
  <si>
    <t>http://pbs.twimg.com/profile_images/1419374422213939200/me6zRoL6_normal.jpg</t>
  </si>
  <si>
    <t>http://twitter.com/BoopHawke/statuses/1520891152228143104</t>
  </si>
  <si>
    <t>1520891021101522945</t>
  </si>
  <si>
    <t>FJ731</t>
  </si>
  <si>
    <t>Sun May 01 22:20:50 +0000 2022</t>
  </si>
  <si>
    <t>1257596262649561089</t>
  </si>
  <si>
    <t>http://twitter.com/FJ731/statuses/1520891021101522945</t>
  </si>
  <si>
    <t>1520890988218232832</t>
  </si>
  <si>
    <t>Sun May 01 22:20:43 +0000 2022</t>
  </si>
  <si>
    <t>http://twitter.com/jagxjr40/statuses/1520890988218232832</t>
  </si>
  <si>
    <t>1520890983667359744</t>
  </si>
  <si>
    <t>Sun May 01 22:20:41 +0000 2022</t>
  </si>
  <si>
    <t>http://twitter.com/TheSirFin/statuses/1520890983667359744</t>
  </si>
  <si>
    <t>1520890967947194372</t>
  </si>
  <si>
    <t>EdWard40100035</t>
  </si>
  <si>
    <t>@indumbpendence @John2000AD @DickWinchester @TheScotsman If we do a lot of trade with 🏴󠁧󠁢󠁥󠁮󠁧󠁿 &amp;amp; her trade slows because of #Brexit then it’ll affect what they buy from us too as their economy will slow down.
At the moment #Brexit is costing £800M/week so we’re facing the consequences of that dragging us down too.
https://t.co/4PzVHcDgPn</t>
  </si>
  <si>
    <t>Sun May 01 22:20:38 +0000 2022</t>
  </si>
  <si>
    <t>1360974274195054599</t>
  </si>
  <si>
    <t>indumbpendence</t>
  </si>
  <si>
    <t>1208768852823285762</t>
  </si>
  <si>
    <t>1520296153748844545</t>
  </si>
  <si>
    <t>http://pbs.twimg.com/profile_images/1520362457570721792/nCyOEOSU_normal.jpg</t>
  </si>
  <si>
    <t>http://twitter.com/EdWard40100035/statuses/1520890967947194372</t>
  </si>
  <si>
    <t>{"hashtags":[{"text":"Brexit","indices":[127,134]},{"text":"Brexit","indices":[227,234]}],"symbols":[],"user_mentions":[{"screen_name":"indumbpendence","name":"Christopher","id":1360974274195054600,"id_str":"1360974274195054599","indices":[0,15]},{"screen_name":"John2000AD","name":"John / #SupportingBoris","id":1465321254366466000,"id_str":"1465321254366466048","indices":[16,27]},{"screen_name":"DickWinchester","name":"Dick Winchester 🏴󠁧󠁢󠁳󠁣󠁴󠁿","id":18673064,"id_str":"18673064","indices":[28,43]},{"screen_name":"TheScotsman","name":"The Scotsman","id":17680050,"id_str":"17680050","indices":[44,56]}],"urls":[{"url":"https://t.co/4PzVHcDgPn","expanded_url":"https://www.theneweuropean.co.uk/the-figures-dont-lie-brexit-is-causing-a-disastrous-collapse-in-trade/","display_url":"theneweuropean.co.uk/the-figures-do…","indices":[321,344]}]}</t>
  </si>
  <si>
    <t>1520890962087657472</t>
  </si>
  <si>
    <t>Sun May 01 22:20:36 +0000 2022</t>
  </si>
  <si>
    <t>http://twitter.com/jagxjr40/statuses/1520890962087657472</t>
  </si>
  <si>
    <t>1520890833049993221</t>
  </si>
  <si>
    <t>WelshOfTheWest</t>
  </si>
  <si>
    <t>Sun May 01 22:20:06 +0000 2022</t>
  </si>
  <si>
    <t>522035050</t>
  </si>
  <si>
    <t>http://pbs.twimg.com/profile_images/1020053959745179648/HjeycSjk_normal.jpg</t>
  </si>
  <si>
    <t>West Wales</t>
  </si>
  <si>
    <t>http://twitter.com/WelshOfTheWest/statuses/1520890833049993221</t>
  </si>
  <si>
    <t>1520890777450303489</t>
  </si>
  <si>
    <t>CazzyRNF</t>
  </si>
  <si>
    <t>Sun May 01 22:19:52 +0000 2022</t>
  </si>
  <si>
    <t>135445189</t>
  </si>
  <si>
    <t>http://pbs.twimg.com/profile_images/1420476087990112256/_zo2Ank2_normal.jpg</t>
  </si>
  <si>
    <t>Altrincham, Cheshire</t>
  </si>
  <si>
    <t>http://twitter.com/CazzyRNF/statuses/1520890777450303489</t>
  </si>
  <si>
    <t>1520890752410308608</t>
  </si>
  <si>
    <t>KatyPaty17</t>
  </si>
  <si>
    <t>Sun May 01 22:19:46 +0000 2022</t>
  </si>
  <si>
    <t>924003901975691265</t>
  </si>
  <si>
    <t>http://pbs.twimg.com/profile_images/1461610504519135232/YnmrQIxp_normal.jpg</t>
  </si>
  <si>
    <t>http://twitter.com/KatyPaty17/statuses/1520890752410308608</t>
  </si>
  <si>
    <t>1520890587058221057</t>
  </si>
  <si>
    <t>Grey_Folded</t>
  </si>
  <si>
    <t>The #Brexit silence. https://t.co/YrykR0f9s0</t>
  </si>
  <si>
    <t>Sun May 01 22:19:07 +0000 2022</t>
  </si>
  <si>
    <t>2831988873</t>
  </si>
  <si>
    <t>http://pbs.twimg.com/profile_images/1504376284972990464/aSSbG2dw_normal.jpg</t>
  </si>
  <si>
    <t>http://twitter.com/Grey_Folded/statuses/1520890587058221057</t>
  </si>
  <si>
    <t>{"hashtags":[{"text":"Brexit","indices":[4,11]}],"symbols":[],"user_mentions":[],"urls":[{"url":"https://t.co/YrykR0f9s0","expanded_url":"https://twitter.com/Anna_Soubry/status/1520749250463866880","display_url":"twitter.com/Anna_Soubry/st…","indices":[21,44]}]}</t>
  </si>
  <si>
    <t>1520890521186709507</t>
  </si>
  <si>
    <t>SBarutta</t>
  </si>
  <si>
    <t>Sun May 01 22:18:51 +0000 2022</t>
  </si>
  <si>
    <t>406307909</t>
  </si>
  <si>
    <t>http://pbs.twimg.com/profile_images/1205783204323610624/nKKBclZ3_normal.jpg</t>
  </si>
  <si>
    <t>Worcester, England</t>
  </si>
  <si>
    <t>http://twitter.com/SBarutta/statuses/1520890521186709507</t>
  </si>
  <si>
    <t>1520890460436406272</t>
  </si>
  <si>
    <t>Sun May 01 22:18:37 +0000 2022</t>
  </si>
  <si>
    <t>http://twitter.com/jagxjr40/statuses/1520890460436406272</t>
  </si>
  <si>
    <t>1520890446028890112</t>
  </si>
  <si>
    <t>Sun May 01 22:18:33 +0000 2022</t>
  </si>
  <si>
    <t>http://twitter.com/jagxjr40/statuses/1520890446028890112</t>
  </si>
  <si>
    <t>1520890445815033857</t>
  </si>
  <si>
    <t>http://twitter.com/SBarutta/statuses/1520890445815033857</t>
  </si>
  <si>
    <t>1520890375258484736</t>
  </si>
  <si>
    <t>PaulGosling1</t>
  </si>
  <si>
    <t>Sun May 01 22:18:16 +0000 2022</t>
  </si>
  <si>
    <t>416188515</t>
  </si>
  <si>
    <t>http://pbs.twimg.com/profile_images/979700752393363459/NY5-P5mo_normal.jpg</t>
  </si>
  <si>
    <t>http://twitter.com/PaulGosling1/statuses/1520890375258484736</t>
  </si>
  <si>
    <t>1520890273936642049</t>
  </si>
  <si>
    <t>lopcute</t>
  </si>
  <si>
    <t>RT @stephen501: I bet it is some thing to do with #brexit but the @BBCNews dare not say so. https://t.co/ueOZzLH3iV</t>
  </si>
  <si>
    <t>Sun May 01 22:17:52 +0000 2022</t>
  </si>
  <si>
    <t>262302919</t>
  </si>
  <si>
    <t>http://pbs.twimg.com/profile_images/1167569526185222148/XKbQlIAG_normal.png</t>
  </si>
  <si>
    <t>http://twitter.com/lopcute/statuses/1520890273936642049</t>
  </si>
  <si>
    <t>{"hashtags":[{"text":"brexit","indices":[50,57]}],"symbols":[],"user_mentions":[{"screen_name":"stephen501","name":"Kein Engländer mehr- Ich bin Europäer Stephen","id":23607137,"id_str":"23607137","indices":[3,14]},{"screen_name":"BBCNews","name":"BBC News (UK)","id":612473,"id_str":"612473","indices":[66,74]}],"urls":[{"url":"https://t.co/ueOZzLH3iV","expanded_url":"https://www.bbc.co.uk/news/uk-61290934","display_url":"bbc.co.uk/news/uk-612909…","indices":[92,115]}]}</t>
  </si>
  <si>
    <t>1520890222556426240</t>
  </si>
  <si>
    <t>Johnmfitzp</t>
  </si>
  <si>
    <t>RT @winding_sios: “The meeting was also addressed by TUV leader Jim Allister as well as Kate Hoey and former Brexit Party MEP Ben Habib.”
Why don’t REAL British politicians want to platform with #DUP leader Jeffrey Donaldson.
Where are their Tory ERG fanboys now?
#Brexit
https://t.co/og8uiR2uah</t>
  </si>
  <si>
    <t>Sun May 01 22:17:40 +0000 2022</t>
  </si>
  <si>
    <t>1005010600471269377</t>
  </si>
  <si>
    <t>http://pbs.twimg.com/profile_images/1398316943346745344/kYvvEcWU_normal.jpg</t>
  </si>
  <si>
    <t>http://twitter.com/Johnmfitzp/statuses/1520890222556426240</t>
  </si>
  <si>
    <t>{"hashtags":[],"symbols":[],"user_mentions":[{"screen_name":"winding_sios","name":"winding_sios 🇮🇪+🇪🇺+🇺🇦","id":449864075,"id_str":"449864075","indices":[3,16]}],"urls":[]}</t>
  </si>
  <si>
    <t>1520890215493165056</t>
  </si>
  <si>
    <t>ChantalCThomas</t>
  </si>
  <si>
    <t>Sun May 01 22:17:38 +0000 2022</t>
  </si>
  <si>
    <t>522373925</t>
  </si>
  <si>
    <t>http://pbs.twimg.com/profile_images/378800000608699780/0756f5501f62118cc0199e03e5c52a25_normal.jpeg</t>
  </si>
  <si>
    <t>Bedfordshire/London UK</t>
  </si>
  <si>
    <t>http://twitter.com/ChantalCThomas/statuses/1520890215493165056</t>
  </si>
  <si>
    <t>1520890200192344065</t>
  </si>
  <si>
    <t>dp90546285</t>
  </si>
  <si>
    <t>RT @DavidBellamyUK: ‘Joint Armed Forces of the Union’ 🇪🇺
#Brexit https://t.co/TGJBmrcIBE https://t.co/hFyR8uvtBw</t>
  </si>
  <si>
    <t>Sun May 01 22:17:35 +0000 2022</t>
  </si>
  <si>
    <t>1487815250770542597</t>
  </si>
  <si>
    <t>http://twitter.com/dp90546285/statuses/1520890200192344065</t>
  </si>
  <si>
    <t>{"hashtags":[{"text":"Brexit","indices":[58,65]}],"symbols":[],"user_mentions":[{"screen_name":"DavidBellamyUK","name":"David Bellamy 🇬🇧","id":1425827864369267000,"id_str":"1425827864369266818","indices":[3,18]}],"urls":[]}</t>
  </si>
  <si>
    <t>1520890184925126658</t>
  </si>
  <si>
    <t>jasongdal2009</t>
  </si>
  <si>
    <t>@markjenkinsonmp To be fair #Brexit is an absolute shambles.</t>
  </si>
  <si>
    <t>Sun May 01 22:17:31 +0000 2022</t>
  </si>
  <si>
    <t>50100515</t>
  </si>
  <si>
    <t>http://pbs.twimg.com/profile_images/1459990409992671236/cJljGc6T_normal.jpg</t>
  </si>
  <si>
    <t xml:space="preserve">Surrey </t>
  </si>
  <si>
    <t>http://twitter.com/jasongdal2009/statuses/1520890184925126658</t>
  </si>
  <si>
    <t>{"hashtags":[{"text":"Brexit","indices":[28,35]}],"symbols":[],"user_mentions":[{"screen_name":"markjenkinsonmp","name":"Mark Jenkinson MP","id":116228328,"id_str":"116228328","indices":[0,16]}],"urls":[]}</t>
  </si>
  <si>
    <t>1520890178105229312</t>
  </si>
  <si>
    <t>damienransome</t>
  </si>
  <si>
    <t>Sun May 01 22:17:29 +0000 2022</t>
  </si>
  <si>
    <t>29009550</t>
  </si>
  <si>
    <t>http://pbs.twimg.com/profile_images/1014445449657372672/ViHsPVqS_normal.jpg</t>
  </si>
  <si>
    <t>http://twitter.com/damienransome/statuses/1520890178105229312</t>
  </si>
  <si>
    <t>1520890048765472768</t>
  </si>
  <si>
    <t>JKLDNMAD</t>
  </si>
  <si>
    <t>Sun May 01 22:16:59 +0000 2022</t>
  </si>
  <si>
    <t>872158753008877569</t>
  </si>
  <si>
    <t>http://pbs.twimg.com/profile_images/880014924407345153/zg2mChMm_normal.jpg</t>
  </si>
  <si>
    <t>Lancaster, England</t>
  </si>
  <si>
    <t>http://twitter.com/JKLDNMAD/statuses/1520890048765472768</t>
  </si>
  <si>
    <t>1520890008265437184</t>
  </si>
  <si>
    <t>goanabootbiddy</t>
  </si>
  <si>
    <t>Sun May 01 22:16:49 +0000 2022</t>
  </si>
  <si>
    <t>875870556859576322</t>
  </si>
  <si>
    <t>http://pbs.twimg.com/profile_images/1265541058005479424/wNmwdPbO_normal.jpg</t>
  </si>
  <si>
    <t xml:space="preserve">Kingdom of Fife </t>
  </si>
  <si>
    <t>http://twitter.com/goanabootbiddy/statuses/1520890008265437184</t>
  </si>
  <si>
    <t>1520889991362191368</t>
  </si>
  <si>
    <t>beith123</t>
  </si>
  <si>
    <t>Sun May 01 22:16:45 +0000 2022</t>
  </si>
  <si>
    <t>2737961502</t>
  </si>
  <si>
    <t>http://pbs.twimg.com/profile_images/1474706775211397123/RD1qU9sY_normal.jpg</t>
  </si>
  <si>
    <t>http://twitter.com/beith123/statuses/1520889991362191368</t>
  </si>
  <si>
    <t>1520889977328050176</t>
  </si>
  <si>
    <t>MaiOpine</t>
  </si>
  <si>
    <t>Sun May 01 22:16:42 +0000 2022</t>
  </si>
  <si>
    <t>1132397256</t>
  </si>
  <si>
    <t>http://pbs.twimg.com/profile_images/1486093587066589184/g2hv9SM-_normal.jpg</t>
  </si>
  <si>
    <t>http://twitter.com/MaiOpine/statuses/1520889977328050176</t>
  </si>
  <si>
    <t>1520889928774737930</t>
  </si>
  <si>
    <t>Sun May 01 22:16:30 +0000 2022</t>
  </si>
  <si>
    <t>http://twitter.com/beith123/statuses/1520889928774737930</t>
  </si>
  <si>
    <t>1520889921707425792</t>
  </si>
  <si>
    <t>SimonRodger8</t>
  </si>
  <si>
    <t>Sun May 01 22:16:28 +0000 2022</t>
  </si>
  <si>
    <t>978242521573806080</t>
  </si>
  <si>
    <t>http://pbs.twimg.com/profile_images/1375517309939367936/Y7bVi6yA_normal.jpg</t>
  </si>
  <si>
    <t>http://twitter.com/SimonRodger8/statuses/1520889921707425792</t>
  </si>
  <si>
    <t>1520889903164370944</t>
  </si>
  <si>
    <t>Katheri48033429</t>
  </si>
  <si>
    <t>Sun May 01 22:16:24 +0000 2022</t>
  </si>
  <si>
    <t>3523678342</t>
  </si>
  <si>
    <t>http://pbs.twimg.com/profile_images/1500779996008304643/TCCUIfhD_normal.jpg</t>
  </si>
  <si>
    <t>http://twitter.com/Katheri48033429/statuses/1520889903164370944</t>
  </si>
  <si>
    <t>1520889870700453888</t>
  </si>
  <si>
    <t>MilsomGillian</t>
  </si>
  <si>
    <t>Sun May 01 22:16:16 +0000 2022</t>
  </si>
  <si>
    <t>885800392512208896</t>
  </si>
  <si>
    <t>http://pbs.twimg.com/profile_images/885802090232258561/U7eG1FDo_normal.jpg</t>
  </si>
  <si>
    <t>http://twitter.com/MilsomGillian/statuses/1520889870700453888</t>
  </si>
  <si>
    <t>1520889869484150784</t>
  </si>
  <si>
    <t>http://twitter.com/beith123/statuses/1520889869484150784</t>
  </si>
  <si>
    <t>1520889828723863553</t>
  </si>
  <si>
    <t>VanesEtim</t>
  </si>
  <si>
    <t>RT @Joelinks5: FALIZA New Casual Men Jackets
https://t.co/IpCOnhfZx4 
#fashionblog  #fashiondiaries  #streetfashion  #fashionaddict  #fashionpost 
#inspo #whatiwore  #womensfashion  #wiwt #vintagestyle  #wiw
#Brexit #UnitedStates #thursdayvibes #european
#competition #influencer</t>
  </si>
  <si>
    <t>Sun May 01 22:16:06 +0000 2022</t>
  </si>
  <si>
    <t>985614510034694144</t>
  </si>
  <si>
    <t>&lt;a href="http://www.example.com" rel="nofollow"&gt;VanesEtimFashion&lt;/a&gt;</t>
  </si>
  <si>
    <t>http://pbs.twimg.com/profile_images/985618906336415745/3l5WQocW_normal.jpg</t>
  </si>
  <si>
    <t>http://twitter.com/VanesEtim/statuses/1520889828723863553</t>
  </si>
  <si>
    <t>{"hashtags":[{"text":"fashionblog","indices":[70,82]},{"text":"fashiondiaries","indices":[84,99]},{"text":"streetfashion","indices":[101,115]},{"text":"fashionaddict","indices":[117,131]}],"symbols":[],"user_mentions":[{"screen_name":"Joelinks5","name":"Joelinks Store™","id":1050301296471928800,"id_str":"1050301296471928832","indices":[3,13]}],"urls":[{"url":"https://t.co/IpCOnhfZx4","expanded_url":"https://joelinksstore.com/faliza-new-casual-men-jackets-spring-autumn-bomber-jacket-men-windbreaker-jacket-mens-jackets-and-coats-casacos-masculino-jk101/","display_url":"joelinksstore.com/faliza-new-cas…","indices":[45,68]}]}</t>
  </si>
  <si>
    <t>1520889819475419136</t>
  </si>
  <si>
    <t>lemonwhisper</t>
  </si>
  <si>
    <t>Sun May 01 22:16:04 +0000 2022</t>
  </si>
  <si>
    <t>343641656</t>
  </si>
  <si>
    <t>http://pbs.twimg.com/profile_images/1451637130556497928/njx4FWwL_normal.jpg</t>
  </si>
  <si>
    <t>http://twitter.com/lemonwhisper/statuses/1520889819475419136</t>
  </si>
  <si>
    <t>1520889805348945924</t>
  </si>
  <si>
    <t>Sun May 01 22:16:01 +0000 2022</t>
  </si>
  <si>
    <t>http://twitter.com/beith123/statuses/1520889805348945924</t>
  </si>
  <si>
    <t>1520889802127974400</t>
  </si>
  <si>
    <t>gramt_g</t>
  </si>
  <si>
    <t>Sun May 01 22:16:00 +0000 2022</t>
  </si>
  <si>
    <t>1697950382</t>
  </si>
  <si>
    <t>http://pbs.twimg.com/profile_images/1287875955596365824/5uJkvOdK_normal.jpg</t>
  </si>
  <si>
    <t>http://twitter.com/gramt_g/statuses/1520889802127974400</t>
  </si>
  <si>
    <t>1520889743730429953</t>
  </si>
  <si>
    <t>Sun May 01 22:15:46 +0000 2022</t>
  </si>
  <si>
    <t>http://twitter.com/beith123/statuses/1520889743730429953</t>
  </si>
  <si>
    <t>1520889722826108928</t>
  </si>
  <si>
    <t>Treensy2</t>
  </si>
  <si>
    <t>Sun May 01 22:15:41 +0000 2022</t>
  </si>
  <si>
    <t>236875405</t>
  </si>
  <si>
    <t>http://pbs.twimg.com/profile_images/674307873153884165/IRp22KcM_normal.jpg</t>
  </si>
  <si>
    <t>Belfast N Ireland</t>
  </si>
  <si>
    <t>http://twitter.com/Treensy2/statuses/1520889722826108928</t>
  </si>
  <si>
    <t>1520889701393121285</t>
  </si>
  <si>
    <t>dollymix2015</t>
  </si>
  <si>
    <t>RT @AlasSmithJones: @johnson_wo @AngelaRayner #BackBoris #TeamBoris #BorisTrain #NeverLabour #NeverLiebour #Conservatives #LabourHypocricy #LabourSleaze #LabourLies #CaptainHindsight #HypocriteStarmer #SmarmyStarmer #StarmerLies #ScumMedia #DefundTheBBC #Brexit #ResignStarmer #ResignRayner #SirBeerStarmer #DurhamGate</t>
  </si>
  <si>
    <t>Sun May 01 22:15:36 +0000 2022</t>
  </si>
  <si>
    <t>1493569786613493760</t>
  </si>
  <si>
    <t>http://twitter.com/dollymix2015/statuses/1520889701393121285</t>
  </si>
  <si>
    <t>{"hashtags":[{"text":"BackBoris","indices":[46,56]},{"text":"TeamBoris","indices":[57,67]},{"text":"BorisTrain","indices":[68,79]},{"text":"NeverLabour","indices":[80,92]},{"text":"NeverLiebour","indices":[93,106]},{"text":"Conservatives","indices":[107,121]},{"text":"LabourHypocricy","indices":[122,138]}],"symbols":[],"user_mentions":[{"screen_name":"AlasSmithJones","name":"David Partington #BackBoris #ResignSturgeon","id":1488899444087177200,"id_str":"1488899444087177216","indices":[3,18]},{"screen_name":"johnson_wo","name":"CJ 19","id":821835333608337400,"id_str":"821835333608337409","indices":[20,31]},{"screen_name":"AngelaRayner","name":"Angela Rayner 🌹","id":222748037,"id_str":"222748037","indices":[32,45]}],"urls":[]}</t>
  </si>
  <si>
    <t>1520889689057767429</t>
  </si>
  <si>
    <t>AllyParry</t>
  </si>
  <si>
    <t>Sun May 01 22:15:33 +0000 2022</t>
  </si>
  <si>
    <t>83566725</t>
  </si>
  <si>
    <t>http://pbs.twimg.com/profile_images/1419734103847424009/4fUqrtXK_normal.png</t>
  </si>
  <si>
    <t>#ScouseNotEnglish</t>
  </si>
  <si>
    <t>http://twitter.com/AllyParry/statuses/1520889689057767429</t>
  </si>
  <si>
    <t>1520889681528991745</t>
  </si>
  <si>
    <t>david_mcnab</t>
  </si>
  <si>
    <t>Sun May 01 22:15:31 +0000 2022</t>
  </si>
  <si>
    <t>2604641061</t>
  </si>
  <si>
    <t>http://pbs.twimg.com/profile_images/1338171886824546306/tSOfhwS3_normal.jpg</t>
  </si>
  <si>
    <t>http://twitter.com/david_mcnab/statuses/1520889681528991745</t>
  </si>
  <si>
    <t>1520889612864008193</t>
  </si>
  <si>
    <t>Sun May 01 22:15:15 +0000 2022</t>
  </si>
  <si>
    <t>http://twitter.com/JennyJones1313/statuses/1520889612864008193</t>
  </si>
  <si>
    <t>1520889586867744769</t>
  </si>
  <si>
    <t>khp_oc94</t>
  </si>
  <si>
    <t>Sun May 01 22:15:08 +0000 2022</t>
  </si>
  <si>
    <t>185373204</t>
  </si>
  <si>
    <t>http://pbs.twimg.com/profile_images/1230825925283110914/tXwf38BN_normal.jpg</t>
  </si>
  <si>
    <t>http://twitter.com/khp_oc94/statuses/1520889586867744769</t>
  </si>
  <si>
    <t>1520889577543766020</t>
  </si>
  <si>
    <t>TimCR_Baker</t>
  </si>
  <si>
    <t>Sun May 01 22:15:06 +0000 2022</t>
  </si>
  <si>
    <t>880382933579812865</t>
  </si>
  <si>
    <t>http://pbs.twimg.com/profile_images/1278781638953119747/hlz7I3BH_normal.jpg</t>
  </si>
  <si>
    <t>NW England, GB, UK, EU, Sol 3</t>
  </si>
  <si>
    <t>http://twitter.com/TimCR_Baker/statuses/1520889577543766020</t>
  </si>
  <si>
    <t>1520889567984996358</t>
  </si>
  <si>
    <t>Stu__F</t>
  </si>
  <si>
    <t>Sun May 01 22:15:04 +0000 2022</t>
  </si>
  <si>
    <t>312210748</t>
  </si>
  <si>
    <t>http://pbs.twimg.com/profile_images/1472510548084408322/u9F5miqj_normal.jpg</t>
  </si>
  <si>
    <t>http://twitter.com/Stu__F/statuses/1520889567984996358</t>
  </si>
  <si>
    <t>1520889400821006337</t>
  </si>
  <si>
    <t>JimlennonLennon</t>
  </si>
  <si>
    <t>Sun May 01 22:14:24 +0000 2022</t>
  </si>
  <si>
    <t>2970744166</t>
  </si>
  <si>
    <t>http://twitter.com/JimlennonLennon/statuses/1520889400821006337</t>
  </si>
  <si>
    <t>1520889282990383110</t>
  </si>
  <si>
    <t>tr54vor</t>
  </si>
  <si>
    <t>Sun May 01 22:13:56 +0000 2022</t>
  </si>
  <si>
    <t>44851811</t>
  </si>
  <si>
    <t>http://pbs.twimg.com/profile_images/787960963421069312/kCU2ztAj_normal.jpg</t>
  </si>
  <si>
    <t>http://twitter.com/tr54vor/statuses/1520889282990383110</t>
  </si>
  <si>
    <t>1520889218112831490</t>
  </si>
  <si>
    <t>Sun May 01 22:13:41 +0000 2022</t>
  </si>
  <si>
    <t>http://twitter.com/tr54vor/statuses/1520889218112831490</t>
  </si>
  <si>
    <t>1520889193404243968</t>
  </si>
  <si>
    <t>Sun May 01 22:13:35 +0000 2022</t>
  </si>
  <si>
    <t>http://twitter.com/tr54vor/statuses/1520889193404243968</t>
  </si>
  <si>
    <t>1520889190002708485</t>
  </si>
  <si>
    <t>Sun May 01 22:13:34 +0000 2022</t>
  </si>
  <si>
    <t>http://twitter.com/david_mcnab/statuses/1520889190002708485</t>
  </si>
  <si>
    <t>1520889159703048193</t>
  </si>
  <si>
    <t>tad123</t>
  </si>
  <si>
    <t>Sun May 01 22:13:27 +0000 2022</t>
  </si>
  <si>
    <t>14442194</t>
  </si>
  <si>
    <t>http://pbs.twimg.com/profile_images/1497471667794284552/ZJfIkw1c_normal.jpg</t>
  </si>
  <si>
    <t>http://twitter.com/tad123/statuses/1520889159703048193</t>
  </si>
  <si>
    <t>1520889139884920839</t>
  </si>
  <si>
    <t>pauldav46312233</t>
  </si>
  <si>
    <t>Sun May 01 22:13:22 +0000 2022</t>
  </si>
  <si>
    <t>1493170428600274945</t>
  </si>
  <si>
    <t>http://pbs.twimg.com/profile_images/1493170575027720194/wbHjx0lk_normal.png</t>
  </si>
  <si>
    <t>http://twitter.com/pauldav46312233/statuses/1520889139884920839</t>
  </si>
  <si>
    <t>1520889139167739905</t>
  </si>
  <si>
    <t>colin_macl</t>
  </si>
  <si>
    <t>3318594250</t>
  </si>
  <si>
    <t>http://pbs.twimg.com/profile_images/1263858963071881216/gyCknda8_normal.jpg</t>
  </si>
  <si>
    <t>Aberdeen</t>
  </si>
  <si>
    <t>http://twitter.com/colin_macl/statuses/1520889139167739905</t>
  </si>
  <si>
    <t>1520889118997237765</t>
  </si>
  <si>
    <t>Sun May 01 22:13:17 +0000 2022</t>
  </si>
  <si>
    <t>http://twitter.com/david_mcnab/statuses/1520889118997237765</t>
  </si>
  <si>
    <t>1520889090299813889</t>
  </si>
  <si>
    <t>sarahkcoleman</t>
  </si>
  <si>
    <t>Sun May 01 22:13:10 +0000 2022</t>
  </si>
  <si>
    <t>1076836938</t>
  </si>
  <si>
    <t>http://pbs.twimg.com/profile_images/1190222036842496001/1rqwJa91_normal.jpg</t>
  </si>
  <si>
    <t>http://twitter.com/sarahkcoleman/statuses/1520889090299813889</t>
  </si>
  <si>
    <t>1520889068128768006</t>
  </si>
  <si>
    <t>MrChrisBrand</t>
  </si>
  <si>
    <t>Sun May 01 22:13:05 +0000 2022</t>
  </si>
  <si>
    <t>20688393</t>
  </si>
  <si>
    <t>http://pbs.twimg.com/profile_images/1186176066395746305/qwmK3IbX_normal.jpg</t>
  </si>
  <si>
    <t>Walthamstow, UK</t>
  </si>
  <si>
    <t>http://twitter.com/MrChrisBrand/statuses/1520889068128768006</t>
  </si>
  <si>
    <t>1520888931369336834</t>
  </si>
  <si>
    <t>Francis72035738</t>
  </si>
  <si>
    <t>Sun May 01 22:12:32 +0000 2022</t>
  </si>
  <si>
    <t>1440416598146183168</t>
  </si>
  <si>
    <t>http://pbs.twimg.com/profile_images/1508766960313643011/RzNk6_Ea_normal.jpg</t>
  </si>
  <si>
    <t>http://twitter.com/Francis72035738/statuses/1520888931369336834</t>
  </si>
  <si>
    <t>1520888848540217344</t>
  </si>
  <si>
    <t>buy1_best</t>
  </si>
  <si>
    <t>Sun May 01 22:12:12 +0000 2022</t>
  </si>
  <si>
    <t>1118057594281758720</t>
  </si>
  <si>
    <t>&lt;a href="https://bestbuy.a777.com/" rel="nofollow"&gt;Media uploads app&lt;/a&gt;</t>
  </si>
  <si>
    <t>http://pbs.twimg.com/profile_images/1346402902546534400/j1p9qCXy_normal.jpg</t>
  </si>
  <si>
    <t>New York, NY</t>
  </si>
  <si>
    <t>http://twitter.com/buy1_best/statuses/1520888848540217344</t>
  </si>
  <si>
    <t>1520888594604470277</t>
  </si>
  <si>
    <t>InaudibleMum</t>
  </si>
  <si>
    <t>Sun May 01 22:11:12 +0000 2022</t>
  </si>
  <si>
    <t>199201295</t>
  </si>
  <si>
    <t>http://pbs.twimg.com/profile_images/1471151616250322957/Un05P9bW_normal.jpg</t>
  </si>
  <si>
    <t>Now Kent, ever Europe</t>
  </si>
  <si>
    <t>http://twitter.com/InaudibleMum/statuses/1520888594604470277</t>
  </si>
  <si>
    <t>1520888509439123456</t>
  </si>
  <si>
    <t>Sun May 01 22:10:52 +0000 2022</t>
  </si>
  <si>
    <t>http://twitter.com/JohnWilkinspsyc/statuses/1520888509439123456</t>
  </si>
  <si>
    <t>1520888504615686152</t>
  </si>
  <si>
    <t>Dougwriter</t>
  </si>
  <si>
    <t>Sun May 01 22:10:50 +0000 2022</t>
  </si>
  <si>
    <t>153756788</t>
  </si>
  <si>
    <t>http://pbs.twimg.com/profile_images/973876107/Author_file_photo_normal.jpg</t>
  </si>
  <si>
    <t>Bridge of Allan</t>
  </si>
  <si>
    <t>http://twitter.com/Dougwriter/statuses/1520888504615686152</t>
  </si>
  <si>
    <t>1520888412915609601</t>
  </si>
  <si>
    <t>obviousenigma1</t>
  </si>
  <si>
    <t>@SkyNews Press Preview- Kate Andrews talking about the increased cost of chicken 🍗 &amp;amp; inflation without any mention of ‘Brexit’. No problem with the phrases ‘supply chain’ and ‘global issue’ though.. #BrexitBlackout #BrexitDisaster #Brexit</t>
  </si>
  <si>
    <t>Sun May 01 22:10:29 +0000 2022</t>
  </si>
  <si>
    <t>7587032</t>
  </si>
  <si>
    <t>SkyNews</t>
  </si>
  <si>
    <t>1106830444455182336</t>
  </si>
  <si>
    <t>http://pbs.twimg.com/profile_images/1487212180227383297/Xe1jS6kX_normal.jpg</t>
  </si>
  <si>
    <t>http://twitter.com/obviousenigma1/statuses/1520888412915609601</t>
  </si>
  <si>
    <t>{"hashtags":[{"text":"BrexitBlackout","indices":[203,218]},{"text":"BrexitDisaster","indices":[219,234]},{"text":"Brexit","indices":[235,242]}],"symbols":[],"user_mentions":[{"screen_name":"SkyNews","name":"Sky News","id":7587032,"id_str":"7587032","indices":[0,8]}],"urls":[]}</t>
  </si>
  <si>
    <t>1520888388433465344</t>
  </si>
  <si>
    <t>GThepeakes</t>
  </si>
  <si>
    <t>Sun May 01 22:10:23 +0000 2022</t>
  </si>
  <si>
    <t>2345903037</t>
  </si>
  <si>
    <t>http://pbs.twimg.com/profile_images/921054896174125056/-n1Thfeb_normal.jpg</t>
  </si>
  <si>
    <t>http://twitter.com/GThepeakes/statuses/1520888388433465344</t>
  </si>
  <si>
    <t>1520888378803240962</t>
  </si>
  <si>
    <t>multigums</t>
  </si>
  <si>
    <t>Sun May 01 22:10:20 +0000 2022</t>
  </si>
  <si>
    <t>50640290</t>
  </si>
  <si>
    <t>http://pbs.twimg.com/profile_images/1309149908608389120/R4Y6BYR6_normal.jpg</t>
  </si>
  <si>
    <t>croydunne</t>
  </si>
  <si>
    <t>http://twitter.com/multigums/statuses/1520888378803240962</t>
  </si>
  <si>
    <t>1520888376819339270</t>
  </si>
  <si>
    <t>WriterMich9</t>
  </si>
  <si>
    <t>1477019922173681671</t>
  </si>
  <si>
    <t>http://pbs.twimg.com/profile_images/1509177957448884229/k3XU5XQ1_normal.jpg</t>
  </si>
  <si>
    <t>http://twitter.com/WriterMich9/statuses/1520888376819339270</t>
  </si>
  <si>
    <t>1520888309718859777</t>
  </si>
  <si>
    <t>TeresaWeath</t>
  </si>
  <si>
    <t>Sun May 01 22:10:04 +0000 2022</t>
  </si>
  <si>
    <t>1028951881882714114</t>
  </si>
  <si>
    <t>http://pbs.twimg.com/profile_images/1490092204366442508/HDtOOMuI_normal.jpg</t>
  </si>
  <si>
    <t>http://twitter.com/TeresaWeath/statuses/1520888309718859777</t>
  </si>
  <si>
    <t>1520888306422145029</t>
  </si>
  <si>
    <t>Sun May 01 22:10:03 +0000 2022</t>
  </si>
  <si>
    <t>http://twitter.com/chirpychappy1/statuses/1520888306422145029</t>
  </si>
  <si>
    <t>1520888183466123267</t>
  </si>
  <si>
    <t>oneleggeddancer</t>
  </si>
  <si>
    <t>Sun May 01 22:09:34 +0000 2022</t>
  </si>
  <si>
    <t>354227754</t>
  </si>
  <si>
    <t>http://pbs.twimg.com/profile_images/1186219928464048129/VZ_9Orwq_normal.jpg</t>
  </si>
  <si>
    <t>Herts, UK</t>
  </si>
  <si>
    <t>http://twitter.com/oneleggeddancer/statuses/1520888183466123267</t>
  </si>
  <si>
    <t>1520888145021177856</t>
  </si>
  <si>
    <t>BoDs_Life</t>
  </si>
  <si>
    <t>@henrymance That can't be right, #brexit has only given us benefits. It must of been preemptive price rises due to businesses planning for the yet unknown war in Ukraine 👍</t>
  </si>
  <si>
    <t>Sun May 01 22:09:25 +0000 2022</t>
  </si>
  <si>
    <t>137295176</t>
  </si>
  <si>
    <t>henrymance</t>
  </si>
  <si>
    <t>383914788</t>
  </si>
  <si>
    <t>1520743390639529984</t>
  </si>
  <si>
    <t>http://pbs.twimg.com/profile_images/1575243339/BoD2_normal.jpg</t>
  </si>
  <si>
    <t>Ramsgate, England</t>
  </si>
  <si>
    <t>http://twitter.com/BoDs_Life/statuses/1520888145021177856</t>
  </si>
  <si>
    <t>{"hashtags":[{"text":"brexit","indices":[33,40]}],"symbols":[],"user_mentions":[{"screen_name":"henrymance","name":"Henry Mance","id":137295176,"id_str":"137295176","indices":[0,11]}],"urls":[]}</t>
  </si>
  <si>
    <t>1520888128009129985</t>
  </si>
  <si>
    <t>SJABradley</t>
  </si>
  <si>
    <t>Sun May 01 22:09:21 +0000 2022</t>
  </si>
  <si>
    <t>26513017</t>
  </si>
  <si>
    <t>http://pbs.twimg.com/profile_images/1519768653721481222/aorVpJF0_normal.jpg</t>
  </si>
  <si>
    <t>Somerset, UK</t>
  </si>
  <si>
    <t>http://twitter.com/SJABradley/statuses/1520888128009129985</t>
  </si>
  <si>
    <t>1520888096853835776</t>
  </si>
  <si>
    <t>stephen501</t>
  </si>
  <si>
    <t>I bet it is some thing to do with #brexit but the @BBCNews dare not say so. https://t.co/ueOZzLH3iV</t>
  </si>
  <si>
    <t>Sun May 01 22:09:13 +0000 2022</t>
  </si>
  <si>
    <t>23607137</t>
  </si>
  <si>
    <t>http://pbs.twimg.com/profile_images/1486669873518362634/-U4teiQv_normal.jpg</t>
  </si>
  <si>
    <t>http://twitter.com/stephen501/statuses/1520888096853835776</t>
  </si>
  <si>
    <t>{"hashtags":[{"text":"brexit","indices":[34,41]}],"symbols":[],"user_mentions":[{"screen_name":"BBCNews","name":"BBC News (UK)","id":612473,"id_str":"612473","indices":[50,58]}],"urls":[{"url":"https://t.co/ueOZzLH3iV","expanded_url":"https://www.bbc.co.uk/news/uk-61290934","display_url":"bbc.co.uk/news/uk-612909…","indices":[76,99]}]}</t>
  </si>
  <si>
    <t>1520888080701566978</t>
  </si>
  <si>
    <t>CathyPowell1</t>
  </si>
  <si>
    <t>Sun May 01 22:09:09 +0000 2022</t>
  </si>
  <si>
    <t>337293735</t>
  </si>
  <si>
    <t>http://pbs.twimg.com/profile_images/1500034907611054081/igloBY1Q_normal.jpg</t>
  </si>
  <si>
    <t>NOYB</t>
  </si>
  <si>
    <t>http://twitter.com/CathyPowell1/statuses/1520888080701566978</t>
  </si>
  <si>
    <t>1520888004918890498</t>
  </si>
  <si>
    <t>hugs_p</t>
  </si>
  <si>
    <t>Sun May 01 22:08:51 +0000 2022</t>
  </si>
  <si>
    <t>18993894</t>
  </si>
  <si>
    <t>http://pbs.twimg.com/profile_images/749351247719923712/BYVMH-8E_normal.jpg</t>
  </si>
  <si>
    <t>New Mills, England</t>
  </si>
  <si>
    <t>http://twitter.com/hugs_p/statuses/1520888004918890498</t>
  </si>
  <si>
    <t>1520887978591199235</t>
  </si>
  <si>
    <t>Mike_Fernandes_</t>
  </si>
  <si>
    <t>"Welcome to Great (XL &amp;amp; Red) Britain" at immigration e-gates (LHR T2). Then watched all of them fail! Multiple reboots needed. Sums up #brexit! #vote this week in #LocalElections2022. #Democracy can only survive if you vote!</t>
  </si>
  <si>
    <t>Sun May 01 22:08:45 +0000 2022</t>
  </si>
  <si>
    <t>1244665945341210624</t>
  </si>
  <si>
    <t>http://pbs.twimg.com/profile_images/1388191988785233922/aF6gR6g0_normal.jpg</t>
  </si>
  <si>
    <t>http://twitter.com/Mike_Fernandes_/statuses/1520887978591199235</t>
  </si>
  <si>
    <t>{"hashtags":[{"text":"brexit","indices":[139,146]},{"text":"vote","indices":[148,153]},{"text":"LocalElections2022","indices":[167,186]},{"text":"Democracy","indices":[188,198]}],"symbols":[],"user_mentions":[],"urls":[]}</t>
  </si>
  <si>
    <t>1520887927353618432</t>
  </si>
  <si>
    <t>andycymro</t>
  </si>
  <si>
    <t>Sun May 01 22:08:33 +0000 2022</t>
  </si>
  <si>
    <t>1068104797994262528</t>
  </si>
  <si>
    <t>http://pbs.twimg.com/profile_images/1289685410717806598/JarAiUqc_normal.jpg</t>
  </si>
  <si>
    <t>http://twitter.com/andycymro/statuses/1520887927353618432</t>
  </si>
  <si>
    <t>1520887806637268997</t>
  </si>
  <si>
    <t>Sun May 01 22:08:04 +0000 2022</t>
  </si>
  <si>
    <t>http://twitter.com/TeresaWeath/statuses/1520887806637268997</t>
  </si>
  <si>
    <t>1520887740665106433</t>
  </si>
  <si>
    <t>Sun May 01 22:07:48 +0000 2022</t>
  </si>
  <si>
    <t>http://twitter.com/tad123/statuses/1520887740665106433</t>
  </si>
  <si>
    <t>1520887712219291655</t>
  </si>
  <si>
    <t>Sun May 01 22:07:41 +0000 2022</t>
  </si>
  <si>
    <t>http://twitter.com/andycymro/statuses/1520887712219291655</t>
  </si>
  <si>
    <t>1520887614005522433</t>
  </si>
  <si>
    <t>jillybwrafter</t>
  </si>
  <si>
    <t>Sun May 01 22:07:18 +0000 2022</t>
  </si>
  <si>
    <t>4778112617</t>
  </si>
  <si>
    <t>http://pbs.twimg.com/profile_images/1260902286253068288/_4vvrhoG_normal.jpg</t>
  </si>
  <si>
    <t>Cambridge, England</t>
  </si>
  <si>
    <t>http://twitter.com/jillybwrafter/statuses/1520887614005522433</t>
  </si>
  <si>
    <t>1520887604463509505</t>
  </si>
  <si>
    <t>esther_livesey</t>
  </si>
  <si>
    <t>Sun May 01 22:07:16 +0000 2022</t>
  </si>
  <si>
    <t>1326888944538169344</t>
  </si>
  <si>
    <t>http://pbs.twimg.com/profile_images/1426308195706974208/sssyFFoI_normal.jpg</t>
  </si>
  <si>
    <t>http://twitter.com/esther_livesey/statuses/1520887604463509505</t>
  </si>
  <si>
    <t>1520887542136119306</t>
  </si>
  <si>
    <t>HereInTheHollow</t>
  </si>
  <si>
    <t>Sun May 01 22:07:01 +0000 2022</t>
  </si>
  <si>
    <t>886311721241071617</t>
  </si>
  <si>
    <t>http://pbs.twimg.com/profile_images/1033129235697885184/zocVQUJG_normal.jpg</t>
  </si>
  <si>
    <t>Anywhere in Scotland please</t>
  </si>
  <si>
    <t>http://twitter.com/HereInTheHollow/statuses/1520887542136119306</t>
  </si>
  <si>
    <t>1520887541444059140</t>
  </si>
  <si>
    <t>MaddestMa</t>
  </si>
  <si>
    <t>140529056</t>
  </si>
  <si>
    <t>http://pbs.twimg.com/profile_images/1282009545494142980/Zy5Ddxj3_normal.jpg</t>
  </si>
  <si>
    <t>http://twitter.com/MaddestMa/statuses/1520887541444059140</t>
  </si>
  <si>
    <t>1520887496703455234</t>
  </si>
  <si>
    <t>eyejosh</t>
  </si>
  <si>
    <t>Sun May 01 22:06:50 +0000 2022</t>
  </si>
  <si>
    <t>59305661</t>
  </si>
  <si>
    <t>http://pbs.twimg.com/profile_images/378800000858682338/qFgks8LI_normal.jpeg</t>
  </si>
  <si>
    <t>Oxford</t>
  </si>
  <si>
    <t>http://twitter.com/eyejosh/statuses/1520887496703455234</t>
  </si>
  <si>
    <t>1520887488138649600</t>
  </si>
  <si>
    <t>Jaymorton8</t>
  </si>
  <si>
    <t>Sun May 01 22:06:48 +0000 2022</t>
  </si>
  <si>
    <t>1090324064</t>
  </si>
  <si>
    <t>http://pbs.twimg.com/profile_images/1307216409081061376/FUjrlxUj_normal.jpg</t>
  </si>
  <si>
    <t>http://twitter.com/Jaymorton8/statuses/1520887488138649600</t>
  </si>
  <si>
    <t>1520887472527495175</t>
  </si>
  <si>
    <t>MsAlliance</t>
  </si>
  <si>
    <t>Sun May 01 22:06:44 +0000 2022</t>
  </si>
  <si>
    <t>19509514</t>
  </si>
  <si>
    <t>http://pbs.twimg.com/profile_images/1515586107458699264/AlUFM7j-_normal.jpg</t>
  </si>
  <si>
    <t>Bromley, London</t>
  </si>
  <si>
    <t>http://twitter.com/MsAlliance/statuses/1520887472527495175</t>
  </si>
  <si>
    <t>1520887329862340617</t>
  </si>
  <si>
    <t>RonPatton1</t>
  </si>
  <si>
    <t>Sun May 01 22:06:10 +0000 2022</t>
  </si>
  <si>
    <t>406516268</t>
  </si>
  <si>
    <t>http://pbs.twimg.com/profile_images/889253337463443458/538gA0Q-_normal.jpg</t>
  </si>
  <si>
    <t>Carrickfergus, Ireland</t>
  </si>
  <si>
    <t>http://twitter.com/RonPatton1/statuses/1520887329862340617</t>
  </si>
  <si>
    <t>1520887319397638147</t>
  </si>
  <si>
    <t>HuwpHuw</t>
  </si>
  <si>
    <t>Sun May 01 22:06:08 +0000 2022</t>
  </si>
  <si>
    <t>477914145</t>
  </si>
  <si>
    <t>http://pbs.twimg.com/profile_images/1379501478457483266/k2VZmKd8_normal.png</t>
  </si>
  <si>
    <t>Shrewsbury, UK</t>
  </si>
  <si>
    <t>http://twitter.com/HuwpHuw/statuses/1520887319397638147</t>
  </si>
  <si>
    <t>1520887315979198464</t>
  </si>
  <si>
    <t>Sun May 01 22:06:07 +0000 2022</t>
  </si>
  <si>
    <t>http://twitter.com/TeresaWeath/statuses/1520887315979198464</t>
  </si>
  <si>
    <t>1520887301596925952</t>
  </si>
  <si>
    <t>Sun May 01 22:06:04 +0000 2022</t>
  </si>
  <si>
    <t>http://twitter.com/HuwpHuw/statuses/1520887301596925952</t>
  </si>
  <si>
    <t>1520887288607256576</t>
  </si>
  <si>
    <t>Sun May 01 22:06:00 +0000 2022</t>
  </si>
  <si>
    <t>http://twitter.com/HuwpHuw/statuses/1520887288607256576</t>
  </si>
  <si>
    <t>1520887279635640322</t>
  </si>
  <si>
    <t>SiobhanTurner23</t>
  </si>
  <si>
    <t>Sun May 01 22:05:58 +0000 2022</t>
  </si>
  <si>
    <t>89453638</t>
  </si>
  <si>
    <t>http://pbs.twimg.com/profile_images/495198614818275329/sPCWeWTf_normal.jpeg</t>
  </si>
  <si>
    <t>http://twitter.com/SiobhanTurner23/statuses/1520887279635640322</t>
  </si>
  <si>
    <t>1520887267186851841</t>
  </si>
  <si>
    <t>Sun May 01 22:05:55 +0000 2022</t>
  </si>
  <si>
    <t>http://twitter.com/HuwpHuw/statuses/1520887267186851841</t>
  </si>
  <si>
    <t>1520887260429832193</t>
  </si>
  <si>
    <t>chestney_rose</t>
  </si>
  <si>
    <t>Sun May 01 22:05:54 +0000 2022</t>
  </si>
  <si>
    <t>851687731</t>
  </si>
  <si>
    <t>http://pbs.twimg.com/profile_images/1505481099866161153/PFQYXkj6_normal.jpg</t>
  </si>
  <si>
    <t>http://twitter.com/chestney_rose/statuses/1520887260429832193</t>
  </si>
  <si>
    <t>1520887253484154883</t>
  </si>
  <si>
    <t>Sun May 01 22:05:52 +0000 2022</t>
  </si>
  <si>
    <t>http://twitter.com/HuwpHuw/statuses/1520887253484154883</t>
  </si>
  <si>
    <t>1520887250686521346</t>
  </si>
  <si>
    <t>skhowden</t>
  </si>
  <si>
    <t>Sun May 01 22:05:51 +0000 2022</t>
  </si>
  <si>
    <t>2261630598</t>
  </si>
  <si>
    <t>http://pbs.twimg.com/profile_images/1454909609290960896/8Wz7b7zU_normal.jpg</t>
  </si>
  <si>
    <t>A Lorry Park, Kent</t>
  </si>
  <si>
    <t>http://twitter.com/skhowden/statuses/1520887250686521346</t>
  </si>
  <si>
    <t>1520887213550190594</t>
  </si>
  <si>
    <t>okaktzeptiert</t>
  </si>
  <si>
    <t>Sun May 01 22:05:43 +0000 2022</t>
  </si>
  <si>
    <t>1350163384742907905</t>
  </si>
  <si>
    <t>http://twitter.com/okaktzeptiert/statuses/1520887213550190594</t>
  </si>
  <si>
    <t>1520887186912075777</t>
  </si>
  <si>
    <t>highcixiety</t>
  </si>
  <si>
    <t>Sun May 01 22:05:36 +0000 2022</t>
  </si>
  <si>
    <t>988055781798023168</t>
  </si>
  <si>
    <t>http://pbs.twimg.com/profile_images/988068615743266817/UrZKhCy-_normal.jpg</t>
  </si>
  <si>
    <t>http://twitter.com/highcixiety/statuses/1520887186912075777</t>
  </si>
  <si>
    <t>1520887147292549120</t>
  </si>
  <si>
    <t>mrsluc</t>
  </si>
  <si>
    <t>Sun May 01 22:05:27 +0000 2022</t>
  </si>
  <si>
    <t>23241740</t>
  </si>
  <si>
    <t>http://pbs.twimg.com/profile_images/2459500773/a7otawx4yy9ry9xxm2l5_normal.jpeg</t>
  </si>
  <si>
    <t>http://twitter.com/mrsluc/statuses/1520887147292549120</t>
  </si>
  <si>
    <t>1520887039524282369</t>
  </si>
  <si>
    <t>Anniepop2027</t>
  </si>
  <si>
    <t>Sun May 01 22:05:01 +0000 2022</t>
  </si>
  <si>
    <t>2943643384</t>
  </si>
  <si>
    <t>http://pbs.twimg.com/profile_images/1109414204258299904/GTI9o0rT_normal.jpg</t>
  </si>
  <si>
    <t>http://twitter.com/Anniepop2027/statuses/1520887039524282369</t>
  </si>
  <si>
    <t>1520887025385234454</t>
  </si>
  <si>
    <t>Sun May 01 22:04:58 +0000 2022</t>
  </si>
  <si>
    <t>http://twitter.com/TeresaWeath/statuses/1520887025385234454</t>
  </si>
  <si>
    <t>1520886996364845059</t>
  </si>
  <si>
    <t>Sun May 01 22:04:51 +0000 2022</t>
  </si>
  <si>
    <t>http://twitter.com/TeresaWeath/statuses/1520886996364845059</t>
  </si>
  <si>
    <t>1520886960038060039</t>
  </si>
  <si>
    <t>Sun May 01 22:04:42 +0000 2022</t>
  </si>
  <si>
    <t>http://twitter.com/TeresaWeath/statuses/1520886960038060039</t>
  </si>
  <si>
    <t>1520886919277776897</t>
  </si>
  <si>
    <t>Sun May 01 22:04:32 +0000 2022</t>
  </si>
  <si>
    <t>http://twitter.com/TeresaWeath/statuses/1520886919277776897</t>
  </si>
  <si>
    <t>1520886914945097728</t>
  </si>
  <si>
    <t>2busy2bhere</t>
  </si>
  <si>
    <t>Sun May 01 22:04:31 +0000 2022</t>
  </si>
  <si>
    <t>3086266084</t>
  </si>
  <si>
    <t>http://pbs.twimg.com/profile_images/575591713575587840/4c7Ndq0C_normal.jpeg</t>
  </si>
  <si>
    <t>London and elsewhere</t>
  </si>
  <si>
    <t>http://twitter.com/2busy2bhere/statuses/1520886914945097728</t>
  </si>
  <si>
    <t>1520886799681343490</t>
  </si>
  <si>
    <t>MinzylikesJazz</t>
  </si>
  <si>
    <t>Sun May 01 22:04:04 +0000 2022</t>
  </si>
  <si>
    <t>2359716241</t>
  </si>
  <si>
    <t>http://pbs.twimg.com/profile_images/1348255311652642823/j6x2jJYa_normal.jpg</t>
  </si>
  <si>
    <t>http://twitter.com/MinzylikesJazz/statuses/1520886799681343490</t>
  </si>
  <si>
    <t>1520886751224639488</t>
  </si>
  <si>
    <t>Sun May 01 22:03:52 +0000 2022</t>
  </si>
  <si>
    <t>http://twitter.com/TeresaWeath/statuses/1520886751224639488</t>
  </si>
  <si>
    <t>1520886672027750406</t>
  </si>
  <si>
    <t>Carlsonsports</t>
  </si>
  <si>
    <t>Sun May 01 22:03:33 +0000 2022</t>
  </si>
  <si>
    <t>248134334</t>
  </si>
  <si>
    <t>http://pbs.twimg.com/profile_images/1292830896500940804/xWMEC67Y_normal.jpg</t>
  </si>
  <si>
    <t>Russia's Laundromat</t>
  </si>
  <si>
    <t>http://twitter.com/Carlsonsports/statuses/1520886672027750406</t>
  </si>
  <si>
    <t>1520886570676543488</t>
  </si>
  <si>
    <t>rogerBrumUK</t>
  </si>
  <si>
    <t>Sun May 01 22:03:09 +0000 2022</t>
  </si>
  <si>
    <t>19742166</t>
  </si>
  <si>
    <t>http://pbs.twimg.com/profile_images/1252787713/bull_normal.jpg</t>
  </si>
  <si>
    <t>http://twitter.com/rogerBrumUK/statuses/1520886570676543488</t>
  </si>
  <si>
    <t>1520886565924311040</t>
  </si>
  <si>
    <t>mrggibson</t>
  </si>
  <si>
    <t>Sun May 01 22:03:08 +0000 2022</t>
  </si>
  <si>
    <t>39958542</t>
  </si>
  <si>
    <t>http://pbs.twimg.com/profile_images/835290007975780352/-twDi0fb_normal.jpg</t>
  </si>
  <si>
    <t>http://twitter.com/mrggibson/statuses/1520886565924311040</t>
  </si>
  <si>
    <t>1520886565546905602</t>
  </si>
  <si>
    <t>Pjacksdelacour</t>
  </si>
  <si>
    <t>3356538826</t>
  </si>
  <si>
    <t>http://pbs.twimg.com/profile_images/1241306485549826050/Imyq3-V-_normal.jpg</t>
  </si>
  <si>
    <t>http://twitter.com/Pjacksdelacour/statuses/1520886565546905602</t>
  </si>
  <si>
    <t>1520886506101121036</t>
  </si>
  <si>
    <t>Sun May 01 22:02:54 +0000 2022</t>
  </si>
  <si>
    <t>http://twitter.com/Pjacksdelacour/statuses/1520886506101121036</t>
  </si>
  <si>
    <t>1520886500166094848</t>
  </si>
  <si>
    <t>Warzoid</t>
  </si>
  <si>
    <t>Sun May 01 22:02:53 +0000 2022</t>
  </si>
  <si>
    <t>2300453384</t>
  </si>
  <si>
    <t>http://pbs.twimg.com/profile_images/1453310569449234447/b8huP2jA_normal.jpg</t>
  </si>
  <si>
    <t>http://twitter.com/Warzoid/statuses/1520886500166094848</t>
  </si>
  <si>
    <t>1520886451289866242</t>
  </si>
  <si>
    <t>Sam19803119</t>
  </si>
  <si>
    <t>Sun May 01 22:02:41 +0000 2022</t>
  </si>
  <si>
    <t>1313556060934987778</t>
  </si>
  <si>
    <t>http://twitter.com/Sam19803119/statuses/1520886451289866242</t>
  </si>
  <si>
    <t>1520886447166963745</t>
  </si>
  <si>
    <t>Sun May 01 22:02:40 +0000 2022</t>
  </si>
  <si>
    <t>http://twitter.com/Pjacksdelacour/statuses/1520886447166963745</t>
  </si>
  <si>
    <t>1520886392519286789</t>
  </si>
  <si>
    <t>EddieDa18107857</t>
  </si>
  <si>
    <t>Sun May 01 22:02:27 +0000 2022</t>
  </si>
  <si>
    <t>1254378150458527744</t>
  </si>
  <si>
    <t>http://twitter.com/EddieDa18107857/statuses/1520886392519286789</t>
  </si>
  <si>
    <t>1520886369752690693</t>
  </si>
  <si>
    <t>lluna_lcluna</t>
  </si>
  <si>
    <t>Sun May 01 22:02:21 +0000 2022</t>
  </si>
  <si>
    <t>594159393</t>
  </si>
  <si>
    <t>http://pbs.twimg.com/profile_images/1246049471277846528/Bi1cP-hn_normal.jpg</t>
  </si>
  <si>
    <t>http://twitter.com/lluna_lcluna/statuses/1520886369752690693</t>
  </si>
  <si>
    <t>1520886365604528130</t>
  </si>
  <si>
    <t>Sun May 01 22:02:20 +0000 2022</t>
  </si>
  <si>
    <t>http://twitter.com/Pjacksdelacour/statuses/1520886365604528130</t>
  </si>
  <si>
    <t>1520886298613108742</t>
  </si>
  <si>
    <t>kernowsonofthor</t>
  </si>
  <si>
    <t>Sun May 01 22:02:04 +0000 2022</t>
  </si>
  <si>
    <t>1497285313454125064</t>
  </si>
  <si>
    <t>http://pbs.twimg.com/profile_images/1520553040947863552/IzWlmS5k_normal.jpg</t>
  </si>
  <si>
    <t>http://twitter.com/kernowsonofthor/statuses/1520886298613108742</t>
  </si>
  <si>
    <t>1520886260470009861</t>
  </si>
  <si>
    <t>jimryan68</t>
  </si>
  <si>
    <t>Sun May 01 22:01:55 +0000 2022</t>
  </si>
  <si>
    <t>429180490</t>
  </si>
  <si>
    <t>http://pbs.twimg.com/profile_images/1374066384444002326/17RnR42Z_normal.jpg</t>
  </si>
  <si>
    <t>Bromley</t>
  </si>
  <si>
    <t>http://twitter.com/jimryan68/statuses/1520886260470009861</t>
  </si>
  <si>
    <t>1520886194195812353</t>
  </si>
  <si>
    <t>CathyFitz27</t>
  </si>
  <si>
    <t>Sun May 01 22:01:40 +0000 2022</t>
  </si>
  <si>
    <t>751539448723206144</t>
  </si>
  <si>
    <t>http://twitter.com/CathyFitz27/statuses/1520886194195812353</t>
  </si>
  <si>
    <t>1520886139317633030</t>
  </si>
  <si>
    <t>Dotspod1</t>
  </si>
  <si>
    <t>Sun May 01 22:01:26 +0000 2022</t>
  </si>
  <si>
    <t>1108749236953407488</t>
  </si>
  <si>
    <t>http://pbs.twimg.com/profile_images/1137424829051744257/7v30aTD8_normal.jpg</t>
  </si>
  <si>
    <t>http://twitter.com/Dotspod1/statuses/1520886139317633030</t>
  </si>
  <si>
    <t>1520885996216369153</t>
  </si>
  <si>
    <t>AlasSmithJones</t>
  </si>
  <si>
    <t>@Harley_Tory @Heather22311814 Well said Harley! I totally agree with you! #BackBoris #TeamBoris #BorisTrain #NeverLabour #NeverLiebour #Conservatives #LabourHypocricy #LabourSleaze #LabourLies #CaptainHindsight #HypocriteStarmer #SmarmyStarmer #StarmerLies #Brexit #ResignStarmer #ResignRayner #SirBeerStarmer</t>
  </si>
  <si>
    <t>Sun May 01 22:00:52 +0000 2022</t>
  </si>
  <si>
    <t>1510696549654929418</t>
  </si>
  <si>
    <t>Harley_Tory</t>
  </si>
  <si>
    <t>1488899444087177216</t>
  </si>
  <si>
    <t>1520758908356374530</t>
  </si>
  <si>
    <t>http://pbs.twimg.com/profile_images/1519795665752276992/IlG76RKj_normal.jpg</t>
  </si>
  <si>
    <t>Sconiwaleng</t>
  </si>
  <si>
    <t>http://twitter.com/AlasSmithJones/statuses/1520885996216369153</t>
  </si>
  <si>
    <t>{"hashtags":[{"text":"BackBoris","indices":[74,84]},{"text":"TeamBoris","indices":[85,95]},{"text":"BorisTrain","indices":[96,107]},{"text":"NeverLabour","indices":[108,120]},{"text":"NeverLiebour","indices":[121,134]},{"text":"Conservatives","indices":[135,149]},{"text":"LabourHypocricy","indices":[150,166]},{"text":"LabourSleaze","indices":[167,180]},{"text":"LabourLies","indices":[181,192]},{"text":"CaptainHindsight","indices":[193,210]},{"text":"HypocriteStarmer","indices":[211,228]},{"text":"SmarmyStarmer","indices":[229,243]},{"text":"StarmerLies","indices":[244,256]},{"text":"Brexit","indices":[257,264]},{"text":"ResignStarmer","indices":[265,279]},{"text":"ResignRayner","indices":[280,293]},{"text":"SirBeerStarmer","indices":[294,309]}],"symbols":[],"user_mentions":[{"screen_name":"Harley_Tory","name":"Harley #BackBoris #BackUkraine","id":1510696549654929400,"id_str":"1510696549654929418","indices":[0,12]},{"screen_name":"Heather22311814","name":"Granny H 🏴󠁧󠁢󠁥󠁮󠁧󠁿🇬🇧🇺🇦","id":1368992887128658000,"id_str":"1368992887128657923","indices":[13,29]}],"urls":[]}</t>
  </si>
  <si>
    <t>1520885949537783808</t>
  </si>
  <si>
    <t>bear_risa</t>
  </si>
  <si>
    <t>@CovertShores How sweet ... and after we did so much for them with #Brexit and all.</t>
  </si>
  <si>
    <t>Sun May 01 22:00:41 +0000 2022</t>
  </si>
  <si>
    <t>740989553960452096</t>
  </si>
  <si>
    <t>CovertShores</t>
  </si>
  <si>
    <t>1226143172209700869</t>
  </si>
  <si>
    <t>1520882245703245824</t>
  </si>
  <si>
    <t>http://pbs.twimg.com/profile_images/1512663942056792065/PqFMm9w1_normal.jpg</t>
  </si>
  <si>
    <t>Under the apple tree.</t>
  </si>
  <si>
    <t>http://twitter.com/bear_risa/statuses/1520885949537783808</t>
  </si>
  <si>
    <t>{"hashtags":[{"text":"Brexit","indices":[67,74]}],"symbols":[],"user_mentions":[{"screen_name":"CovertShores","name":"H I Sutton","id":740989553960452100,"id_str":"740989553960452096","indices":[0,13]}],"urls":[]}</t>
  </si>
  <si>
    <t>1520885936808247297</t>
  </si>
  <si>
    <t>Ponkbutler</t>
  </si>
  <si>
    <t>Sun May 01 22:00:38 +0000 2022</t>
  </si>
  <si>
    <t>62626172</t>
  </si>
  <si>
    <t>http://twitter.com/Ponkbutler/statuses/1520885936808247297</t>
  </si>
  <si>
    <t>1520885916411342850</t>
  </si>
  <si>
    <t>Sun May 01 22:00:33 +0000 2022</t>
  </si>
  <si>
    <t>http://twitter.com/Ponkbutler/statuses/1520885916411342850</t>
  </si>
  <si>
    <t>1520885874887639058</t>
  </si>
  <si>
    <t>Sun May 01 22:00:23 +0000 2022</t>
  </si>
  <si>
    <t>http://twitter.com/Ponkbutler/statuses/1520885874887639058</t>
  </si>
  <si>
    <t>1520885823327068160</t>
  </si>
  <si>
    <t>Sun May 01 22:00:11 +0000 2022</t>
  </si>
  <si>
    <t>http://twitter.com/Ponkbutler/statuses/1520885823327068160</t>
  </si>
  <si>
    <t>1520885757862453248</t>
  </si>
  <si>
    <t>Sun May 01 21:59:56 +0000 2022</t>
  </si>
  <si>
    <t>http://twitter.com/Ponkbutler/statuses/1520885757862453248</t>
  </si>
  <si>
    <t>1520885752263069697</t>
  </si>
  <si>
    <t>sccpen</t>
  </si>
  <si>
    <t>Sun May 01 21:59:54 +0000 2022</t>
  </si>
  <si>
    <t>194245999</t>
  </si>
  <si>
    <t>http://pbs.twimg.com/profile_images/1500471372174274564/xKEfEvYH_normal.jpg</t>
  </si>
  <si>
    <t>up norf</t>
  </si>
  <si>
    <t>http://twitter.com/sccpen/statuses/1520885752263069697</t>
  </si>
  <si>
    <t>1520885662215516163</t>
  </si>
  <si>
    <t>TheManicBuddha</t>
  </si>
  <si>
    <t>Sun May 01 21:59:33 +0000 2022</t>
  </si>
  <si>
    <t>456472121</t>
  </si>
  <si>
    <t>http://pbs.twimg.com/profile_images/1277371438580801537/hYa4OWXd_normal.jpg</t>
  </si>
  <si>
    <t>http://twitter.com/TheManicBuddha/statuses/1520885662215516163</t>
  </si>
  <si>
    <t>1520885657027100674</t>
  </si>
  <si>
    <t>RobertFillies1</t>
  </si>
  <si>
    <t>Sun May 01 21:59:31 +0000 2022</t>
  </si>
  <si>
    <t>755344525657268224</t>
  </si>
  <si>
    <t>http://pbs.twimg.com/profile_images/813386765927120896/_K69hT6h_normal.jpg</t>
  </si>
  <si>
    <t>Dover, England</t>
  </si>
  <si>
    <t>http://twitter.com/RobertFillies1/statuses/1520885657027100674</t>
  </si>
  <si>
    <t>1520885553272664072</t>
  </si>
  <si>
    <t>GavinKMurray</t>
  </si>
  <si>
    <t>Oh #Brexit! So much was working just fine before the clock was turned back. Pressing the self-destruct button. #BrexitShambles #Brexitbenefits #BrexitIsntWorking https://t.co/WmnTRboNmc</t>
  </si>
  <si>
    <t>Sun May 01 21:59:07 +0000 2022</t>
  </si>
  <si>
    <t>320291489</t>
  </si>
  <si>
    <t>http://pbs.twimg.com/profile_images/1488981874429022212/q4nhyo_R_normal.jpg</t>
  </si>
  <si>
    <t>Tonbridge</t>
  </si>
  <si>
    <t>http://twitter.com/GavinKMurray/statuses/1520885553272664072</t>
  </si>
  <si>
    <t>{"hashtags":[{"text":"Brexit","indices":[3,10]},{"text":"BrexitShambles","indices":[111,126]},{"text":"Brexitbenefits","indices":[127,142]},{"text":"BrexitIsntWorking","indices":[143,161]}],"symbols":[],"user_mentions":[],"urls":[{"url":"https://t.co/WmnTRboNmc","expanded_url":"https://twitter.com/gyllking/status/1520644709106200576","display_url":"twitter.com/gyllking/statu…","indices":[162,185]}]}</t>
  </si>
  <si>
    <t>1520885544103911424</t>
  </si>
  <si>
    <t>CaroleBee1</t>
  </si>
  <si>
    <t>Sun May 01 21:59:05 +0000 2022</t>
  </si>
  <si>
    <t>510387622</t>
  </si>
  <si>
    <t>http://pbs.twimg.com/profile_images/1864891237/DSC00709_normal.JPG</t>
  </si>
  <si>
    <t>Deepest Darkest Lincolnshire</t>
  </si>
  <si>
    <t>http://twitter.com/CaroleBee1/statuses/1520885544103911424</t>
  </si>
  <si>
    <t>1520885540396097553</t>
  </si>
  <si>
    <t>ThatCarterBlunt</t>
  </si>
  <si>
    <t>Sun May 01 21:59:04 +0000 2022</t>
  </si>
  <si>
    <t>3040811027</t>
  </si>
  <si>
    <t>http://pbs.twimg.com/profile_images/757867226334658560/ds6vR7aR_normal.jpg</t>
  </si>
  <si>
    <t>Smexico</t>
  </si>
  <si>
    <t>http://twitter.com/ThatCarterBlunt/statuses/1520885540396097553</t>
  </si>
  <si>
    <t>1520885525959303168</t>
  </si>
  <si>
    <t>Mariannebuzz</t>
  </si>
  <si>
    <t>Sun May 01 21:59:00 +0000 2022</t>
  </si>
  <si>
    <t>62541908</t>
  </si>
  <si>
    <t>http://pbs.twimg.com/profile_images/873495481204211712/96endAs__normal.jpg</t>
  </si>
  <si>
    <t>http://twitter.com/Mariannebuzz/statuses/1520885525959303168</t>
  </si>
  <si>
    <t>1520885524193587201</t>
  </si>
  <si>
    <t>griseldamussett</t>
  </si>
  <si>
    <t>109213564</t>
  </si>
  <si>
    <t>http://pbs.twimg.com/profile_images/719073316473081856/f8r7XVlb_normal.jpg</t>
  </si>
  <si>
    <t>http://twitter.com/griseldamussett/statuses/1520885524193587201</t>
  </si>
  <si>
    <t>1520885486490988546</t>
  </si>
  <si>
    <t>Col_Bogey</t>
  </si>
  <si>
    <t>Sun May 01 21:58:51 +0000 2022</t>
  </si>
  <si>
    <t>628499008</t>
  </si>
  <si>
    <t>http://pbs.twimg.com/profile_images/746248576305602561/LA4OsXql_normal.jpg</t>
  </si>
  <si>
    <t>http://twitter.com/Col_Bogey/statuses/1520885486490988546</t>
  </si>
  <si>
    <t>1520885288200978433</t>
  </si>
  <si>
    <t>philcox99</t>
  </si>
  <si>
    <t>Sun May 01 21:58:04 +0000 2022</t>
  </si>
  <si>
    <t>1233733994488967168</t>
  </si>
  <si>
    <t>http://pbs.twimg.com/profile_images/1497667878094618629/AU09cIhg_normal.jpg</t>
  </si>
  <si>
    <t>Bristol Born and Bred</t>
  </si>
  <si>
    <t>http://twitter.com/philcox99/statuses/1520885288200978433</t>
  </si>
  <si>
    <t>1520885257188347904</t>
  </si>
  <si>
    <t>shindaej</t>
  </si>
  <si>
    <t>Sun May 01 21:57:56 +0000 2022</t>
  </si>
  <si>
    <t>1908482892</t>
  </si>
  <si>
    <t>http://pbs.twimg.com/profile_images/1358717451362578434/69f0MXY1_normal.jpg</t>
  </si>
  <si>
    <t>Brexshit-on-Sea</t>
  </si>
  <si>
    <t>http://twitter.com/shindaej/statuses/1520885257188347904</t>
  </si>
  <si>
    <t>1520885233935171585</t>
  </si>
  <si>
    <t>thetopcaptain</t>
  </si>
  <si>
    <t>Sun May 01 21:57:51 +0000 2022</t>
  </si>
  <si>
    <t>319291303</t>
  </si>
  <si>
    <t>http://pbs.twimg.com/profile_images/894524829025673216/a6_vmDW7_normal.jpg</t>
  </si>
  <si>
    <t>Either at home or away</t>
  </si>
  <si>
    <t>http://twitter.com/thetopcaptain/statuses/1520885233935171585</t>
  </si>
  <si>
    <t>1520885204000419842</t>
  </si>
  <si>
    <t>3811015</t>
  </si>
  <si>
    <t>RT @ResiduumMuc: #Brexit https://t.co/VOgVMpSvEO</t>
  </si>
  <si>
    <t>Sun May 01 21:57:43 +0000 2022</t>
  </si>
  <si>
    <t>87825530</t>
  </si>
  <si>
    <t>http://pbs.twimg.com/profile_images/1322502737242763265/X_UOI4NR_normal.jpg</t>
  </si>
  <si>
    <t>LARSON BARACKS, KT, FRANKONIA</t>
  </si>
  <si>
    <t>http://twitter.com/3811015/statuses/1520885204000419842</t>
  </si>
  <si>
    <t>{"hashtags":[{"text":"Brexit","indices":[17,24]}],"symbols":[],"user_mentions":[{"screen_name":"ResiduumMuc","name":"Thomas Mayer #StandWithUkraine","id":212240467,"id_str":"212240467","indices":[3,15]}],"urls":[],"media":[{"id":1520868157564629000,"id_str":"1520868157564628996","indices":[25,48],"media_url":"http://pbs.twimg.com/media/FRs1iAnXsAQY5bB.jpg","media_url_https":"https://pbs.twimg.com/media/FRs1iAnXsAQY5bB.jpg","url":"https://t.co/VOgVMpSvEO","display_url":"pic.twitter.com/VOgVMpSvEO","expanded_url":"https://twitter.com/ResiduumMuc/status/1520868162941632513/photo/1","type":"photo","sizes":{"medium":{"w":800,"h":1200,"resize":"fit"},"thumb":{"w":150,"h":150,"resize":"crop"},"large":{"w":1080,"h":1620,"resize":"fit"},"small":{"w":453,"h":680,"resize":"fit"}},"source_status_id":1520868162941632500,"source_status_id_str":"1520868162941632513","source_user_id":212240467,"source_user_id_str":"212240467"}]}</t>
  </si>
  <si>
    <t>1520885202800816131</t>
  </si>
  <si>
    <t>http://twitter.com/thetopcaptain/statuses/1520885202800816131</t>
  </si>
  <si>
    <t>1520885168868929536</t>
  </si>
  <si>
    <t>Sun May 01 21:57:35 +0000 2022</t>
  </si>
  <si>
    <t>http://twitter.com/thetopcaptain/statuses/1520885168868929536</t>
  </si>
  <si>
    <t>1520885116230414337</t>
  </si>
  <si>
    <t>Sun May 01 21:57:23 +0000 2022</t>
  </si>
  <si>
    <t>http://twitter.com/thetopcaptain/statuses/1520885116230414337</t>
  </si>
  <si>
    <t>1520885105916624896</t>
  </si>
  <si>
    <t>rowanscott</t>
  </si>
  <si>
    <t>Sun May 01 21:57:20 +0000 2022</t>
  </si>
  <si>
    <t>20806474</t>
  </si>
  <si>
    <t>http://pbs.twimg.com/profile_images/1151480439389007873/e4WPxM7X_normal.jpg</t>
  </si>
  <si>
    <t>Ex S West now W Midlands👍</t>
  </si>
  <si>
    <t>http://twitter.com/rowanscott/statuses/1520885105916624896</t>
  </si>
  <si>
    <t>1520885083850354690</t>
  </si>
  <si>
    <t>bozenaduba</t>
  </si>
  <si>
    <t>Sun May 01 21:57:15 +0000 2022</t>
  </si>
  <si>
    <t>626789122</t>
  </si>
  <si>
    <t>http://pbs.twimg.com/profile_images/3616470499/292c908d6bc62915817b8fc4b6104b7f_normal.jpeg</t>
  </si>
  <si>
    <t>http://twitter.com/bozenaduba/statuses/1520885083850354690</t>
  </si>
  <si>
    <t>1520885078301327360</t>
  </si>
  <si>
    <t>Debz7172</t>
  </si>
  <si>
    <t>Sun May 01 21:57:14 +0000 2022</t>
  </si>
  <si>
    <t>102134228</t>
  </si>
  <si>
    <t>http://pbs.twimg.com/profile_images/1363258994974982147/-6nC5UbZ_normal.jpg</t>
  </si>
  <si>
    <t>Valley Truckle, Kernow</t>
  </si>
  <si>
    <t>http://twitter.com/Debz7172/statuses/1520885078301327360</t>
  </si>
  <si>
    <t>1520885072601268235</t>
  </si>
  <si>
    <t>Sun May 01 21:57:12 +0000 2022</t>
  </si>
  <si>
    <t>http://twitter.com/thetopcaptain/statuses/1520885072601268235</t>
  </si>
  <si>
    <t>1520885059015909376</t>
  </si>
  <si>
    <t>Athelwulf_wulf</t>
  </si>
  <si>
    <t>Sun May 01 21:57:09 +0000 2022</t>
  </si>
  <si>
    <t>957696518475210752</t>
  </si>
  <si>
    <t>http://pbs.twimg.com/profile_images/1497711846945693697/ewN7oafP_normal.jpg</t>
  </si>
  <si>
    <t>Mercia, Europe</t>
  </si>
  <si>
    <t>http://twitter.com/Athelwulf_wulf/statuses/1520885059015909376</t>
  </si>
  <si>
    <t>1520885037692067844</t>
  </si>
  <si>
    <t>Sun May 01 21:57:04 +0000 2022</t>
  </si>
  <si>
    <t>http://twitter.com/Athelwulf_wulf/statuses/1520885037692067844</t>
  </si>
  <si>
    <t>1520885036488265729</t>
  </si>
  <si>
    <t>RT @Patthedog5: #ukpolitics #torybritain #GTTO #Brexit #BrexitShambles #ToryShambles #projectreality #ToryScum 
#BorisTheLiar #JohnsonMustGo #nastyparty #ToryCorruption #Murdoch #austerity #RWNJs 
Tory lies &amp;amp; incompetence
#DissolveTheUnion #ProgressiveAlliance https://t.co/VgnN1kZeKI</t>
  </si>
  <si>
    <t>http://twitter.com/isthisab0t/statuses/1520885036488265729</t>
  </si>
  <si>
    <t>1520884991512698881</t>
  </si>
  <si>
    <t>doubledodge</t>
  </si>
  <si>
    <t>Sun May 01 21:56:53 +0000 2022</t>
  </si>
  <si>
    <t>90880096</t>
  </si>
  <si>
    <t>http://pbs.twimg.com/profile_images/1497157437304025096/nMIX40cx_normal.jpg</t>
  </si>
  <si>
    <t>http://twitter.com/doubledodge/statuses/1520884991512698881</t>
  </si>
  <si>
    <t>1520884951171977216</t>
  </si>
  <si>
    <t>KellerZoe</t>
  </si>
  <si>
    <t>Sun May 01 21:56:43 +0000 2022</t>
  </si>
  <si>
    <t>1142469860</t>
  </si>
  <si>
    <t>http://pbs.twimg.com/profile_images/3208513910/eaef6156ad1aaed467dfc94cff94f55f_normal.jpeg</t>
  </si>
  <si>
    <t>http://twitter.com/KellerZoe/statuses/1520884951171977216</t>
  </si>
  <si>
    <t>1520884939734110210</t>
  </si>
  <si>
    <t>Sun May 01 21:56:40 +0000 2022</t>
  </si>
  <si>
    <t>http://twitter.com/Athelwulf_wulf/statuses/1520884939734110210</t>
  </si>
  <si>
    <t>1520884935099310083</t>
  </si>
  <si>
    <t>Zlitniya</t>
  </si>
  <si>
    <t>Sun May 01 21:56:39 +0000 2022</t>
  </si>
  <si>
    <t>257143165</t>
  </si>
  <si>
    <t>http://pbs.twimg.com/profile_images/1215042574353862656/8ESWCJmU_normal.jpg</t>
  </si>
  <si>
    <t>http://twitter.com/Zlitniya/statuses/1520884935099310083</t>
  </si>
  <si>
    <t>1520884934617018370</t>
  </si>
  <si>
    <t>stephga5</t>
  </si>
  <si>
    <t>2224419195</t>
  </si>
  <si>
    <t>http://twitter.com/stephga5/statuses/1520884934617018370</t>
  </si>
  <si>
    <t>1520884909832916994</t>
  </si>
  <si>
    <t>#ukpolitics #torybritain #GTTO #Brexit #BrexitShambles #ToryShambles #projectreality #ToryScum 
#BorisTheLiar #JohnsonMustGo #nastyparty #ToryCorruption #Murdoch #austerity #RWNJs 
Tory lies &amp;amp; incompetence
#DissolveTheUnion #ProgressiveAlliance https://t.co/VgnN1kZeKI</t>
  </si>
  <si>
    <t>Sun May 01 21:56:33 +0000 2022</t>
  </si>
  <si>
    <t>http://twitter.com/Patthedog5/statuses/1520884909832916994</t>
  </si>
  <si>
    <t>{"hashtags":[{"text":"ukpolitics","indices":[0,11]},{"text":"torybritain","indices":[12,24]},{"text":"GTTO","indices":[25,30]},{"text":"Brexit","indices":[31,38]},{"text":"BrexitShambles","indices":[39,54]},{"text":"ToryShambles","indices":[55,68]},{"text":"projectreality","indices":[69,84]},{"text":"ToryScum","indices":[85,94]},{"text":"BorisTheLiar","indices":[96,109]},{"text":"JohnsonMustGo","indices":[110,124]},{"text":"nastyparty","indices":[125,136]},{"text":"ToryCorruption","indices":[137,152]},{"text":"Murdoch","indices":[153,161]},{"text":"austerity","indices":[162,172]},{"text":"RWNJs","indices":[173,179]},{"text":"DissolveTheUnion","indices":[210,227]},{"text":"ProgressiveAlliance","indices":[228,248]}],"symbols":[],"user_mentions":[],"urls":[{"url":"https://t.co/VgnN1kZeKI","expanded_url":"https://twitter.com/nearlythere2020/status/1520685312678277120","display_url":"twitter.com/nearlythere202…","indices":[249,272]}]}</t>
  </si>
  <si>
    <t>1520884900886372352</t>
  </si>
  <si>
    <t>GarySenior1</t>
  </si>
  <si>
    <t>Sun May 01 21:56:31 +0000 2022</t>
  </si>
  <si>
    <t>360732250</t>
  </si>
  <si>
    <t>http://pbs.twimg.com/profile_images/1482451633111982086/-AVR5wZB_normal.jpg</t>
  </si>
  <si>
    <t>http://twitter.com/GarySenior1/statuses/1520884900886372352</t>
  </si>
  <si>
    <t>1520884846440103936</t>
  </si>
  <si>
    <t>Sun May 01 21:56:18 +0000 2022</t>
  </si>
  <si>
    <t>http://twitter.com/Athelwulf_wulf/statuses/1520884846440103936</t>
  </si>
  <si>
    <t>1520884840954007552</t>
  </si>
  <si>
    <t>Nikicinder</t>
  </si>
  <si>
    <t>Sun May 01 21:56:17 +0000 2022</t>
  </si>
  <si>
    <t>1314107638381150208</t>
  </si>
  <si>
    <t>http://pbs.twimg.com/profile_images/1314108241060732928/16XTdYHL_normal.jpg</t>
  </si>
  <si>
    <t>http://twitter.com/Nikicinder/statuses/1520884840954007552</t>
  </si>
  <si>
    <t>1520884800848072710</t>
  </si>
  <si>
    <t>Sun May 01 21:56:07 +0000 2022</t>
  </si>
  <si>
    <t>http://twitter.com/Athelwulf_wulf/statuses/1520884800848072710</t>
  </si>
  <si>
    <t>1520884790341349376</t>
  </si>
  <si>
    <t>Brexit_Mistake</t>
  </si>
  <si>
    <t>Sun May 01 21:56:05 +0000 2022</t>
  </si>
  <si>
    <t>805077676092489728</t>
  </si>
  <si>
    <t>http://pbs.twimg.com/profile_images/1350269888603049985/36qk_HYE_normal.jpg</t>
  </si>
  <si>
    <t>Brit trapped in Dublin</t>
  </si>
  <si>
    <t>http://twitter.com/Brexit_Mistake/statuses/1520884790341349376</t>
  </si>
  <si>
    <t>1520884782556749825</t>
  </si>
  <si>
    <t>Sun May 01 21:56:03 +0000 2022</t>
  </si>
  <si>
    <t>http://twitter.com/Slimbarry2/statuses/1520884782556749825</t>
  </si>
  <si>
    <t>1520884769503866881</t>
  </si>
  <si>
    <t>BruceHenderson2</t>
  </si>
  <si>
    <t>RT @BruceHenderson2: @Helsleahy Why would the UK not get agreement to rejoin?
They would simply have candidate status, undergo the process to join and agreement would be subject to a vote of the member states.
Not really a big issue, to to accept #brexit has killed our country &amp;amp; rejoin.</t>
  </si>
  <si>
    <t>Sun May 01 21:56:00 +0000 2022</t>
  </si>
  <si>
    <t>285298870</t>
  </si>
  <si>
    <t>http://pbs.twimg.com/profile_images/442759716750368768/LXUAzFP4_normal.jpeg</t>
  </si>
  <si>
    <t>Fife</t>
  </si>
  <si>
    <t>http://twitter.com/BruceHenderson2/statuses/1520884769503866881</t>
  </si>
  <si>
    <t>{"hashtags":[],"symbols":[],"user_mentions":[{"screen_name":"BruceHenderson2","name":"Bruce Henderson","id":285298870,"id_str":"285298870","indices":[3,19]},{"screen_name":"Helsleahy","name":"Leána Ní Laochdha 🇮🇪🇪🇺🇵🇸 Socialist, BLM.","id":927446099513761800,"id_str":"927446099513761792","indices":[21,31]}],"urls":[]}</t>
  </si>
  <si>
    <t>1520884742681505792</t>
  </si>
  <si>
    <t>@Helsleahy Why would the UK not get agreement to rejoin?
They would simply have candidate status, undergo the process to join and agreement would be subject to a vote of the member states.
Not really a big issue, to to accept #brexit has killed our country &amp;amp; rejoin.</t>
  </si>
  <si>
    <t>Sun May 01 21:55:53 +0000 2022</t>
  </si>
  <si>
    <t>927446099513761792</t>
  </si>
  <si>
    <t>Helsleahy</t>
  </si>
  <si>
    <t>1520881393382875136</t>
  </si>
  <si>
    <t>http://twitter.com/BruceHenderson2/statuses/1520884742681505792</t>
  </si>
  <si>
    <t>{"hashtags":[{"text":"brexit","indices":[226,233]}],"symbols":[],"user_mentions":[{"screen_name":"Helsleahy","name":"Leána Ní Laochdha 🇮🇪🇪🇺🇵🇸 Socialist, BLM.","id":927446099513761800,"id_str":"927446099513761792","indices":[0,10]}],"urls":[]}</t>
  </si>
  <si>
    <t>1520884733034614785</t>
  </si>
  <si>
    <t>bridgetwilcox</t>
  </si>
  <si>
    <t>Sun May 01 21:55:51 +0000 2022</t>
  </si>
  <si>
    <t>306318042</t>
  </si>
  <si>
    <t>http://twitter.com/bridgetwilcox/statuses/1520884733034614785</t>
  </si>
  <si>
    <t>1520884719025590272</t>
  </si>
  <si>
    <t>rachhutch13</t>
  </si>
  <si>
    <t>Sun May 01 21:55:48 +0000 2022</t>
  </si>
  <si>
    <t>201920545</t>
  </si>
  <si>
    <t>http://pbs.twimg.com/profile_images/1511002405411905537/J9clBHZg_normal.jpg</t>
  </si>
  <si>
    <t>Ilfracombe, North Devon</t>
  </si>
  <si>
    <t>http://twitter.com/rachhutch13/statuses/1520884719025590272</t>
  </si>
  <si>
    <t>1520884714248228866</t>
  </si>
  <si>
    <t>MTG_Illustrates</t>
  </si>
  <si>
    <t>Sun May 01 21:55:47 +0000 2022</t>
  </si>
  <si>
    <t>1271047881835888640</t>
  </si>
  <si>
    <t>http://pbs.twimg.com/profile_images/1506560693226680325/Wg7_vaSz_normal.jpg</t>
  </si>
  <si>
    <t>http://twitter.com/MTG_Illustrates/statuses/1520884714248228866</t>
  </si>
  <si>
    <t>1520884678923800576</t>
  </si>
  <si>
    <t>fbpe_h</t>
  </si>
  <si>
    <t>Sun May 01 21:55:38 +0000 2022</t>
  </si>
  <si>
    <t>1389968815535054853</t>
  </si>
  <si>
    <t>http://pbs.twimg.com/profile_images/1390040788894195718/q0fkE8aG_normal.jpg</t>
  </si>
  <si>
    <t>http://twitter.com/fbpe_h/statuses/1520884678923800576</t>
  </si>
  <si>
    <t>1520884649899302914</t>
  </si>
  <si>
    <t>Sun May 01 21:55:31 +0000 2022</t>
  </si>
  <si>
    <t>http://twitter.com/fbpe_h/statuses/1520884649899302914</t>
  </si>
  <si>
    <t>1520884629858889733</t>
  </si>
  <si>
    <t>KarenStopHate</t>
  </si>
  <si>
    <t>Sun May 01 21:55:27 +0000 2022</t>
  </si>
  <si>
    <t>746301372316917760</t>
  </si>
  <si>
    <t>http://pbs.twimg.com/profile_images/1396502277163294722/RVvfDvGa_normal.jpg</t>
  </si>
  <si>
    <t>Manchester, Europe</t>
  </si>
  <si>
    <t>http://twitter.com/KarenStopHate/statuses/1520884629858889733</t>
  </si>
  <si>
    <t>1520884629225582598</t>
  </si>
  <si>
    <t>BocaVerite</t>
  </si>
  <si>
    <t>Brit expats living in Spain hit with driving ban as post-Brexit talks fail - The Mirror
Another #Brexit bonus!
#LiarJohnson failed to properly negotiate #Brexit and this is one of many consequences. What’s he doing about it! Zilch! https://t.co/3NEFGvlIo3</t>
  </si>
  <si>
    <t>Sun May 01 21:55:26 +0000 2022</t>
  </si>
  <si>
    <t>1010973919799644161</t>
  </si>
  <si>
    <t>http://pbs.twimg.com/profile_images/1135288205861937152/oXJQRZe3_normal.jpg</t>
  </si>
  <si>
    <t>http://twitter.com/BocaVerite/statuses/1520884629225582598</t>
  </si>
  <si>
    <t>{"hashtags":[{"text":"Brexit","indices":[96,103]},{"text":"LiarJohnson","indices":[111,123]},{"text":"Brexit","indices":[153,160]}],"symbols":[],"user_mentions":[],"urls":[{"url":"https://t.co/3NEFGvlIo3","expanded_url":"https://apple.news/AVJ-3K6UuTmKkqDazv_GoFA","display_url":"apple.news/AVJ-3K6UuTmKkq…","indices":[232,255]}]}</t>
  </si>
  <si>
    <t>1520884595146825728</t>
  </si>
  <si>
    <t>ArdentArchivis1</t>
  </si>
  <si>
    <t>Sun May 01 21:55:18 +0000 2022</t>
  </si>
  <si>
    <t>1005251884171644933</t>
  </si>
  <si>
    <t>http://pbs.twimg.com/profile_images/1006725678329458688/EYx_DIdV_normal.jpg</t>
  </si>
  <si>
    <t>http://twitter.com/ArdentArchivis1/statuses/1520884595146825728</t>
  </si>
  <si>
    <t>1520884547050737664</t>
  </si>
  <si>
    <t>@Denise19040593 #BackBoris #TeamBoris #BorisTrain #NeverLabour #NeverLiebour #Conservatives #LabourHypocricy #LabourSleaze #LabourLies #CaptainHindsight #HypocriteStarmer #SmarmyStarmer #StarmerLies #ScumMedia #DefundTheBBC #Brexit #ResignStarmer #ResignRayner #SirBeerStarmer #DurhamGate</t>
  </si>
  <si>
    <t>Sun May 01 21:55:07 +0000 2022</t>
  </si>
  <si>
    <t>1457604482095849476</t>
  </si>
  <si>
    <t>Denise19040593</t>
  </si>
  <si>
    <t>1520883223869468675</t>
  </si>
  <si>
    <t>http://twitter.com/AlasSmithJones/statuses/1520884547050737664</t>
  </si>
  <si>
    <t>{"hashtags":[{"text":"BackBoris","indices":[16,26]},{"text":"TeamBoris","indices":[27,37]},{"text":"BorisTrain","indices":[38,49]},{"text":"NeverLabour","indices":[50,62]},{"text":"NeverLiebour","indices":[63,76]},{"text":"Conservatives","indices":[77,91]},{"text":"LabourHypocricy","indices":[92,108]},{"text":"LabourSleaze","indices":[109,122]},{"text":"LabourLies","indices":[123,134]},{"text":"CaptainHindsight","indices":[135,152]},{"text":"HypocriteStarmer","indices":[153,170]},{"text":"SmarmyStarmer","indices":[171,185]},{"text":"StarmerLies","indices":[186,198]},{"text":"ScumMedia","indices":[199,209]},{"text":"DefundTheBBC","indices":[210,223]},{"text":"Brexit","indices":[224,231]},{"text":"ResignStarmer","indices":[232,246]},{"text":"ResignRayner","indices":[247,260]},{"text":"SirBeerStarmer","indices":[261,276]},{"text":"DurhamGate","indices":[277,288]}],"symbols":[],"user_mentions":[{"screen_name":"Denise19040593","name":"Denise","id":1457604482095849500,"id_str":"1457604482095849476","indices":[0,15]}],"urls":[]}</t>
  </si>
  <si>
    <t>1520884531141697537</t>
  </si>
  <si>
    <t>RT @Patthedog5: https://t.co/SBaP74nmjY
#ukpolitics #torybritain #GTTO #Brexit #BrexitShambles #ToryShambles #projectreality #ToryScum 
#BorisTheLiar #JohnsonMustGo #nastyparty #ToryCorruption #Murdoch #austerity #RWNJs 
Tory lies &amp;amp; incompetence
#DissolveTheUnion #ProgressiveAlliance
#pritiawful</t>
  </si>
  <si>
    <t>Sun May 01 21:55:03 +0000 2022</t>
  </si>
  <si>
    <t>http://twitter.com/isthisab0t/statuses/1520884531141697537</t>
  </si>
  <si>
    <t>{"hashtags":[{"text":"ukpolitics","indices":[40,51]},{"text":"torybritain","indices":[52,64]},{"text":"GTTO","indices":[65,70]},{"text":"Brexit","indices":[71,78]},{"text":"BrexitShambles","indices":[79,94]},{"text":"ToryShambles","indices":[95,108]},{"text":"projectreality","indices":[109,124]},{"text":"ToryScum","indices":[125,134]}],"symbols":[],"user_mentions":[{"screen_name":"Patthedog5","name":"Pat the dog(Voted for Brexit?; Brexidiot you are)","id":1141411703273525200,"id_str":"1141411703273525248","indices":[3,14]}],"urls":[{"url":"https://t.co/SBaP74nmjY","expanded_url":"https://www.birminghammail.co.uk/news/midlands-news/priti-patel-hiring-private-jets-23807182?fbclid=IwAR0nZv1BZu0mYNh4j5MQ86qzy4H8JdnY7BnY4CpQRtBXtVItgXLQk4rWgN0","display_url":"birminghammail.co.uk/news/midlands-…","indices":[16,39]}]}</t>
  </si>
  <si>
    <t>1520884501940948993</t>
  </si>
  <si>
    <t>chriscarter1907</t>
  </si>
  <si>
    <t>Sun May 01 21:54:56 +0000 2022</t>
  </si>
  <si>
    <t>449573568</t>
  </si>
  <si>
    <t>http://pbs.twimg.com/profile_images/1374546358779179008/jTD_H_Y6_normal.jpg</t>
  </si>
  <si>
    <t>http://twitter.com/chriscarter1907/statuses/1520884501940948993</t>
  </si>
  <si>
    <t>1520884483859308546</t>
  </si>
  <si>
    <t>Baznut</t>
  </si>
  <si>
    <t>Sun May 01 21:54:52 +0000 2022</t>
  </si>
  <si>
    <t>32389281</t>
  </si>
  <si>
    <t>http://pbs.twimg.com/profile_images/1144612433295581184/BnGUYWg5_normal.png</t>
  </si>
  <si>
    <t>Ealing, London</t>
  </si>
  <si>
    <t>http://twitter.com/Baznut/statuses/1520884483859308546</t>
  </si>
  <si>
    <t>1520884483523809283</t>
  </si>
  <si>
    <t>IanFWinter</t>
  </si>
  <si>
    <t>30854829</t>
  </si>
  <si>
    <t>http://pbs.twimg.com/profile_images/893926156990382081/HnTEqEEW_normal.jpg</t>
  </si>
  <si>
    <t>http://twitter.com/IanFWinter/statuses/1520884483523809283</t>
  </si>
  <si>
    <t>1520884434509123584</t>
  </si>
  <si>
    <t>MattProops</t>
  </si>
  <si>
    <t>Sun May 01 21:54:40 +0000 2022</t>
  </si>
  <si>
    <t>1311275455782285312</t>
  </si>
  <si>
    <t>http://pbs.twimg.com/profile_images/1311275976425443328/Invy-xnQ_normal.jpg</t>
  </si>
  <si>
    <t>Black Isle, Scotland</t>
  </si>
  <si>
    <t>http://twitter.com/MattProops/statuses/1520884434509123584</t>
  </si>
  <si>
    <t>1520884404368945153</t>
  </si>
  <si>
    <t>100pctcocoa</t>
  </si>
  <si>
    <t>Sun May 01 21:54:33 +0000 2022</t>
  </si>
  <si>
    <t>20271754</t>
  </si>
  <si>
    <t>http://pbs.twimg.com/profile_images/466988941733015552/SNyFn9Jl_normal.jpeg</t>
  </si>
  <si>
    <t>http://twitter.com/100pctcocoa/statuses/1520884404368945153</t>
  </si>
  <si>
    <t>1520884403341246465</t>
  </si>
  <si>
    <t>http://twitter.com/fbpe_h/statuses/1520884403341246465</t>
  </si>
  <si>
    <t>1520884396177375233</t>
  </si>
  <si>
    <t>lunaperla</t>
  </si>
  <si>
    <t>Sun May 01 21:54:31 +0000 2022</t>
  </si>
  <si>
    <t>141141836</t>
  </si>
  <si>
    <t>http://pbs.twimg.com/profile_images/1485902695835836416/Wyp5vhyZ_normal.jpg</t>
  </si>
  <si>
    <t>Citizen of the World</t>
  </si>
  <si>
    <t>http://twitter.com/lunaperla/statuses/1520884396177375233</t>
  </si>
  <si>
    <t>1520884395275653126</t>
  </si>
  <si>
    <t>annadevine66</t>
  </si>
  <si>
    <t>742054919935512576</t>
  </si>
  <si>
    <t>http://twitter.com/annadevine66/statuses/1520884395275653126</t>
  </si>
  <si>
    <t>1520884381153435656</t>
  </si>
  <si>
    <t>Sun May 01 21:54:27 +0000 2022</t>
  </si>
  <si>
    <t>http://twitter.com/fbpe_h/statuses/1520884381153435656</t>
  </si>
  <si>
    <t>1520884357728280583</t>
  </si>
  <si>
    <t>Sun May 01 21:54:22 +0000 2022</t>
  </si>
  <si>
    <t>http://twitter.com/fbpe_h/statuses/1520884357728280583</t>
  </si>
  <si>
    <t>1520884337901813761</t>
  </si>
  <si>
    <t>ZaraFanRav1</t>
  </si>
  <si>
    <t>Sun May 01 21:54:17 +0000 2022</t>
  </si>
  <si>
    <t>1150488507158343680</t>
  </si>
  <si>
    <t>http://pbs.twimg.com/profile_images/1432372604371972106/HHGB6stn_normal.jpg</t>
  </si>
  <si>
    <t>Felixstowe, Suffolk, UK</t>
  </si>
  <si>
    <t>http://twitter.com/ZaraFanRav1/statuses/1520884337901813761</t>
  </si>
  <si>
    <t>1520884322915471361</t>
  </si>
  <si>
    <t>Sun May 01 21:54:13 +0000 2022</t>
  </si>
  <si>
    <t>http://twitter.com/100pctcocoa/statuses/1520884322915471361</t>
  </si>
  <si>
    <t>1520884321820844035</t>
  </si>
  <si>
    <t>AllenHernaman</t>
  </si>
  <si>
    <t>1375108792204034048</t>
  </si>
  <si>
    <t>http://pbs.twimg.com/profile_images/1375109146585001991/ly07gj8X_normal.jpg</t>
  </si>
  <si>
    <t>http://twitter.com/AllenHernaman/statuses/1520884321820844035</t>
  </si>
  <si>
    <t>1520884317223858179</t>
  </si>
  <si>
    <t>Sun May 01 21:54:12 +0000 2022</t>
  </si>
  <si>
    <t>http://twitter.com/fbpe_h/statuses/1520884317223858179</t>
  </si>
  <si>
    <t>1520884290661363713</t>
  </si>
  <si>
    <t>PeritaRisus</t>
  </si>
  <si>
    <t>Sun May 01 21:54:06 +0000 2022</t>
  </si>
  <si>
    <t>2836155718</t>
  </si>
  <si>
    <t>http://pbs.twimg.com/profile_images/1241341741644558336/mLx_lXqA_normal.jpg</t>
  </si>
  <si>
    <t>http://twitter.com/PeritaRisus/statuses/1520884290661363713</t>
  </si>
  <si>
    <t>1520884280020377603</t>
  </si>
  <si>
    <t>https://t.co/SBaP74nmjY
#ukpolitics #torybritain #GTTO #Brexit #BrexitShambles #ToryShambles #projectreality #ToryScum 
#BorisTheLiar #JohnsonMustGo #nastyparty #ToryCorruption #Murdoch #austerity #RWNJs 
Tory lies &amp;amp; incompetence
#DissolveTheUnion #ProgressiveAlliance
#pritiawful</t>
  </si>
  <si>
    <t>Sun May 01 21:54:03 +0000 2022</t>
  </si>
  <si>
    <t>http://twitter.com/Patthedog5/statuses/1520884280020377603</t>
  </si>
  <si>
    <t>{"hashtags":[{"text":"ukpolitics","indices":[24,35]},{"text":"torybritain","indices":[36,48]},{"text":"GTTO","indices":[49,54]},{"text":"Brexit","indices":[55,62]},{"text":"BrexitShambles","indices":[63,78]},{"text":"ToryShambles","indices":[79,92]},{"text":"projectreality","indices":[93,108]},{"text":"ToryScum","indices":[109,118]},{"text":"BorisTheLiar","indices":[120,133]},{"text":"JohnsonMustGo","indices":[134,148]},{"text":"nastyparty","indices":[149,160]},{"text":"ToryCorruption","indices":[161,176]},{"text":"Murdoch","indices":[177,185]},{"text":"austerity","indices":[186,196]},{"text":"RWNJs","indices":[197,203]},{"text":"DissolveTheUnion","indices":[234,251]},{"text":"ProgressiveAlliance","indices":[252,272]},{"text":"pritiawful","indices":[273,284]}],"symbols":[],"user_mentions":[],"urls":[{"url":"https://t.co/SBaP74nmjY","expanded_url":"https://www.birminghammail.co.uk/news/midlands-news/priti-patel-hiring-private-jets-23807182?fbclid=IwAR0nZv1BZu0mYNh4j5MQ86qzy4H8JdnY7BnY4CpQRtBXtVItgXLQk4rWgN0","display_url":"birminghammail.co.uk/news/midlands-…","indices":[0,23]}]}</t>
  </si>
  <si>
    <t>1520884264807682055</t>
  </si>
  <si>
    <t>Patrici89225734</t>
  </si>
  <si>
    <t>Sun May 01 21:54:00 +0000 2022</t>
  </si>
  <si>
    <t>1277653859301801984</t>
  </si>
  <si>
    <t>http://pbs.twimg.com/profile_images/1277654195584327680/2E5k65qF_normal.jpg</t>
  </si>
  <si>
    <t>http://twitter.com/Patrici89225734/statuses/1520884264807682055</t>
  </si>
  <si>
    <t>1520884231546810373</t>
  </si>
  <si>
    <t>Sun May 01 21:53:52 +0000 2022</t>
  </si>
  <si>
    <t>http://twitter.com/100pctcocoa/statuses/1520884231546810373</t>
  </si>
  <si>
    <t>1520884227419656192</t>
  </si>
  <si>
    <t>macameron66</t>
  </si>
  <si>
    <t>Sun May 01 21:53:51 +0000 2022</t>
  </si>
  <si>
    <t>228428238</t>
  </si>
  <si>
    <t>http://pbs.twimg.com/profile_images/1519406274601005059/Ac5IUQIN_normal.jpg</t>
  </si>
  <si>
    <t>http://twitter.com/macameron66/statuses/1520884227419656192</t>
  </si>
  <si>
    <t>1520884219286851589</t>
  </si>
  <si>
    <t>Sun May 01 21:53:49 +0000 2022</t>
  </si>
  <si>
    <t>http://twitter.com/Patrici89225734/statuses/1520884219286851589</t>
  </si>
  <si>
    <t>1520884166212136963</t>
  </si>
  <si>
    <t>Sun May 01 21:53:36 +0000 2022</t>
  </si>
  <si>
    <t>http://twitter.com/fbpe_h/statuses/1520884166212136963</t>
  </si>
  <si>
    <t>1520884140756844544</t>
  </si>
  <si>
    <t>Akounas1</t>
  </si>
  <si>
    <t>RT @HIP_Energy: @guyverhofstadt The UK left just in time, a massive bullet dodged.
https://t.co/jOlavuLtHt
#Brexit</t>
  </si>
  <si>
    <t>Sun May 01 21:53:30 +0000 2022</t>
  </si>
  <si>
    <t>1411616208391180291</t>
  </si>
  <si>
    <t>http://pbs.twimg.com/profile_images/1411628356072886272/hWEGiPhc_normal.jpg</t>
  </si>
  <si>
    <t>http://twitter.com/Akounas1/statuses/1520884140756844544</t>
  </si>
  <si>
    <t>{"hashtags":[{"text":"Brexit","indices":[107,114]}],"symbols":[],"user_mentions":[{"screen_name":"HIP_Energy","name":"Paul Williams #BuyBritish #UKmfg #NuclearEnergy","id":42527025,"id_str":"42527025","indices":[3,14]},{"screen_name":"guyverhofstadt","name":"Guy Verhofstadt","id":856010760,"id_str":"856010760","indices":[16,31]}],"urls":[{"url":"https://t.co/jOlavuLtHt","expanded_url":"https://twitter.com/brexithenrik/status/1151035651665596418?s=20&amp;t=as1_cJOavkis-f0YhXLH9w","display_url":"twitter.com/brexithenrik/s…","indices":[83,106]}]}</t>
  </si>
  <si>
    <t>1520884126647304195</t>
  </si>
  <si>
    <t>Skaro7</t>
  </si>
  <si>
    <t>Sun May 01 21:53:27 +0000 2022</t>
  </si>
  <si>
    <t>23950973</t>
  </si>
  <si>
    <t>http://pbs.twimg.com/profile_images/1486097184777031686/3NFDl86R_normal.jpg</t>
  </si>
  <si>
    <t>Bristol, UK</t>
  </si>
  <si>
    <t>http://twitter.com/Skaro7/statuses/1520884126647304195</t>
  </si>
  <si>
    <t>1520884093788979200</t>
  </si>
  <si>
    <t>Jackiem62275317</t>
  </si>
  <si>
    <t>Sun May 01 21:53:19 +0000 2022</t>
  </si>
  <si>
    <t>1152259341749248000</t>
  </si>
  <si>
    <t>http://pbs.twimg.com/profile_images/1489255410724864004/7myTtajd_normal.jpg</t>
  </si>
  <si>
    <t>http://twitter.com/Jackiem62275317/statuses/1520884093788979200</t>
  </si>
  <si>
    <t>1520884047576285185</t>
  </si>
  <si>
    <t>PatNeal6</t>
  </si>
  <si>
    <t>Sun May 01 21:53:08 +0000 2022</t>
  </si>
  <si>
    <t>900328567</t>
  </si>
  <si>
    <t>http://pbs.twimg.com/profile_images/1504751236125446144/8iMubNJi_normal.jpg</t>
  </si>
  <si>
    <t>http://twitter.com/PatNeal6/statuses/1520884047576285185</t>
  </si>
  <si>
    <t>1520883953934209024</t>
  </si>
  <si>
    <t>ChippyGirl2</t>
  </si>
  <si>
    <t>Sun May 01 21:52:45 +0000 2022</t>
  </si>
  <si>
    <t>1168949019101585409</t>
  </si>
  <si>
    <t>http://pbs.twimg.com/profile_images/1272098350435840001/6By0Q8p__normal.jpg</t>
  </si>
  <si>
    <t>Chippy</t>
  </si>
  <si>
    <t>http://twitter.com/ChippyGirl2/statuses/1520883953934209024</t>
  </si>
  <si>
    <t>1520883844097974272</t>
  </si>
  <si>
    <t>Sun May 01 21:52:19 +0000 2022</t>
  </si>
  <si>
    <t>http://twitter.com/ilmomento/statuses/1520883844097974272</t>
  </si>
  <si>
    <t>1520883840058896384</t>
  </si>
  <si>
    <t>susiereaphoto</t>
  </si>
  <si>
    <t>Sun May 01 21:52:18 +0000 2022</t>
  </si>
  <si>
    <t>320811204</t>
  </si>
  <si>
    <t>http://pbs.twimg.com/profile_images/1405082736/Picture_4_normal.png</t>
  </si>
  <si>
    <t>http://twitter.com/susiereaphoto/statuses/1520883840058896384</t>
  </si>
  <si>
    <t>1520883743858499584</t>
  </si>
  <si>
    <t>WCountryVoices</t>
  </si>
  <si>
    <t>Sun May 01 21:51:55 +0000 2022</t>
  </si>
  <si>
    <t>1276399597175427073</t>
  </si>
  <si>
    <t>http://pbs.twimg.com/profile_images/1478712008161771522/6exG9Yyv_normal.jpg</t>
  </si>
  <si>
    <t>West Country</t>
  </si>
  <si>
    <t>http://twitter.com/WCountryVoices/statuses/1520883743858499584</t>
  </si>
  <si>
    <t>1520883727475392513</t>
  </si>
  <si>
    <t>SeaBee35831442</t>
  </si>
  <si>
    <t>Sun May 01 21:51:51 +0000 2022</t>
  </si>
  <si>
    <t>1034905345821495303</t>
  </si>
  <si>
    <t>http://twitter.com/SeaBee35831442/statuses/1520883727475392513</t>
  </si>
  <si>
    <t>1520883654502887424</t>
  </si>
  <si>
    <t>TalktoBeverley</t>
  </si>
  <si>
    <t>Sun May 01 21:51:34 +0000 2022</t>
  </si>
  <si>
    <t>3292816361</t>
  </si>
  <si>
    <t>http://pbs.twimg.com/profile_images/1497210880756527114/oWvMXaeX_normal.jpg</t>
  </si>
  <si>
    <t>http://twitter.com/TalktoBeverley/statuses/1520883654502887424</t>
  </si>
  <si>
    <t>1520883637247426560</t>
  </si>
  <si>
    <t>Sun May 01 21:51:30 +0000 2022</t>
  </si>
  <si>
    <t>http://twitter.com/heather63262308/statuses/1520883637247426560</t>
  </si>
  <si>
    <t>1520883596562771971</t>
  </si>
  <si>
    <t>Modan121</t>
  </si>
  <si>
    <t>Sun May 01 21:51:20 +0000 2022</t>
  </si>
  <si>
    <t>1683075889</t>
  </si>
  <si>
    <t>http://pbs.twimg.com/profile_images/464150335217340416/u3fkr3Ff_normal.jpeg</t>
  </si>
  <si>
    <t>West Yorkshire</t>
  </si>
  <si>
    <t>http://twitter.com/Modan121/statuses/1520883596562771971</t>
  </si>
  <si>
    <t>1520883516543848455</t>
  </si>
  <si>
    <t>iaeon</t>
  </si>
  <si>
    <t>@LBC @clivebull Self-harm can be reversed. 
#Brexit can be undone.
#RejoinEU</t>
  </si>
  <si>
    <t>Sun May 01 21:51:01 +0000 2022</t>
  </si>
  <si>
    <t>20973388</t>
  </si>
  <si>
    <t>LBC</t>
  </si>
  <si>
    <t>19664006</t>
  </si>
  <si>
    <t>1520555359718551552</t>
  </si>
  <si>
    <t>http://pbs.twimg.com/profile_images/80164295/IanImage1_normal.jpg</t>
  </si>
  <si>
    <t>http://twitter.com/iaeon/statuses/1520883516543848455</t>
  </si>
  <si>
    <t>{"hashtags":[{"text":"Brexit","indices":[44,51]},{"text":"RejoinEU","indices":[67,76]}],"symbols":[],"user_mentions":[{"screen_name":"LBC","name":"LBC","id":20973388,"id_str":"20973388","indices":[0,4]},{"screen_name":"clivebull","name":"Clive Bull","id":21326127,"id_str":"21326127","indices":[5,15]}],"urls":[]}</t>
  </si>
  <si>
    <t>1520883493303160834</t>
  </si>
  <si>
    <t>Sun May 01 21:50:56 +0000 2022</t>
  </si>
  <si>
    <t>http://twitter.com/TalktoBeverley/statuses/1520883493303160834</t>
  </si>
  <si>
    <t>1520883482179821569</t>
  </si>
  <si>
    <t>Sun May 01 21:50:53 +0000 2022</t>
  </si>
  <si>
    <t>http://twitter.com/TalktoBeverley/statuses/1520883482179821569</t>
  </si>
  <si>
    <t>1520883474315591680</t>
  </si>
  <si>
    <t>Sun May 01 21:50:51 +0000 2022</t>
  </si>
  <si>
    <t>http://twitter.com/TalktoBeverley/statuses/1520883474315591680</t>
  </si>
  <si>
    <t>1520883465134260225</t>
  </si>
  <si>
    <t>CPatrickPlay</t>
  </si>
  <si>
    <t>Sun May 01 21:50:49 +0000 2022</t>
  </si>
  <si>
    <t>1280538974</t>
  </si>
  <si>
    <t>http://pbs.twimg.com/profile_images/530842063256817664/Saa0B4Xw_normal.jpeg</t>
  </si>
  <si>
    <t>http://twitter.com/CPatrickPlay/statuses/1520883465134260225</t>
  </si>
  <si>
    <t>1520883429151285251</t>
  </si>
  <si>
    <t>Sun May 01 21:50:40 +0000 2022</t>
  </si>
  <si>
    <t>http://twitter.com/TalktoBeverley/statuses/1520883429151285251</t>
  </si>
  <si>
    <t>1520883304052015104</t>
  </si>
  <si>
    <t>MooreRosemary</t>
  </si>
  <si>
    <t>RT @Dr__H__Lekter: #JohnsonOut97 #ScottishIndependence #JohnsonTheLiar #Brexit #BrexitHasFailed #NeverTrustATory #LiarNotALeader #ToryLiars #ToriesOut5thMay #TorySleaze #VoteLabour #Growlergate #gingergrowler #ToryShambles #ToryLies #ToryCorruption  Angela Rayner thatcher Sexist of the Year https://t.co/XJTdKeXB3E</t>
  </si>
  <si>
    <t>Sun May 01 21:50:10 +0000 2022</t>
  </si>
  <si>
    <t>602068266</t>
  </si>
  <si>
    <t>http://pbs.twimg.com/profile_images/882151785468747776/IGW1u82W_normal.jpg</t>
  </si>
  <si>
    <t>http://twitter.com/MooreRosemary/statuses/1520883304052015104</t>
  </si>
  <si>
    <t>1520883300948230144</t>
  </si>
  <si>
    <t>GailGailtranter</t>
  </si>
  <si>
    <t>RT @richardodurrant: Against all of his wishes, #BorisJohnson will forever be remembered for #Partygate. #Brexit yes, #Ukraine maybe, #covid possibly, but mainly the first #PM to break the law over and over again through partygate. 
Make you proud?
MAKE SURE YOU #VOTE</t>
  </si>
  <si>
    <t>3103857701</t>
  </si>
  <si>
    <t>http://pbs.twimg.com/profile_images/1418546684519387137/3WkpJ8d__normal.jpg</t>
  </si>
  <si>
    <t>Margate, England</t>
  </si>
  <si>
    <t>http://twitter.com/GailGailtranter/statuses/1520883300948230144</t>
  </si>
  <si>
    <t>{"hashtags":[{"text":"BorisJohnson","indices":[48,61]},{"text":"Partygate","indices":[93,103]},{"text":"Brexit","indices":[105,112]},{"text":"Ukraine","indices":[118,126]}],"symbols":[],"user_mentions":[{"screen_name":"richardodurrant","name":"Richard Oliver Sefton-Durrant 🇺🇦","id":310390423,"id_str":"310390423","indices":[3,19]}],"urls":[]}</t>
  </si>
  <si>
    <t>1520883266433298434</t>
  </si>
  <si>
    <t>etihwv</t>
  </si>
  <si>
    <t>@DavidGHFrost "But man, proud man,
Drest in a little brief authority,
Most ignorant of what he’s most assur’d;
His glassy essence, like an angry ape,
Plays such fantastic tricks before high heaven,
As make the angels weep."
#YouWonGetOverIt #UnelectedBureaucrat #Frost  #Brexit #RuleTaker</t>
  </si>
  <si>
    <t>Sun May 01 21:50:02 +0000 2022</t>
  </si>
  <si>
    <t>967900364</t>
  </si>
  <si>
    <t>DavidGHFrost</t>
  </si>
  <si>
    <t>113385823</t>
  </si>
  <si>
    <t>1520307903382671362</t>
  </si>
  <si>
    <t>http://pbs.twimg.com/profile_images/1128876580/P4070035_normal.JPG</t>
  </si>
  <si>
    <t xml:space="preserve">Nowhere (Citizen thereof). </t>
  </si>
  <si>
    <t>http://twitter.com/etihwv/statuses/1520883266433298434</t>
  </si>
  <si>
    <t>{"hashtags":[{"text":"YouWonGetOverIt","indices":[225,241]},{"text":"UnelectedBureaucrat","indices":[242,262]},{"text":"Frost","indices":[263,269]},{"text":"Brexit","indices":[271,278]},{"text":"RuleTaker","indices":[279,289]}],"symbols":[],"user_mentions":[{"screen_name":"DavidGHFrost","name":"David Frost","id":967900364,"id_str":"967900364","indices":[0,13]}],"urls":[]}</t>
  </si>
  <si>
    <t>1520883255368720385</t>
  </si>
  <si>
    <t>carol_falaki</t>
  </si>
  <si>
    <t>RT @SydesJokes: #BrexShit #Brexit https://t.co/QZ0NMHn3w2</t>
  </si>
  <si>
    <t>Sun May 01 21:49:59 +0000 2022</t>
  </si>
  <si>
    <t>495321509</t>
  </si>
  <si>
    <t>http://pbs.twimg.com/profile_images/972129761794449409/5otdCv62_normal.jpg</t>
  </si>
  <si>
    <t>http://twitter.com/carol_falaki/statuses/1520883255368720385</t>
  </si>
  <si>
    <t>{"hashtags":[{"text":"BrexShit","indices":[16,25]},{"text":"Brexit","indices":[26,33]}],"symbols":[],"user_mentions":[{"screen_name":"SydesJokes","name":"Lord Sydes #FBPE #FBPPR 💙 🇬🇧🇩🇪🇸🇬🇫🇮🇪🇺","id":29459695,"id_str":"29459695","indices":[3,14]}],"urls":[],"media":[{"id":1520430410236371000,"id_str":"1520430410236370944","indices":[34,57],"media_url":"http://pbs.twimg.com/media/FRmnZwvXIAA7FK-.jpg","media_url_https":"https://pbs.twimg.com/media/FRmnZwvXIAA7FK-.jpg","url":"https://t.co/QZ0NMHn3w2","display_url":"pic.twitter.com/QZ0NMHn3w2","expanded_url":"https://twitter.com/SydesJokes/status/1520430413084250114/photo/1","type":"photo","sizes":{"thumb":{"w":150,"h":150,"resize":"crop"},"small":{"w":550,"h":680,"resize":"fit"},"large":{"w":1294,"h":1600,"resize":"fit"},"medium":{"w":971,"h":1200,"resize":"fit"}},"source_status_id":1520430413084250000,"source_status_id_str":"1520430413084250114","source_user_id":29459695,"source_user_id_str":"29459695"}]}</t>
  </si>
  <si>
    <t>1520883245306589186</t>
  </si>
  <si>
    <t>Sun May 01 21:49:56 +0000 2022</t>
  </si>
  <si>
    <t>http://twitter.com/JKLDNMAD/statuses/1520883245306589186</t>
  </si>
  <si>
    <t>1520883188633153536</t>
  </si>
  <si>
    <t>AndrewOJ21MPP</t>
  </si>
  <si>
    <t>@markjenkinsonmp NO what bullshit if Boris goes only Boris #brexit goes and how that working for #britain at the moment ? 
the #uk still has and will be under our Brexit left term would have left</t>
  </si>
  <si>
    <t>Sun May 01 21:49:43 +0000 2022</t>
  </si>
  <si>
    <t>1415790206150717447</t>
  </si>
  <si>
    <t>http://pbs.twimg.com/profile_images/1415797542298787844/GFBBe3Hf_normal.jpg</t>
  </si>
  <si>
    <t>http://twitter.com/AndrewOJ21MPP/statuses/1520883188633153536</t>
  </si>
  <si>
    <t>{"hashtags":[{"text":"brexit","indices":[59,66]},{"text":"britain","indices":[97,105]},{"text":"uk","indices":[127,130]}],"symbols":[],"user_mentions":[{"screen_name":"markjenkinsonmp","name":"Mark Jenkinson MP","id":116228328,"id_str":"116228328","indices":[0,16]}],"urls":[]}</t>
  </si>
  <si>
    <t>1520883119288684545</t>
  </si>
  <si>
    <t>sydturner1</t>
  </si>
  <si>
    <t>Sun May 01 21:49:26 +0000 2022</t>
  </si>
  <si>
    <t>501161277</t>
  </si>
  <si>
    <t>http://pbs.twimg.com/profile_images/972929786317344769/Ah4ZFCWC_normal.jpg</t>
  </si>
  <si>
    <t xml:space="preserve">planet earth </t>
  </si>
  <si>
    <t>http://twitter.com/sydturner1/statuses/1520883119288684545</t>
  </si>
  <si>
    <t>1520883069179289603</t>
  </si>
  <si>
    <t>Frederi00431818</t>
  </si>
  <si>
    <t>RT @bmay: He was also completely right about #Brexit.</t>
  </si>
  <si>
    <t>Sun May 01 21:49:14 +0000 2022</t>
  </si>
  <si>
    <t>1356290182711013377</t>
  </si>
  <si>
    <t>http://pbs.twimg.com/profile_images/1356708836384665609/bHoOXCbW_normal.jpg</t>
  </si>
  <si>
    <t>http://twitter.com/Frederi00431818/statuses/1520883069179289603</t>
  </si>
  <si>
    <t>{"hashtags":[{"text":"Brexit","indices":[45,52]}],"symbols":[],"user_mentions":[{"screen_name":"bmay","name":"Brendan May","id":12321952,"id_str":"12321952","indices":[3,8]}],"urls":[]}</t>
  </si>
  <si>
    <t>1520882998417231874</t>
  </si>
  <si>
    <t>Sun May 01 21:48:58 +0000 2022</t>
  </si>
  <si>
    <t>http://twitter.com/sydturner1/statuses/1520882998417231874</t>
  </si>
  <si>
    <t>1520882965915611155</t>
  </si>
  <si>
    <t>Mitsawokett_UK</t>
  </si>
  <si>
    <t>RT @jackiekemp: ‘And the people all said (to Nicely-nicely Johnson) sit down, sit down you’re rocking the boat’ #Brexit is a disaster - rejoiners have a solution via ⁦@observer⁩ . ⁦@guardian⁩  https://t.co/84zJo3BElA</t>
  </si>
  <si>
    <t>Sun May 01 21:48:50 +0000 2022</t>
  </si>
  <si>
    <t>357425652</t>
  </si>
  <si>
    <t>http://pbs.twimg.com/profile_images/1520004264667619329/5rt2GR_y_normal.jpg</t>
  </si>
  <si>
    <t>http://twitter.com/Mitsawokett_UK/statuses/1520882965915611155</t>
  </si>
  <si>
    <t>{"hashtags":[{"text":"Brexit","indices":[112,119]}],"symbols":[],"user_mentions":[{"screen_name":"jackiekemp","name":"jackie kemp","id":43110614,"id_str":"43110614","indices":[3,14]}],"urls":[]}</t>
  </si>
  <si>
    <t>1520882930524082177</t>
  </si>
  <si>
    <t>louisepots</t>
  </si>
  <si>
    <t>Sun May 01 21:48:41 +0000 2022</t>
  </si>
  <si>
    <t>709037049</t>
  </si>
  <si>
    <t>http://pbs.twimg.com/profile_images/971098888860991488/n3z4APs5_normal.jpg</t>
  </si>
  <si>
    <t>http://twitter.com/louisepots/statuses/1520882930524082177</t>
  </si>
  <si>
    <t>1520882889352790016</t>
  </si>
  <si>
    <t>EggAlison</t>
  </si>
  <si>
    <t>Sun May 01 21:48:32 +0000 2022</t>
  </si>
  <si>
    <t>945452909218672645</t>
  </si>
  <si>
    <t>http://twitter.com/EggAlison/statuses/1520882889352790016</t>
  </si>
  <si>
    <t>1520882875100499968</t>
  </si>
  <si>
    <t>Fishion1</t>
  </si>
  <si>
    <t>Sun May 01 21:48:28 +0000 2022</t>
  </si>
  <si>
    <t>4894652086</t>
  </si>
  <si>
    <t>http://pbs.twimg.com/profile_images/1497841676680929280/CPs4z8e6_normal.jpg</t>
  </si>
  <si>
    <t>http://twitter.com/Fishion1/statuses/1520882875100499968</t>
  </si>
  <si>
    <t>1520882849242566657</t>
  </si>
  <si>
    <t>michaelkerton</t>
  </si>
  <si>
    <t>Sun May 01 21:48:22 +0000 2022</t>
  </si>
  <si>
    <t>82457113</t>
  </si>
  <si>
    <t>http://pbs.twimg.com/profile_images/2018407842/_MG_5423-Edit_normal.jpg</t>
  </si>
  <si>
    <t>http://twitter.com/michaelkerton/statuses/1520882849242566657</t>
  </si>
  <si>
    <t>1520882834549919745</t>
  </si>
  <si>
    <t>RT @WillParker1979: @markjenkinsonmp To be fair, @Andrew_Adonis has made no secret of how bad he thinks #Brexit was going to be from the start.  His game has always been to stop it…</t>
  </si>
  <si>
    <t>Sun May 01 21:48:19 +0000 2022</t>
  </si>
  <si>
    <t>http://twitter.com/eurightswatch/statuses/1520882834549919745</t>
  </si>
  <si>
    <t>{"hashtags":[{"text":"Brexit","indices":[104,111]}],"symbols":[],"user_mentions":[{"screen_name":"WillParker1979","name":"Will Parker","id":490248699,"id_str":"490248699","indices":[3,18]},{"screen_name":"markjenkinsonmp","name":"Mark Jenkinson MP","id":116228328,"id_str":"116228328","indices":[20,36]},{"screen_name":"Andrew_Adonis","name":"Andrew Adonis","id":420366322,"id_str":"420366322","indices":[49,63]}],"urls":[]}</t>
  </si>
  <si>
    <t>1520882808054505473</t>
  </si>
  <si>
    <t>rajni1959</t>
  </si>
  <si>
    <t>Sun May 01 21:48:12 +0000 2022</t>
  </si>
  <si>
    <t>313401536</t>
  </si>
  <si>
    <t>http://pbs.twimg.com/profile_images/378800000180590833/e15b6f2bccad3cd3db49d8aae73e4bc5_normal.jpeg</t>
  </si>
  <si>
    <t>http://twitter.com/rajni1959/statuses/1520882808054505473</t>
  </si>
  <si>
    <t>1520882794754416642</t>
  </si>
  <si>
    <t>MaryKHarringto2</t>
  </si>
  <si>
    <t>Sun May 01 21:48:09 +0000 2022</t>
  </si>
  <si>
    <t>873930555729088512</t>
  </si>
  <si>
    <t>http://pbs.twimg.com/profile_images/873939419719495681/PEak68tB_normal.jpg</t>
  </si>
  <si>
    <t>Cheshire, North West, England</t>
  </si>
  <si>
    <t>http://twitter.com/MaryKHarringto2/statuses/1520882794754416642</t>
  </si>
  <si>
    <t>1520882760776355842</t>
  </si>
  <si>
    <t>LucyW67</t>
  </si>
  <si>
    <t>Sun May 01 21:48:01 +0000 2022</t>
  </si>
  <si>
    <t>380437820</t>
  </si>
  <si>
    <t>http://pbs.twimg.com/profile_images/602891967358439424/P6jbq6Xz_normal.jpg</t>
  </si>
  <si>
    <t>http://twitter.com/LucyW67/statuses/1520882760776355842</t>
  </si>
  <si>
    <t>1520882742447140865</t>
  </si>
  <si>
    <t>SpindleBiggins</t>
  </si>
  <si>
    <t>A majority of Britons are now against #brexit. Let's just scrap the whole thing. 🇪🇺</t>
  </si>
  <si>
    <t>Sun May 01 21:47:57 +0000 2022</t>
  </si>
  <si>
    <t>919937457298210816</t>
  </si>
  <si>
    <t>http://pbs.twimg.com/profile_images/919944027205767168/ThgS-cLQ_normal.jpg</t>
  </si>
  <si>
    <t>In the darkest corners of someone's heart.</t>
  </si>
  <si>
    <t>http://twitter.com/SpindleBiggins/statuses/1520882742447140865</t>
  </si>
  <si>
    <t>{"hashtags":[{"text":"brexit","indices":[38,45]}],"symbols":[],"user_mentions":[],"urls":[]}</t>
  </si>
  <si>
    <t>1520882714932662273</t>
  </si>
  <si>
    <t>PeterKenyon</t>
  </si>
  <si>
    <t>Sun May 01 21:47:50 +0000 2022</t>
  </si>
  <si>
    <t>112553631</t>
  </si>
  <si>
    <t>http://pbs.twimg.com/profile_images/1189318488596217856/6qRUz7ad_normal.png</t>
  </si>
  <si>
    <t>London and Poole</t>
  </si>
  <si>
    <t>http://twitter.com/PeterKenyon/statuses/1520882714932662273</t>
  </si>
  <si>
    <t>1520882645625880579</t>
  </si>
  <si>
    <t>aev1609</t>
  </si>
  <si>
    <t>Sun May 01 21:47:34 +0000 2022</t>
  </si>
  <si>
    <t>203652187</t>
  </si>
  <si>
    <t>http://pbs.twimg.com/profile_images/1496781069571477504/L9QnDc-j_normal.jpg</t>
  </si>
  <si>
    <t>http://twitter.com/aev1609/statuses/1520882645625880579</t>
  </si>
  <si>
    <t>1520882639837687808</t>
  </si>
  <si>
    <t>J_Niteroi</t>
  </si>
  <si>
    <t>Sun May 01 21:47:32 +0000 2022</t>
  </si>
  <si>
    <t>20783676</t>
  </si>
  <si>
    <t>http://pbs.twimg.com/profile_images/678910244953526272/ZbsRfYZT_normal.jpg</t>
  </si>
  <si>
    <t>http://twitter.com/J_Niteroi/statuses/1520882639837687808</t>
  </si>
  <si>
    <t>1520882616538390539</t>
  </si>
  <si>
    <t>#JohnsonOut97 #ScottishIndependence #JohnsonTheLiar #Brexit #BrexitHasFailed #NeverTrustATory #LiarNotALeader #ToryLiars #ToriesOut5thMay #TorySleaze #VoteLabour #Growlergate #gingergrowler #ToryShambles #ToryLies #ToryCorruption  Angela Rayner thatcher Sexist of the Year https://t.co/lUToGRnofN</t>
  </si>
  <si>
    <t>Sun May 01 21:47:27 +0000 2022</t>
  </si>
  <si>
    <t>http://twitter.com/Dr__H__Lekter/statuses/1520882616538390539</t>
  </si>
  <si>
    <t>{"hashtags":[{"text":"JohnsonOut97","indices":[0,13]},{"text":"ScottishIndependence","indices":[14,35]},{"text":"JohnsonTheLiar","indices":[36,51]},{"text":"Brexit","indices":[52,59]},{"text":"BrexitHasFailed","indices":[60,76]},{"text":"NeverTrustATory","indices":[77,93]},{"text":"LiarNotALeader","indices":[94,109]},{"text":"ToryLiars","indices":[110,120]},{"text":"ToriesOut5thMay","indices":[121,137]},{"text":"TorySleaze","indices":[138,149]},{"text":"VoteLabour","indices":[150,161]},{"text":"Growlergate","indices":[162,174]},{"text":"gingergrowler","indices":[175,189]},{"text":"ToryShambles","indices":[190,203]},{"text":"ToryLies","indices":[204,213]},{"text":"ToryCorruption","indices":[214,229]}],"symbols":[],"user_mentions":[],"urls":[],"media":[{"id":1520882597886312400,"id_str":"1520882597886312448","indices":[273,296],"media_url":"http://pbs.twimg.com/media/FRtCqjAWQAAROS3.jpg","media_url_https":"https://pbs.twimg.com/media/FRtCqjAWQAAROS3.jpg","url":"https://t.co/lUToGRnofN","display_url":"pic.twitter.com/lUToGRnofN","expanded_url":"https://twitter.com/Dr__H__Lekter/status/1520882616538390539/photo/1","type":"photo","sizes":{"thumb":{"w":150,"h":150,"resize":"crop"},"medium":{"w":797,"h":1012,"resize":"fit"},"large":{"w":797,"h":1012,"resize":"fit"},"small":{"w":536,"h":680,"resize":"fit"}}}]}</t>
  </si>
  <si>
    <t>1520882601321447428</t>
  </si>
  <si>
    <t>weareyandi</t>
  </si>
  <si>
    <t>RT @EvySparkling: Elegant Women's Casual Autumn Loose Jeans High Waist Trousers Pant https://t.co/ufPweVGBbg 
#fashionblog  #fashiondiaries  #streetfashion  #fashionaddict  #fashionpost 
#inspo #whatiwore  #womensfashion  #wiwt #vintagestyle  #wiw
#Brexit #UnitedStates #thursdayvibes #european</t>
  </si>
  <si>
    <t>Sun May 01 21:47:23 +0000 2022</t>
  </si>
  <si>
    <t>1269170611278041088</t>
  </si>
  <si>
    <t>&lt;a href="https://yandi.de/" rel="nofollow"&gt;Yandi.com&lt;/a&gt;</t>
  </si>
  <si>
    <t>http://pbs.twimg.com/profile_images/1269295944476082182/O7fHg67U_normal.jpg</t>
  </si>
  <si>
    <t>http://twitter.com/weareyandi/statuses/1520882601321447428</t>
  </si>
  <si>
    <t>{"hashtags":[{"text":"fashionblog","indices":[110,122]},{"text":"fashiondiaries","indices":[124,139]}],"symbols":[],"user_mentions":[{"screen_name":"EvySparkling","name":"Sparklingevy™","id":1376210696787099600,"id_str":"1376210696787099652","indices":[3,16]}],"urls":[{"url":"https://t.co/ufPweVGBbg","expanded_url":"https://www.sparklingevy.com/products/elegant-womens-casual-autumn-loose-jeans-high-waist-trousers-pant","display_url":"sparklingevy.com/products/elega…","indices":[85,108]}]}</t>
  </si>
  <si>
    <t>1520882598150610944</t>
  </si>
  <si>
    <t>@markjenkinsonmp Fingers crossed.
#Brexit is a disaster. A Tory made disaster. 
Its like the Tories were paid by a hostile foreign state to  destabilise and dismantle the UK with their rancid project.
Tories are traitors. https://t.co/rqYOyYnH2T</t>
  </si>
  <si>
    <t>Sun May 01 21:47:22 +0000 2022</t>
  </si>
  <si>
    <t>http://twitter.com/JKLDNMAD/statuses/1520882598150610944</t>
  </si>
  <si>
    <t>{"hashtags":[{"text":"Brexit","indices":[35,42]}],"symbols":[],"user_mentions":[{"screen_name":"markjenkinsonmp","name":"Mark Jenkinson MP","id":116228328,"id_str":"116228328","indices":[0,16]}],"urls":[],"media":[{"id":1520882594942009300,"id_str":"1520882594942009350","indices":[225,248],"media_url":"http://pbs.twimg.com/media/FRtCqYCXwAY3STp.jpg","media_url_https":"https://pbs.twimg.com/media/FRtCqYCXwAY3STp.jpg","url":"https://t.co/rqYOyYnH2T","display_url":"pic.twitter.com/rqYOyYnH2T","expanded_url":"https://twitter.com/JKLDNMAD/status/1520882598150610944/photo/1","type":"photo","sizes":{"thumb":{"w":150,"h":150,"resize":"crop"},"medium":{"w":526,"h":679,"resize":"fit"},"large":{"w":526,"h":679,"resize":"fit"},"small":{"w":526,"h":679,"resize":"fit"}}}]}</t>
  </si>
  <si>
    <t>1520882553598754820</t>
  </si>
  <si>
    <t>WhingingTeacher</t>
  </si>
  <si>
    <t>Sun May 01 21:47:12 +0000 2022</t>
  </si>
  <si>
    <t>241565399</t>
  </si>
  <si>
    <t>http://pbs.twimg.com/profile_images/1309162358414155780/eD7_KkAP_normal.jpg</t>
  </si>
  <si>
    <t>Socially Distant-sur-Mer</t>
  </si>
  <si>
    <t>http://twitter.com/WhingingTeacher/statuses/1520882553598754820</t>
  </si>
  <si>
    <t>1520882538805399552</t>
  </si>
  <si>
    <t>bobreeduk</t>
  </si>
  <si>
    <t>Sun May 01 21:47:08 +0000 2022</t>
  </si>
  <si>
    <t>434964665</t>
  </si>
  <si>
    <t>http://pbs.twimg.com/profile_images/1266775734560972800/7DA9HTNZ_normal.jpg</t>
  </si>
  <si>
    <t>http://twitter.com/bobreeduk/statuses/1520882538805399552</t>
  </si>
  <si>
    <t>1520882532958543872</t>
  </si>
  <si>
    <t>scott_and_ball</t>
  </si>
  <si>
    <t>Sun May 01 21:47:07 +0000 2022</t>
  </si>
  <si>
    <t>434368656</t>
  </si>
  <si>
    <t>http://pbs.twimg.com/profile_images/526820851476213760/qRuZgSUc_normal.jpeg</t>
  </si>
  <si>
    <t>http://twitter.com/scott_and_ball/statuses/1520882532958543872</t>
  </si>
  <si>
    <t>1520882526193078273</t>
  </si>
  <si>
    <t>WillParker1979</t>
  </si>
  <si>
    <t>@markjenkinsonmp To be fair, @Andrew_Adonis has made no secret of how bad he thinks #Brexit was going to be from the start.  His game has always been to stop it…</t>
  </si>
  <si>
    <t>Sun May 01 21:47:05 +0000 2022</t>
  </si>
  <si>
    <t>490248699</t>
  </si>
  <si>
    <t>http://pbs.twimg.com/profile_images/2379043472/image_normal.jpg</t>
  </si>
  <si>
    <t>http://twitter.com/WillParker1979/statuses/1520882526193078273</t>
  </si>
  <si>
    <t>{"hashtags":[{"text":"Brexit","indices":[84,91]}],"symbols":[],"user_mentions":[{"screen_name":"markjenkinsonmp","name":"Mark Jenkinson MP","id":116228328,"id_str":"116228328","indices":[0,16]},{"screen_name":"Andrew_Adonis","name":"Andrew Adonis","id":420366322,"id_str":"420366322","indices":[29,43]}],"urls":[]}</t>
  </si>
  <si>
    <t>1520882499336945666</t>
  </si>
  <si>
    <t>@markjenkinsonmp #Brexit was borne of @Conservatives internecine war and ended with the party having to choose between ripping apart itself or the UK.
It chose the UK.
The sooner we've got #JohnsonOut, the sooner we can get the #ToriesOut and start fixing it.
https://t.co/ZX7O7DoPyk
#RejoinEU. https://t.co/fQle4MG1Ca</t>
  </si>
  <si>
    <t>Sun May 01 21:46:59 +0000 2022</t>
  </si>
  <si>
    <t>http://twitter.com/BrexitPirates/statuses/1520882499336945666</t>
  </si>
  <si>
    <t>{"hashtags":[{"text":"Brexit","indices":[17,24]},{"text":"JohnsonOut","indices":[189,200]},{"text":"ToriesOut","indices":[228,238]},{"text":"RejoinEU","indices":[284,293]}],"symbols":[],"user_mentions":[{"screen_name":"markjenkinsonmp","name":"Mark Jenkinson MP","id":116228328,"id_str":"116228328","indices":[0,16]},{"screen_name":"Conservatives","name":"Conservatives","id":14281853,"id_str":"14281853","indices":[38,52]}],"urls":[{"url":"https://t.co/ZX7O7DoPyk","expanded_url":"https://www.sailhoshop.com/listing/sail-ho-brexit-unavailable-te?product=389","display_url":"sailhoshop.com/listing/sail-h…","indices":[260,283]}],"media":[{"id":1520882349390680000,"id_str":"1520882349390680064","indices":[295,318],"media_url":"http://pbs.twimg.com/media/FRtCcFSX0AAl9D1.jpg","media_url_https":"https://pbs.twimg.com/media/FRtCcFSX0AAl9D1.jpg","url":"https://t.co/fQle4MG1Ca","display_url":"pic.twitter.com/fQle4MG1Ca","expanded_url":"https://twitter.com/BrexitPirates/status/1520882499336945666/photo/1","type":"photo","sizes":{"thumb":{"w":150,"h":150,"resize":"crop"},"medium":{"w":427,"h":421,"resize":"fit"},"large":{"w":427,"h":421,"resize":"fit"},"small":{"w":427,"h":421,"resize":"fit"}}}]}</t>
  </si>
  <si>
    <t>1520882498217070597</t>
  </si>
  <si>
    <t>JohnPBowenMusic</t>
  </si>
  <si>
    <t>Sun May 01 21:46:58 +0000 2022</t>
  </si>
  <si>
    <t>956914000725454854</t>
  </si>
  <si>
    <t>http://pbs.twimg.com/profile_images/1489769386852425729/LLXK-Ylg_normal.jpg</t>
  </si>
  <si>
    <t>http://twitter.com/JohnPBowenMusic/statuses/1520882498217070597</t>
  </si>
  <si>
    <t>1520882487341326345</t>
  </si>
  <si>
    <t>@DominicFarrell @DurhamPolice #BackBoris #TeamBoris #BorisTrain #NeverLabour #NeverLiebour #Conservatives #LabourHypocricy #LabourSleaze #LabourLies #CaptainHindsight #HypocriteStarmer #SmarmyStarmer #StarmerLies #ScumMedia #DefundTheBBC #Brexit #ResignStarmer #ResignRayner #SirBeerStarmer #DurhamGate</t>
  </si>
  <si>
    <t>Sun May 01 21:46:56 +0000 2022</t>
  </si>
  <si>
    <t>20378642</t>
  </si>
  <si>
    <t>DominicFarrell</t>
  </si>
  <si>
    <t>1520646243256610819</t>
  </si>
  <si>
    <t>http://twitter.com/AlasSmithJones/statuses/1520882487341326345</t>
  </si>
  <si>
    <t>{"hashtags":[{"text":"BackBoris","indices":[30,40]},{"text":"TeamBoris","indices":[41,51]},{"text":"BorisTrain","indices":[52,63]},{"text":"NeverLabour","indices":[64,76]},{"text":"NeverLiebour","indices":[77,90]},{"text":"Conservatives","indices":[91,105]},{"text":"LabourHypocricy","indices":[106,122]},{"text":"LabourSleaze","indices":[123,136]},{"text":"LabourLies","indices":[137,148]},{"text":"CaptainHindsight","indices":[149,166]},{"text":"HypocriteStarmer","indices":[167,184]},{"text":"SmarmyStarmer","indices":[185,199]},{"text":"StarmerLies","indices":[200,212]},{"text":"ScumMedia","indices":[213,223]},{"text":"DefundTheBBC","indices":[224,237]},{"text":"Brexit","indices":[238,245]},{"text":"ResignStarmer","indices":[246,260]},{"text":"ResignRayner","indices":[261,274]},{"text":"SirBeerStarmer","indices":[275,290]},{"text":"DurhamGate","indices":[291,302]}],"symbols":[],"user_mentions":[{"screen_name":"DominicFarrell","name":"Dominic Farrell","id":20378642,"id_str":"20378642","indices":[0,15]},{"screen_name":"DurhamPolice","name":"Durham Constabulary","id":58878529,"id_str":"58878529","indices":[16,29]}],"urls":[]}</t>
  </si>
  <si>
    <t>1520882450255208448</t>
  </si>
  <si>
    <t>Sun May 01 21:46:47 +0000 2022</t>
  </si>
  <si>
    <t>http://twitter.com/lunaperla/statuses/1520882450255208448</t>
  </si>
  <si>
    <t>COUNTA of Referendum</t>
  </si>
  <si>
    <t>Grand Total</t>
  </si>
  <si>
    <t>Filter</t>
  </si>
  <si>
    <t>@'s</t>
  </si>
  <si>
    <t>% RT</t>
  </si>
  <si>
    <t>Twitter Activity</t>
  </si>
  <si>
    <t xml:space="preserve">Sheet Calculation </t>
  </si>
  <si>
    <t>On</t>
  </si>
  <si>
    <t>Date Bin</t>
  </si>
  <si>
    <t>Number of links</t>
  </si>
  <si>
    <t>Link</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</si>
  <si>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</si>
  <si>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</si>
  <si>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</si>
  <si>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</si>
  <si>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</si>
  <si>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</si>
  <si>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</si>
  <si>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</si>
  <si>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</si>
  <si>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</si>
  <si>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</si>
  <si>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</si>
  <si>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</si>
  <si>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</si>
  <si>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
  </si>
  <si>
    <t>Twitter activity - last 3 days</t>
  </si>
  <si>
    <t>Tweets</t>
  </si>
  <si>
    <t>Replies</t>
  </si>
  <si>
    <t>Archive Contains</t>
  </si>
  <si>
    <t>Archive Started</t>
  </si>
  <si>
    <t>Last tweet</t>
  </si>
  <si>
    <t>date</t>
  </si>
  <si>
    <t>Tweets with the most RTs from last 1-2 days</t>
  </si>
  <si>
    <t>RTs</t>
  </si>
  <si>
    <t>Web views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</si>
</sst>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quot;/&quot;m&quot;/&quot;yy"/>
    <numFmt numFmtId="167" formatCode="dd/MM/yyyy"/>
    <numFmt numFmtId="168" formatCode="HH:mm:ss"/>
  </numFmts>
  <fonts count="31">
    <font>
      <sz val="10.0"/>
      <color rgb="FF000000"/>
      <name val="Arial"/>
    </font>
    <font>
      <sz val="18.0"/>
      <name val="Verdana"/>
    </font>
    <font/>
    <font>
      <sz val="10.0"/>
      <name val="Roboto"/>
    </font>
    <font>
      <b/>
      <u/>
      <sz val="10.0"/>
      <color rgb="FF0000FF"/>
      <name val="Roboto"/>
    </font>
    <font>
      <b/>
      <sz val="10.0"/>
      <color rgb="FFFFFFFF"/>
      <name val="Roboto"/>
    </font>
    <font>
      <sz val="10.0"/>
      <name val="Courier New"/>
    </font>
    <font>
      <b/>
      <sz val="10.0"/>
      <name val="Roboto"/>
    </font>
    <font>
      <b/>
      <u/>
      <sz val="10.0"/>
      <color rgb="FFFFFFFF"/>
      <name val="Roboto"/>
    </font>
    <font>
      <u/>
      <sz val="10.0"/>
      <color rgb="FF0000FF"/>
      <name val="Roboto"/>
    </font>
    <font>
      <sz val="8.0"/>
    </font>
    <font>
      <u/>
      <sz val="8.0"/>
      <color rgb="FF0000FF"/>
    </font>
    <font>
      <u/>
      <sz val="8.0"/>
      <color rgb="FF0000FF"/>
    </font>
    <font>
      <name val="Roboto"/>
    </font>
    <font>
      <b/>
      <sz val="10.0"/>
      <color rgb="FF000000"/>
      <name val="Roboto"/>
    </font>
    <font>
      <b/>
      <name val="Roboto"/>
    </font>
    <font>
      <u/>
      <color rgb="FFFFFFFF"/>
      <name val="Roboto"/>
    </font>
    <font>
      <sz val="9.0"/>
      <name val="Roboto"/>
    </font>
    <font>
      <sz val="10.0"/>
      <color rgb="FF3D85C6"/>
      <name val="Roboto"/>
    </font>
    <font>
      <u/>
      <color rgb="FFFFFFFF"/>
      <name val="Roboto"/>
    </font>
    <font>
      <color rgb="FFFFFFFF"/>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
      <sz val="8.0"/>
      <name val="Arial"/>
    </font>
  </fonts>
  <fills count="7">
    <fill>
      <patternFill patternType="none"/>
    </fill>
    <fill>
      <patternFill patternType="lightGray"/>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12">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Border="1" applyFont="1"/>
    <xf borderId="2" fillId="0" fontId="3" numFmtId="0" xfId="0" applyAlignment="1" applyBorder="1" applyFont="1">
      <alignment horizontal="center" readingOrder="0" vertical="top"/>
    </xf>
    <xf borderId="2" fillId="0" fontId="4" numFmtId="0" xfId="0" applyAlignment="1" applyBorder="1" applyFont="1">
      <alignment horizontal="center" readingOrder="0" vertical="top"/>
    </xf>
    <xf borderId="2" fillId="2" fontId="5" numFmtId="0" xfId="0" applyAlignment="1" applyBorder="1" applyFill="1" applyFont="1">
      <alignment horizontal="left" readingOrder="0"/>
    </xf>
    <xf borderId="0" fillId="2" fontId="5" numFmtId="0" xfId="0" applyAlignment="1" applyFont="1">
      <alignment horizontal="left" readingOrder="0"/>
    </xf>
    <xf borderId="1" fillId="2" fontId="5" numFmtId="0" xfId="0" applyAlignment="1" applyBorder="1" applyFont="1">
      <alignment horizontal="right" readingOrder="0" vertical="center"/>
    </xf>
    <xf borderId="2" fillId="0" fontId="3" numFmtId="0" xfId="0" applyAlignment="1" applyBorder="1" applyFont="1">
      <alignment horizontal="left" readingOrder="0" vertical="center"/>
    </xf>
    <xf borderId="0" fillId="0" fontId="3" numFmtId="0" xfId="0" applyAlignment="1" applyFont="1">
      <alignment vertical="center"/>
    </xf>
    <xf borderId="3" fillId="0" fontId="3" numFmtId="0" xfId="0" applyAlignment="1" applyBorder="1" applyFont="1">
      <alignment vertical="center"/>
    </xf>
    <xf borderId="1" fillId="0" fontId="3" numFmtId="0" xfId="0" applyBorder="1" applyFont="1"/>
    <xf borderId="4" fillId="0" fontId="3" numFmtId="0" xfId="0" applyAlignment="1" applyBorder="1" applyFont="1">
      <alignment readingOrder="0" vertical="center"/>
    </xf>
    <xf borderId="5" fillId="3" fontId="6" numFmtId="0" xfId="0" applyAlignment="1" applyBorder="1" applyFill="1" applyFont="1">
      <alignment horizontal="center" readingOrder="0" shrinkToFit="0" vertical="center" wrapText="1"/>
    </xf>
    <xf borderId="6" fillId="0" fontId="3" numFmtId="0" xfId="0" applyAlignment="1" applyBorder="1" applyFont="1">
      <alignment readingOrder="0" shrinkToFit="0" vertical="center" wrapText="1"/>
    </xf>
    <xf borderId="0" fillId="0" fontId="3" numFmtId="0" xfId="0" applyFont="1"/>
    <xf borderId="7" fillId="0" fontId="3" numFmtId="0" xfId="0" applyBorder="1" applyFont="1"/>
    <xf borderId="0" fillId="0" fontId="3" numFmtId="0" xfId="0" applyAlignment="1" applyFont="1">
      <alignment readingOrder="0" shrinkToFit="0" vertical="top" wrapText="1"/>
    </xf>
    <xf borderId="4" fillId="0" fontId="3" numFmtId="0" xfId="0" applyAlignment="1" applyBorder="1" applyFont="1">
      <alignment readingOrder="0" vertical="center"/>
    </xf>
    <xf borderId="8" fillId="4" fontId="6" numFmtId="0" xfId="0" applyAlignment="1" applyBorder="1" applyFill="1" applyFont="1">
      <alignment horizontal="center" readingOrder="0" vertical="center"/>
    </xf>
    <xf borderId="6" fillId="0" fontId="3" numFmtId="0" xfId="0" applyAlignment="1" applyBorder="1" applyFont="1">
      <alignment readingOrder="0" vertical="center"/>
    </xf>
    <xf borderId="4" fillId="4" fontId="6" numFmtId="0" xfId="0" applyAlignment="1" applyBorder="1" applyFont="1">
      <alignment horizontal="center" readingOrder="0" vertical="center"/>
    </xf>
    <xf borderId="6" fillId="0" fontId="3" numFmtId="0" xfId="0" applyAlignment="1" applyBorder="1" applyFont="1">
      <alignment readingOrder="0" vertical="center"/>
    </xf>
    <xf borderId="6" fillId="0" fontId="3" numFmtId="0" xfId="0" applyAlignment="1" applyBorder="1" applyFont="1">
      <alignment readingOrder="0" shrinkToFit="0" vertical="center" wrapText="1"/>
    </xf>
    <xf borderId="4"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9"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0" fillId="0" fontId="3" numFmtId="0" xfId="0" applyAlignment="1" applyFont="1">
      <alignment readingOrder="0" vertical="center"/>
    </xf>
    <xf borderId="8" fillId="3" fontId="6" numFmtId="3" xfId="0" applyAlignment="1" applyBorder="1" applyFont="1" applyNumberFormat="1">
      <alignment vertical="center"/>
    </xf>
    <xf borderId="1" fillId="0" fontId="7" numFmtId="0" xfId="0" applyAlignment="1" applyBorder="1" applyFont="1">
      <alignment readingOrder="0"/>
    </xf>
    <xf borderId="4" fillId="3" fontId="6" numFmtId="3" xfId="0" applyAlignment="1" applyBorder="1" applyFont="1" applyNumberFormat="1">
      <alignment vertical="center"/>
    </xf>
    <xf borderId="0" fillId="0" fontId="3" numFmtId="0" xfId="0" applyAlignment="1" applyFont="1">
      <alignment readingOrder="0" shrinkToFit="0" vertical="center" wrapText="1"/>
    </xf>
    <xf borderId="4" fillId="3" fontId="6" numFmtId="164" xfId="0" applyAlignment="1" applyBorder="1" applyFont="1" applyNumberFormat="1">
      <alignment vertical="center"/>
    </xf>
    <xf borderId="9" fillId="3" fontId="6" numFmtId="164" xfId="0" applyAlignment="1" applyBorder="1" applyFont="1" applyNumberFormat="1">
      <alignment vertical="center"/>
    </xf>
    <xf borderId="2" fillId="0" fontId="3" numFmtId="0" xfId="0" applyAlignment="1" applyBorder="1" applyFont="1">
      <alignment readingOrder="0" vertical="center"/>
    </xf>
    <xf borderId="0" fillId="0" fontId="7" numFmtId="0" xfId="0" applyAlignment="1" applyFont="1">
      <alignment readingOrder="0" vertical="center"/>
    </xf>
    <xf borderId="2" fillId="0" fontId="7" numFmtId="0" xfId="0" applyAlignment="1" applyBorder="1" applyFont="1">
      <alignment readingOrder="0"/>
    </xf>
    <xf borderId="10" fillId="2" fontId="8" numFmtId="0" xfId="0" applyAlignment="1" applyBorder="1" applyFont="1">
      <alignment horizontal="center" vertical="center"/>
    </xf>
    <xf borderId="1" fillId="0" fontId="3" numFmtId="0" xfId="0" applyAlignment="1" applyBorder="1" applyFont="1">
      <alignment readingOrder="0"/>
    </xf>
    <xf borderId="0" fillId="0" fontId="3" numFmtId="0" xfId="0" applyAlignment="1" applyFont="1">
      <alignment horizontal="left" vertical="bottom"/>
    </xf>
    <xf borderId="1" fillId="5" fontId="3" numFmtId="0" xfId="0" applyAlignment="1" applyBorder="1" applyFill="1" applyFont="1">
      <alignment readingOrder="0"/>
    </xf>
    <xf borderId="0" fillId="0" fontId="3" numFmtId="0" xfId="0" applyAlignment="1" applyFont="1">
      <alignment horizontal="left" vertical="center"/>
    </xf>
    <xf borderId="0" fillId="5" fontId="3" numFmtId="0" xfId="0" applyAlignment="1" applyFont="1">
      <alignment shrinkToFit="0" wrapText="1"/>
    </xf>
    <xf borderId="0" fillId="5" fontId="9" numFmtId="0" xfId="0" applyAlignment="1" applyFont="1">
      <alignment horizontal="right" vertical="top"/>
    </xf>
    <xf borderId="0" fillId="5" fontId="3" numFmtId="0" xfId="0" applyAlignment="1" applyFont="1">
      <alignment horizontal="right" vertical="top"/>
    </xf>
    <xf borderId="1" fillId="0" fontId="3" numFmtId="0" xfId="0" applyAlignment="1" applyBorder="1" applyFont="1">
      <alignment horizontal="right" vertical="bottom"/>
    </xf>
    <xf borderId="11" fillId="5" fontId="3" numFmtId="0" xfId="0" applyAlignment="1" applyBorder="1" applyFont="1">
      <alignment horizontal="right" vertical="top"/>
    </xf>
    <xf borderId="10" fillId="0" fontId="3" numFmtId="0" xfId="0" applyAlignment="1" applyBorder="1" applyFont="1">
      <alignment horizontal="right" vertical="bottom"/>
    </xf>
    <xf borderId="0" fillId="6" fontId="10" numFmtId="49" xfId="0" applyAlignment="1" applyFill="1" applyFont="1" applyNumberFormat="1">
      <alignment horizontal="left" vertical="bottom"/>
    </xf>
    <xf borderId="0" fillId="0" fontId="10" numFmtId="49" xfId="0" applyAlignment="1" applyFont="1" applyNumberFormat="1">
      <alignment horizontal="left" readingOrder="0" vertical="bottom"/>
    </xf>
    <xf borderId="0" fillId="0" fontId="10" numFmtId="49" xfId="0" applyAlignment="1" applyFont="1" applyNumberFormat="1">
      <alignment horizontal="left" readingOrder="0" shrinkToFit="0" vertical="bottom" wrapText="1"/>
    </xf>
    <xf borderId="0" fillId="0" fontId="10" numFmtId="164" xfId="0" applyAlignment="1" applyFont="1" applyNumberFormat="1">
      <alignment horizontal="left" readingOrder="0" vertical="bottom"/>
    </xf>
    <xf borderId="0" fillId="0" fontId="10" numFmtId="49" xfId="0" applyAlignment="1" applyFont="1" applyNumberFormat="1">
      <alignment horizontal="left" readingOrder="0" shrinkToFit="0" vertical="bottom" wrapText="0"/>
    </xf>
    <xf borderId="0" fillId="6" fontId="10" numFmtId="49" xfId="0" applyAlignment="1" applyFont="1" applyNumberFormat="1">
      <alignment horizontal="left" readingOrder="0" vertical="bottom"/>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vertical="bottom"/>
    </xf>
    <xf borderId="0" fillId="0" fontId="10" numFmtId="49" xfId="0" applyAlignment="1" applyFont="1" applyNumberFormat="1">
      <alignment horizontal="left" readingOrder="0" shrinkToFit="0" vertical="bottom" wrapText="1"/>
    </xf>
    <xf quotePrefix="1" borderId="0" fillId="0" fontId="10" numFmtId="49" xfId="0" applyAlignment="1" applyFont="1" applyNumberFormat="1">
      <alignment horizontal="left" readingOrder="0" vertical="bottom"/>
    </xf>
    <xf borderId="0" fillId="6" fontId="10" numFmtId="49" xfId="0" applyAlignment="1" applyFont="1" applyNumberFormat="1">
      <alignment vertical="bottom"/>
    </xf>
    <xf borderId="0" fillId="0" fontId="2" numFmtId="49" xfId="0" applyFont="1" applyNumberFormat="1"/>
    <xf borderId="0" fillId="0" fontId="2" numFmtId="49" xfId="0" applyAlignment="1" applyFont="1" applyNumberFormat="1">
      <alignment shrinkToFit="0" wrapText="1"/>
    </xf>
    <xf borderId="0" fillId="0" fontId="2" numFmtId="164" xfId="0" applyFont="1" applyNumberFormat="1"/>
    <xf borderId="0" fillId="0" fontId="10" numFmtId="49" xfId="0" applyAlignment="1" applyFont="1" applyNumberFormat="1">
      <alignment shrinkToFit="0" vertical="bottom" wrapText="0"/>
    </xf>
    <xf borderId="0" fillId="0" fontId="13" numFmtId="0" xfId="0" applyFont="1"/>
    <xf borderId="0" fillId="2" fontId="5" numFmtId="0" xfId="0" applyAlignment="1" applyFont="1">
      <alignment horizontal="center" readingOrder="0"/>
    </xf>
    <xf borderId="0" fillId="3" fontId="14" numFmtId="0" xfId="0" applyAlignment="1" applyFont="1">
      <alignment horizontal="left" vertical="center"/>
    </xf>
    <xf borderId="0" fillId="3" fontId="14" numFmtId="0" xfId="0" applyAlignment="1" applyFont="1">
      <alignment horizontal="center" vertical="center"/>
    </xf>
    <xf borderId="0" fillId="3" fontId="14" numFmtId="0" xfId="0" applyAlignment="1" applyFont="1">
      <alignment readingOrder="0" vertical="center"/>
    </xf>
    <xf borderId="0" fillId="3" fontId="14" numFmtId="9" xfId="0" applyAlignment="1" applyFont="1" applyNumberFormat="1">
      <alignment horizontal="center" readingOrder="0" vertical="center"/>
    </xf>
    <xf borderId="0" fillId="0" fontId="15" numFmtId="0" xfId="0" applyAlignment="1" applyFont="1">
      <alignment horizontal="right" readingOrder="0" vertical="center"/>
    </xf>
    <xf borderId="0" fillId="0" fontId="2" numFmtId="0" xfId="0" applyAlignment="1" applyFont="1">
      <alignment readingOrder="0"/>
    </xf>
    <xf borderId="0" fillId="2" fontId="16" numFmtId="0" xfId="0" applyAlignment="1" applyFont="1">
      <alignment horizontal="center" vertical="center"/>
    </xf>
    <xf borderId="0" fillId="3" fontId="17" numFmtId="0" xfId="0" applyAlignment="1" applyFont="1">
      <alignment horizontal="left" vertical="center"/>
    </xf>
    <xf borderId="0" fillId="3" fontId="17" numFmtId="0" xfId="0" applyAlignment="1" applyFont="1">
      <alignment horizontal="center" vertical="center"/>
    </xf>
    <xf borderId="0" fillId="3" fontId="13" numFmtId="0" xfId="0" applyAlignment="1" applyFont="1">
      <alignment horizontal="center" vertical="center"/>
    </xf>
    <xf borderId="0" fillId="3" fontId="13" numFmtId="9" xfId="0" applyAlignment="1" applyFont="1" applyNumberFormat="1">
      <alignment horizontal="center" vertical="center"/>
    </xf>
    <xf borderId="0" fillId="3" fontId="18" numFmtId="0" xfId="0" applyFont="1"/>
    <xf borderId="0" fillId="0" fontId="7" numFmtId="0" xfId="0" applyAlignment="1" applyFont="1">
      <alignment readingOrder="0"/>
    </xf>
    <xf borderId="0" fillId="3" fontId="13" numFmtId="0" xfId="0" applyFont="1"/>
    <xf borderId="0" fillId="2" fontId="19" numFmtId="0" xfId="0" applyAlignment="1" applyFont="1">
      <alignment horizontal="center" shrinkToFit="0" vertical="center" wrapText="0"/>
    </xf>
    <xf borderId="0" fillId="3" fontId="13" numFmtId="0" xfId="0" applyAlignment="1" applyFont="1">
      <alignment horizontal="left" vertical="center"/>
    </xf>
    <xf borderId="0" fillId="0" fontId="13" numFmtId="0" xfId="0" applyAlignment="1" applyFont="1">
      <alignment readingOrder="0"/>
    </xf>
    <xf borderId="0" fillId="3" fontId="13" numFmtId="164" xfId="0" applyFont="1" applyNumberFormat="1"/>
    <xf borderId="0" fillId="0" fontId="7" numFmtId="0" xfId="0" applyFont="1"/>
    <xf borderId="0" fillId="0" fontId="13" numFmtId="4" xfId="0" applyAlignment="1" applyFont="1" applyNumberFormat="1">
      <alignment horizontal="right" vertical="bottom"/>
    </xf>
    <xf borderId="0" fillId="5" fontId="7" numFmtId="0" xfId="0" applyAlignment="1" applyFont="1">
      <alignment horizontal="center" vertical="bottom"/>
    </xf>
    <xf borderId="0" fillId="0" fontId="13" numFmtId="0" xfId="0" applyAlignment="1" applyFont="1">
      <alignment horizontal="right" vertical="bottom"/>
    </xf>
    <xf borderId="0" fillId="5" fontId="13" numFmtId="0" xfId="0" applyFont="1"/>
    <xf borderId="0" fillId="5" fontId="13" numFmtId="0" xfId="0" applyAlignment="1" applyFont="1">
      <alignment readingOrder="0"/>
    </xf>
    <xf borderId="0" fillId="0" fontId="13" numFmtId="0" xfId="0" applyAlignment="1" applyFont="1">
      <alignment horizontal="left" vertical="bottom"/>
    </xf>
    <xf borderId="0" fillId="0" fontId="7" numFmtId="0" xfId="0" applyAlignment="1" applyFont="1">
      <alignment horizontal="right" readingOrder="0" vertical="bottom"/>
    </xf>
    <xf borderId="0" fillId="4" fontId="13" numFmtId="0" xfId="0" applyAlignment="1" applyFont="1">
      <alignment horizontal="center" readingOrder="0" shrinkToFit="0" vertical="center" wrapText="1"/>
    </xf>
    <xf borderId="0" fillId="2" fontId="20" numFmtId="0" xfId="0" applyAlignment="1" applyFont="1">
      <alignment horizontal="center" readingOrder="0" shrinkToFit="0" vertical="bottom" wrapText="1"/>
    </xf>
    <xf borderId="0" fillId="5" fontId="2" numFmtId="0" xfId="0" applyFont="1"/>
    <xf borderId="0" fillId="0" fontId="13" numFmtId="9" xfId="0" applyAlignment="1" applyFont="1" applyNumberFormat="1">
      <alignment horizontal="center" vertical="center"/>
    </xf>
    <xf borderId="0" fillId="0" fontId="18" numFmtId="0" xfId="0" applyFont="1"/>
    <xf borderId="0" fillId="0" fontId="13" numFmtId="0" xfId="0" applyAlignment="1" applyFont="1">
      <alignment horizontal="center" vertical="center"/>
    </xf>
    <xf borderId="0" fillId="2" fontId="20" numFmtId="0" xfId="0" applyAlignment="1" applyFont="1">
      <alignment horizontal="center" shrinkToFit="0" vertical="center" wrapText="0"/>
    </xf>
    <xf borderId="0" fillId="0" fontId="21" numFmtId="0" xfId="0" applyAlignment="1" applyFont="1">
      <alignment horizontal="left" shrinkToFit="0" vertical="bottom" wrapText="1"/>
    </xf>
    <xf borderId="0" fillId="0" fontId="21" numFmtId="0" xfId="0" applyAlignment="1" applyFont="1">
      <alignment horizontal="center" vertical="center"/>
    </xf>
    <xf borderId="0" fillId="0" fontId="22" numFmtId="0" xfId="0" applyAlignment="1" applyFont="1">
      <alignment vertical="bottom"/>
    </xf>
    <xf borderId="0" fillId="0" fontId="22" numFmtId="0" xfId="0" applyAlignment="1" applyFont="1">
      <alignment horizontal="right" readingOrder="0" vertical="bottom"/>
    </xf>
    <xf borderId="0" fillId="0" fontId="2" numFmtId="165" xfId="0" applyFont="1" applyNumberFormat="1"/>
    <xf borderId="0" fillId="0" fontId="2" numFmtId="166" xfId="0" applyFont="1" applyNumberFormat="1"/>
    <xf borderId="0" fillId="0" fontId="23" numFmtId="165" xfId="0" applyAlignment="1" applyFont="1" applyNumberFormat="1">
      <alignment horizontal="center" readingOrder="0" vertical="bottom"/>
    </xf>
    <xf borderId="0" fillId="0" fontId="2" numFmtId="166" xfId="0" applyAlignment="1" applyFont="1" applyNumberFormat="1">
      <alignment readingOrder="0"/>
    </xf>
    <xf borderId="0" fillId="0" fontId="24" numFmtId="0" xfId="0" applyAlignment="1" applyFont="1">
      <alignment readingOrder="0"/>
    </xf>
    <xf borderId="0" fillId="0" fontId="25" numFmtId="0" xfId="0" applyFont="1"/>
    <xf borderId="0" fillId="0" fontId="26" numFmtId="167" xfId="0" applyAlignment="1" applyFont="1" applyNumberFormat="1">
      <alignment horizontal="right" shrinkToFit="0" vertical="center" wrapText="1"/>
    </xf>
    <xf borderId="0" fillId="0" fontId="27" numFmtId="0" xfId="0" applyAlignment="1" applyFont="1">
      <alignment shrinkToFit="0" vertical="bottom" wrapText="1"/>
    </xf>
    <xf borderId="0" fillId="0" fontId="24" numFmtId="168" xfId="0" applyAlignment="1" applyFont="1" applyNumberFormat="1">
      <alignment horizontal="right" vertical="top"/>
    </xf>
    <xf borderId="0" fillId="0" fontId="23" numFmtId="0" xfId="0" applyFont="1"/>
    <xf borderId="0" fillId="0" fontId="28" numFmtId="0" xfId="0" applyAlignment="1" applyFont="1">
      <alignment vertical="center"/>
    </xf>
    <xf borderId="0" fillId="0" fontId="22" numFmtId="167" xfId="0" applyAlignment="1" applyFont="1" applyNumberFormat="1">
      <alignment horizontal="right" vertical="bottom"/>
    </xf>
    <xf borderId="0" fillId="0" fontId="22" numFmtId="0" xfId="0" applyAlignment="1" applyFont="1">
      <alignment horizontal="right" vertical="bottom"/>
    </xf>
    <xf borderId="0" fillId="0" fontId="29" numFmtId="0" xfId="0" applyAlignment="1" applyFont="1">
      <alignment vertical="bottom"/>
    </xf>
    <xf borderId="0" fillId="0" fontId="23" numFmtId="0" xfId="0" applyAlignment="1" applyFont="1">
      <alignment horizontal="center" readingOrder="0" vertical="bottom"/>
    </xf>
    <xf borderId="0" fillId="0" fontId="30" numFmtId="0" xfId="0" applyFont="1"/>
    <xf borderId="0" fillId="0" fontId="10" numFmtId="0" xfId="0" applyAlignment="1" applyFont="1">
      <alignment horizontal="center" vertical="top"/>
    </xf>
    <xf borderId="0" fillId="4" fontId="10" numFmtId="0" xfId="0" applyAlignment="1" applyFont="1">
      <alignment shrinkToFit="0" vertical="center" wrapText="1"/>
    </xf>
    <xf borderId="0" fillId="4" fontId="10" numFmtId="0" xfId="0" applyAlignment="1" applyFont="1">
      <alignment horizontal="center" vertical="top"/>
    </xf>
    <xf borderId="0" fillId="0" fontId="10" numFmtId="0" xfId="0" applyAlignment="1" applyFont="1">
      <alignment shrinkToFit="0" vertical="center" wrapText="1"/>
    </xf>
    <xf borderId="0" fillId="0" fontId="22" numFmtId="165" xfId="0" applyAlignment="1" applyFont="1" applyNumberFormat="1">
      <alignment vertical="bottom"/>
    </xf>
    <xf borderId="0" fillId="0" fontId="22" numFmtId="0" xfId="0" applyFont="1"/>
    <xf borderId="0" fillId="0" fontId="10" numFmtId="0" xfId="0" applyAlignment="1" applyFont="1">
      <alignment vertical="center"/>
    </xf>
    <xf borderId="0" fillId="0" fontId="23" numFmtId="0" xfId="0" applyAlignment="1" applyFont="1">
      <alignment horizontal="right" readingOrder="0" vertical="top"/>
    </xf>
    <xf borderId="0" fillId="5" fontId="10" numFmtId="0" xfId="0" applyAlignment="1" applyFont="1">
      <alignment vertical="center"/>
    </xf>
    <xf borderId="0" fillId="5" fontId="10" numFmtId="0" xfId="0" applyAlignment="1" applyFont="1">
      <alignment horizontal="center" vertical="top"/>
    </xf>
    <xf borderId="0" fillId="0" fontId="2" numFmtId="165" xfId="0" applyAlignment="1" applyFont="1" applyNumberFormat="1">
      <alignment shrinkToFit="0" vertical="bottom" wrapText="0"/>
    </xf>
  </cellXfs>
  <cellStyles count="1">
    <cellStyle xfId="0" name="Normal" builtinId="0"/>
  </cellStyles>
  <dxfs count="3">
    <dxf>
      <font>
        <color rgb="FFF3F3F3"/>
      </font>
      <fill>
        <patternFill patternType="none"/>
      </fill>
      <border/>
    </dxf>
    <dxf>
      <font/>
      <fill>
        <patternFill patternType="solid">
          <fgColor rgb="FF40E118"/>
          <bgColor rgb="FF40E118"/>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1.xml"/><Relationship Id="rId10" Type="http://schemas.openxmlformats.org/officeDocument/2006/relationships/worksheet" Target="worksheets/sheet8.xml"/><Relationship Id="rId13" Type="http://schemas.openxmlformats.org/officeDocument/2006/relationships/pivotCacheDefinition" Target="pivotCache/pivotCacheDefinition3.xml"/><Relationship Id="rId12" Type="http://schemas.openxmlformats.org/officeDocument/2006/relationships/pivotCacheDefinition" Target="pivotCache/pivotCacheDefinition2.xml"/><Relationship Id="rId14" Type="http://schemas.openxmlformats.org/officeDocument/2006/relationships/pivotCacheDefinition" Target="pivotCache/pivotCacheDefinition4.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Referendum % of Genders</a:t>
            </a:r>
          </a:p>
        </c:rich>
      </c:tx>
      <c:overlay val="0"/>
    </c:title>
    <c:plotArea>
      <c:layout/>
      <c:pieChart>
        <c:varyColors val="1"/>
        <c:ser>
          <c:idx val="0"/>
          <c:order val="0"/>
          <c:tx>
            <c:strRef>
              <c:f>'Pivot Table 4'!$C$1</c:f>
            </c:strRef>
          </c:tx>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Lbls>
            <c:showLegendKey val="0"/>
            <c:showVal val="0"/>
            <c:showCatName val="0"/>
            <c:showSerName val="0"/>
            <c:showPercent val="0"/>
            <c:showBubbleSize val="0"/>
            <c:showLeaderLines val="1"/>
          </c:dLbls>
          <c:cat>
            <c:strRef>
              <c:f>'Pivot Table 4'!$A$2:$A$6</c:f>
            </c:strRef>
          </c:cat>
          <c:val>
            <c:numRef>
              <c:f>'Pivot Table 4'!$C$2:$C$6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000000"/>
              </a:solidFill>
              <a:latin typeface="Roboto"/>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 Referendum of Leave vs Remain</a:t>
            </a:r>
          </a:p>
        </c:rich>
      </c:tx>
      <c:overlay val="0"/>
    </c:title>
    <c:plotArea>
      <c:layout/>
      <c:barChart>
        <c:barDir val="col"/>
        <c:ser>
          <c:idx val="0"/>
          <c:order val="0"/>
          <c:tx>
            <c:strRef>
              <c:f>'Pivot Table 3'!$C$4</c:f>
            </c:strRef>
          </c:tx>
          <c:spPr>
            <a:solidFill>
              <a:srgbClr val="4285F4"/>
            </a:solidFill>
            <a:ln cmpd="sng">
              <a:solidFill>
                <a:srgbClr val="000000"/>
              </a:solidFill>
            </a:ln>
          </c:spPr>
          <c:dPt>
            <c:idx val="1"/>
            <c:spPr>
              <a:solidFill>
                <a:srgbClr val="FF0000"/>
              </a:solidFill>
              <a:ln cmpd="sng">
                <a:solidFill>
                  <a:srgbClr val="000000"/>
                </a:solidFill>
              </a:ln>
            </c:spPr>
          </c:dPt>
          <c:dPt>
            <c:idx val="2"/>
            <c:spPr>
              <a:solidFill>
                <a:srgbClr val="FFFF00"/>
              </a:solidFill>
              <a:ln cmpd="sng">
                <a:solidFill>
                  <a:srgbClr val="000000"/>
                </a:solidFill>
              </a:ln>
            </c:spPr>
          </c:dPt>
          <c:cat>
            <c:strRef>
              <c:f>'Pivot Table 3'!$B$5:$B$7</c:f>
            </c:strRef>
          </c:cat>
          <c:val>
            <c:numRef>
              <c:f>'Pivot Table 3'!$C$5:$C$7</c:f>
              <c:numCache/>
            </c:numRef>
          </c:val>
        </c:ser>
        <c:axId val="384393127"/>
        <c:axId val="590244675"/>
      </c:barChart>
      <c:catAx>
        <c:axId val="384393127"/>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Referendum</a:t>
                </a:r>
              </a:p>
            </c:rich>
          </c:tx>
          <c:overlay val="0"/>
        </c:title>
        <c:numFmt formatCode="General" sourceLinked="1"/>
        <c:majorTickMark val="none"/>
        <c:minorTickMark val="none"/>
        <c:spPr/>
        <c:txPr>
          <a:bodyPr/>
          <a:lstStyle/>
          <a:p>
            <a:pPr lvl="0">
              <a:defRPr b="0">
                <a:solidFill>
                  <a:srgbClr val="000000"/>
                </a:solidFill>
                <a:latin typeface="Roboto"/>
              </a:defRPr>
            </a:pPr>
          </a:p>
        </c:txPr>
        <c:crossAx val="590244675"/>
      </c:catAx>
      <c:valAx>
        <c:axId val="59024467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COUNTA of Referendum</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384393127"/>
      </c:valAx>
    </c:plotArea>
    <c:legend>
      <c:legendPos val="r"/>
      <c:overlay val="0"/>
      <c:txPr>
        <a:bodyPr/>
        <a:lstStyle/>
        <a:p>
          <a:pPr lvl="0">
            <a:defRPr b="0">
              <a:solidFill>
                <a:srgbClr val="000000"/>
              </a:solidFill>
              <a:latin typeface="Roboto"/>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COUNTA of Referendum</a:t>
            </a:r>
          </a:p>
        </c:rich>
      </c:tx>
      <c:overlay val="0"/>
    </c:title>
    <c:view3D>
      <c:rotX val="50"/>
      <c:perspective val="0"/>
    </c:view3D>
    <c:plotArea>
      <c:layout/>
      <c:pie3DChart>
        <c:varyColors val="1"/>
        <c:ser>
          <c:idx val="0"/>
          <c:order val="0"/>
          <c:tx>
            <c:strRef>
              <c:f>'Pivot Table 2'!$B$1</c:f>
            </c:strRef>
          </c:tx>
          <c:dPt>
            <c:idx val="0"/>
            <c:spPr>
              <a:solidFill>
                <a:srgbClr val="4285F4"/>
              </a:solidFill>
            </c:spPr>
          </c:dPt>
          <c:dPt>
            <c:idx val="1"/>
            <c:spPr>
              <a:solidFill>
                <a:srgbClr val="DB4437"/>
              </a:solidFill>
            </c:spPr>
          </c:dPt>
          <c:dPt>
            <c:idx val="2"/>
            <c:spPr>
              <a:solidFill>
                <a:srgbClr val="F4B400"/>
              </a:solidFill>
            </c:spPr>
          </c:dPt>
          <c:dLbls>
            <c:showLegendKey val="0"/>
            <c:showVal val="0"/>
            <c:showCatName val="0"/>
            <c:showSerName val="0"/>
            <c:showPercent val="0"/>
            <c:showBubbleSize val="0"/>
            <c:showLeaderLines val="1"/>
          </c:dLbls>
          <c:cat>
            <c:strRef>
              <c:f>'Pivot Table 2'!$A$2:$A$4</c:f>
            </c:strRef>
          </c:cat>
          <c:val>
            <c:numRef>
              <c:f>'Pivot Table 2'!$B$2:$B$4</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000000"/>
              </a:solidFill>
              <a:latin typeface="Roboto"/>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Top Tweeters </a:t>
            </a:r>
          </a:p>
        </c:rich>
      </c:tx>
      <c:overlay val="0"/>
    </c:title>
    <c:plotArea>
      <c:layout/>
      <c:barChart>
        <c:barDir val="bar"/>
        <c:ser>
          <c:idx val="0"/>
          <c:order val="0"/>
          <c:tx>
            <c:strRef>
              <c:f>Dashboard!$U$2</c:f>
            </c:strRef>
          </c:tx>
          <c:spPr>
            <a:solidFill>
              <a:srgbClr val="3366CC"/>
            </a:solidFill>
            <a:ln cmpd="sng">
              <a:solidFill>
                <a:srgbClr val="000000"/>
              </a:solidFill>
            </a:ln>
          </c:spPr>
          <c:cat>
            <c:strRef>
              <c:f>Dashboard!$T$3:$T$12</c:f>
            </c:strRef>
          </c:cat>
          <c:val>
            <c:numRef>
              <c:f>Dashboard!$U$3:$U$12</c:f>
              <c:numCache/>
            </c:numRef>
          </c:val>
        </c:ser>
        <c:axId val="288724535"/>
        <c:axId val="1478958804"/>
      </c:barChart>
      <c:catAx>
        <c:axId val="288724535"/>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478958804"/>
      </c:catAx>
      <c:valAx>
        <c:axId val="1478958804"/>
        <c:scaling>
          <c:orientation val="minMax"/>
          <c:min val="0.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288724535"/>
        <c:crosses val="max"/>
      </c:valAx>
    </c:plotArea>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rPr b="0" sz="1400">
                <a:solidFill>
                  <a:srgbClr val="000000"/>
                </a:solidFill>
                <a:latin typeface="Roboto"/>
              </a:rPr>
              <a:t>Tweet Volume Over Time (max 60 days)</a:t>
            </a:r>
          </a:p>
        </c:rich>
      </c:tx>
      <c:overlay val="0"/>
    </c:title>
    <c:plotArea>
      <c:layout>
        <c:manualLayout>
          <c:xMode val="edge"/>
          <c:yMode val="edge"/>
          <c:x val="0.07852882703777336"/>
          <c:y val="0.141642371234208"/>
          <c:w val="0.887375745526839"/>
          <c:h val="0.7558794946550049"/>
        </c:manualLayout>
      </c:layout>
      <c:lineChart>
        <c:varyColors val="0"/>
        <c:ser>
          <c:idx val="0"/>
          <c:order val="0"/>
          <c:tx>
            <c:strRef>
              <c:f>Dashboard!$R$14</c:f>
            </c:strRef>
          </c:tx>
          <c:spPr>
            <a:ln cmpd="sng">
              <a:solidFill>
                <a:srgbClr val="3366CC"/>
              </a:solidFill>
            </a:ln>
          </c:spPr>
          <c:marker>
            <c:symbol val="circle"/>
            <c:size val="2"/>
            <c:spPr>
              <a:solidFill>
                <a:srgbClr val="3366CC"/>
              </a:solidFill>
              <a:ln cmpd="sng">
                <a:solidFill>
                  <a:srgbClr val="3366CC"/>
                </a:solidFill>
              </a:ln>
            </c:spPr>
          </c:marker>
          <c:dLbls>
            <c:numFmt formatCode="General" sourceLinked="1"/>
            <c:txPr>
              <a:bodyPr/>
              <a:lstStyle/>
              <a:p>
                <a:pPr lvl="0">
                  <a:defRPr sz="900"/>
                </a:pPr>
              </a:p>
            </c:txPr>
            <c:showLegendKey val="0"/>
            <c:showVal val="1"/>
            <c:showCatName val="0"/>
            <c:showSerName val="0"/>
            <c:showPercent val="0"/>
            <c:showBubbleSize val="0"/>
          </c:dLbls>
          <c:cat>
            <c:strRef>
              <c:f>Dashboard!$Q$15:$Q$74</c:f>
            </c:strRef>
          </c:cat>
          <c:val>
            <c:numRef>
              <c:f>Dashboard!$R$15:$R$74</c:f>
              <c:numCache/>
            </c:numRef>
          </c:val>
          <c:smooth val="0"/>
        </c:ser>
        <c:axId val="1749421957"/>
        <c:axId val="902314986"/>
      </c:lineChart>
      <c:catAx>
        <c:axId val="1749421957"/>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sz="900">
                <a:solidFill>
                  <a:srgbClr val="000000"/>
                </a:solidFill>
                <a:latin typeface="Roboto"/>
              </a:defRPr>
            </a:pPr>
          </a:p>
        </c:txPr>
        <c:crossAx val="902314986"/>
      </c:catAx>
      <c:valAx>
        <c:axId val="90231498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count</a:t>
                </a:r>
              </a:p>
            </c:rich>
          </c:tx>
          <c:overlay val="0"/>
        </c:title>
        <c:numFmt formatCode="General" sourceLinked="1"/>
        <c:majorTickMark val="none"/>
        <c:minorTickMark val="none"/>
        <c:tickLblPos val="nextTo"/>
        <c:spPr>
          <a:ln/>
        </c:spPr>
        <c:txPr>
          <a:bodyPr/>
          <a:lstStyle/>
          <a:p>
            <a:pPr lvl="0">
              <a:defRPr b="0" sz="900">
                <a:solidFill>
                  <a:srgbClr val="000000"/>
                </a:solidFill>
                <a:latin typeface="Roboto"/>
              </a:defRPr>
            </a:pPr>
          </a:p>
        </c:txPr>
        <c:crossAx val="1749421957"/>
      </c:valAx>
    </c:plotArea>
    <c:plotVisOnly val="0"/>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390525</xdr:colOff>
      <xdr:row>1</xdr:row>
      <xdr:rowOff>19050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762000</xdr:colOff>
      <xdr:row>4</xdr:row>
      <xdr:rowOff>76200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247650</xdr:colOff>
      <xdr:row>1</xdr:row>
      <xdr:rowOff>200025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4</xdr:row>
      <xdr:rowOff>447675</xdr:rowOff>
    </xdr:from>
    <xdr:ext cx="3800475" cy="271462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D1:E16" sheet="Archive"/>
  </cacheSource>
  <cacheFields>
    <cacheField name="Referendum" numFmtId="49">
      <sharedItems>
        <s v="Leave"/>
        <s v="Silent"/>
      </sharedItems>
    </cacheField>
    <cacheField name="Gender" numFmtId="49">
      <sharedItems>
        <s v="Male"/>
        <s v="Female"/>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D1:D150" sheet="Archive"/>
  </cacheSource>
  <cacheFields>
    <cacheField name="Referendum" numFmtId="49">
      <sharedItems>
        <s v="Leave"/>
        <s v="Silent"/>
        <s v="Remain"/>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D1:D136" sheet="Archive"/>
  </cacheSource>
  <cacheFields>
    <cacheField name="Referendum" numFmtId="49">
      <sharedItems>
        <s v="Leave"/>
        <s v="Silent"/>
        <s v="Remain"/>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D1:D120" sheet="Archive"/>
  </cacheSource>
  <cacheFields>
    <cacheField name="Referendum" numFmtId="49">
      <sharedItems>
        <s v="Leave"/>
        <s v="Silent"/>
        <s v="Remain"/>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 Table 4" cacheId="0" dataCaption="" compact="0" compactData="0">
  <location ref="A1:C6" firstHeaderRow="0" firstDataRow="2" firstDataCol="0"/>
  <pivotFields>
    <pivotField name="Referendum" axis="axisRow" dataField="1" compact="0" numFmtId="49" outline="0" multipleItemSelectionAllowed="1" showAll="0" sortType="ascending">
      <items>
        <item x="0"/>
        <item x="1"/>
        <item t="default"/>
      </items>
    </pivotField>
    <pivotField name="Gender" axis="axisRow" compact="0" numFmtId="49" outline="0" multipleItemSelectionAllowed="1" showAll="0" sortType="ascending" defaultSubtotal="0">
      <items>
        <item x="1"/>
        <item x="0"/>
      </items>
    </pivotField>
  </pivotFields>
  <rowFields>
    <field x="1"/>
    <field x="0"/>
  </rowFields>
  <dataFields>
    <dataField name="COUNTA of Referendum" fld="0" subtotal="count" baseField="0"/>
  </dataFields>
</pivotTableDefinition>
</file>

<file path=xl/pivotTables/pivotTable2.xml><?xml version="1.0" encoding="utf-8"?>
<pivotTableDefinition xmlns="http://schemas.openxmlformats.org/spreadsheetml/2006/main" name="Pivot Table 3" cacheId="1" dataCaption="" compact="0" compactData="0">
  <location ref="B4:C8" firstHeaderRow="0" firstDataRow="1" firstDataCol="0"/>
  <pivotFields>
    <pivotField name="Referendum" axis="axisRow" dataField="1" compact="0" numFmtId="49" outline="0" multipleItemSelectionAllowed="1" showAll="0" sortType="ascending">
      <items>
        <item x="0"/>
        <item x="2"/>
        <item x="1"/>
        <item t="default"/>
      </items>
    </pivotField>
  </pivotFields>
  <rowFields>
    <field x="0"/>
  </rowFields>
  <dataFields>
    <dataField name="COUNTA of Referendum" fld="0" subtotal="count" baseField="0"/>
  </dataFields>
</pivotTableDefinition>
</file>

<file path=xl/pivotTables/pivotTable3.xml><?xml version="1.0" encoding="utf-8"?>
<pivotTableDefinition xmlns="http://schemas.openxmlformats.org/spreadsheetml/2006/main" name="Pivot Table 2" cacheId="2" dataCaption="" compact="0" compactData="0">
  <location ref="A1:B5" firstHeaderRow="0" firstDataRow="1" firstDataCol="0"/>
  <pivotFields>
    <pivotField name="Referendum" axis="axisRow" dataField="1" compact="0" numFmtId="49" outline="0" multipleItemSelectionAllowed="1" showAll="0" sortType="ascending">
      <items>
        <item x="0"/>
        <item x="2"/>
        <item x="1"/>
        <item t="default"/>
      </items>
    </pivotField>
  </pivotFields>
  <rowFields>
    <field x="0"/>
  </rowFields>
  <dataFields>
    <dataField name="COUNTA of Referendum" fld="0" subtotal="count" baseField="0"/>
  </dataFields>
</pivotTableDefinition>
</file>

<file path=xl/pivotTables/pivotTable4.xml><?xml version="1.0" encoding="utf-8"?>
<pivotTableDefinition xmlns="http://schemas.openxmlformats.org/spreadsheetml/2006/main" name="Pivot Table 1" cacheId="3" dataCaption="" compact="0" compactData="0">
  <location ref="A1:B5" firstHeaderRow="0" firstDataRow="1" firstDataCol="0"/>
  <pivotFields>
    <pivotField name="Referendum" axis="axisRow" dataField="1" compact="0" numFmtId="49" outline="0" multipleItemSelectionAllowed="1" showAll="0" sortType="ascending">
      <items>
        <item x="0"/>
        <item x="2"/>
        <item x="1"/>
        <item t="default"/>
      </items>
    </pivotField>
  </pivotFields>
  <rowFields>
    <field x="0"/>
  </rowFields>
  <dataFields>
    <dataField name="COUNTA of Referendum" fld="0"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5251" Type="http://schemas.openxmlformats.org/officeDocument/2006/relationships/hyperlink" Target="http://pbs.twimg.com/profile_images/1519093663737028609/lSxi1L-R_normal.jpg" TargetMode="External"/><Relationship Id="rId5252" Type="http://schemas.openxmlformats.org/officeDocument/2006/relationships/hyperlink" Target="http://twitter.com/PatAlexTea/statuses/1520899515385008131" TargetMode="External"/><Relationship Id="rId5250" Type="http://schemas.openxmlformats.org/officeDocument/2006/relationships/hyperlink" Target="http://twitter.com/ROBMCCANN2/statuses/1520899547303714823" TargetMode="External"/><Relationship Id="rId5255" Type="http://schemas.openxmlformats.org/officeDocument/2006/relationships/hyperlink" Target="http://pbs.twimg.com/profile_images/1003997336505323520/o0uuKkS2_normal.jpg" TargetMode="External"/><Relationship Id="rId5256" Type="http://schemas.openxmlformats.org/officeDocument/2006/relationships/hyperlink" Target="http://twitter.com/ROBMCCANN2/statuses/1520899479385391112" TargetMode="External"/><Relationship Id="rId5253" Type="http://schemas.openxmlformats.org/officeDocument/2006/relationships/hyperlink" Target="http://abs.twimg.com/sticky/default_profile_images/default_profile_normal.png" TargetMode="External"/><Relationship Id="rId5254" Type="http://schemas.openxmlformats.org/officeDocument/2006/relationships/hyperlink" Target="http://twitter.com/Jon_Fraser01/statuses/1520899486817693699" TargetMode="External"/><Relationship Id="rId5259" Type="http://schemas.openxmlformats.org/officeDocument/2006/relationships/hyperlink" Target="http://pbs.twimg.com/profile_images/1486458184550297605/tUrsTbse_normal.jpg" TargetMode="External"/><Relationship Id="rId5257" Type="http://schemas.openxmlformats.org/officeDocument/2006/relationships/hyperlink" Target="http://pbs.twimg.com/profile_images/2025146289/27-04-2011_001-30-31klein__normal.jpg" TargetMode="External"/><Relationship Id="rId5258" Type="http://schemas.openxmlformats.org/officeDocument/2006/relationships/hyperlink" Target="http://twitter.com/newswatch4u/statuses/1520899451639980037" TargetMode="External"/><Relationship Id="rId5240" Type="http://schemas.openxmlformats.org/officeDocument/2006/relationships/hyperlink" Target="http://twitter.com/Dr__H__Lekter/statuses/1520900274751250434" TargetMode="External"/><Relationship Id="rId5241" Type="http://schemas.openxmlformats.org/officeDocument/2006/relationships/hyperlink" Target="http://pbs.twimg.com/profile_images/1140032533251448833/1q5mdSgW_normal.jpg" TargetMode="External"/><Relationship Id="rId5244" Type="http://schemas.openxmlformats.org/officeDocument/2006/relationships/hyperlink" Target="http://twitter.com/A_Nonny_123/statuses/1520900100951883778" TargetMode="External"/><Relationship Id="rId5245" Type="http://schemas.openxmlformats.org/officeDocument/2006/relationships/hyperlink" Target="http://pbs.twimg.com/profile_images/3505926958/d17caf360cf39a8ac0fcf3ab48173799_normal.jpeg" TargetMode="External"/><Relationship Id="rId5242" Type="http://schemas.openxmlformats.org/officeDocument/2006/relationships/hyperlink" Target="http://twitter.com/rosalynemf/statuses/1520900163031736321" TargetMode="External"/><Relationship Id="rId5243" Type="http://schemas.openxmlformats.org/officeDocument/2006/relationships/hyperlink" Target="http://pbs.twimg.com/profile_images/1497445254663852034/JaK5QEGL_normal.jpg" TargetMode="External"/><Relationship Id="rId5248" Type="http://schemas.openxmlformats.org/officeDocument/2006/relationships/hyperlink" Target="http://twitter.com/Wearypundit/statuses/1520899760378593283" TargetMode="External"/><Relationship Id="rId5249" Type="http://schemas.openxmlformats.org/officeDocument/2006/relationships/hyperlink" Target="http://pbs.twimg.com/profile_images/1003997336505323520/o0uuKkS2_normal.jpg" TargetMode="External"/><Relationship Id="rId5246" Type="http://schemas.openxmlformats.org/officeDocument/2006/relationships/hyperlink" Target="http://twitter.com/shimtunley/statuses/1520899919300763648" TargetMode="External"/><Relationship Id="rId5247" Type="http://schemas.openxmlformats.org/officeDocument/2006/relationships/hyperlink" Target="http://pbs.twimg.com/profile_images/1265743445630615557/YMkTUHqU_normal.jpg" TargetMode="External"/><Relationship Id="rId5270" Type="http://schemas.openxmlformats.org/officeDocument/2006/relationships/hyperlink" Target="http://twitter.com/Equilibria/statuses/1520898690474553346" TargetMode="External"/><Relationship Id="rId5273" Type="http://schemas.openxmlformats.org/officeDocument/2006/relationships/hyperlink" Target="http://pbs.twimg.com/profile_images/1414609600721133572/w2Km1r1s_normal.jpg" TargetMode="External"/><Relationship Id="rId5274" Type="http://schemas.openxmlformats.org/officeDocument/2006/relationships/hyperlink" Target="http://twitter.com/cwsmith1/statuses/1520898579845550081" TargetMode="External"/><Relationship Id="rId5271" Type="http://schemas.openxmlformats.org/officeDocument/2006/relationships/hyperlink" Target="http://pbs.twimg.com/profile_images/1368870680805146624/NEvyb2Ar_normal.jpg" TargetMode="External"/><Relationship Id="rId5272" Type="http://schemas.openxmlformats.org/officeDocument/2006/relationships/hyperlink" Target="http://twitter.com/matmckenzie/statuses/1520898592181047298" TargetMode="External"/><Relationship Id="rId5277" Type="http://schemas.openxmlformats.org/officeDocument/2006/relationships/hyperlink" Target="http://pbs.twimg.com/profile_images/1368870680805146624/NEvyb2Ar_normal.jpg" TargetMode="External"/><Relationship Id="rId5278" Type="http://schemas.openxmlformats.org/officeDocument/2006/relationships/hyperlink" Target="http://twitter.com/matmckenzie/statuses/1520898505296195584" TargetMode="External"/><Relationship Id="rId5275" Type="http://schemas.openxmlformats.org/officeDocument/2006/relationships/hyperlink" Target="http://pbs.twimg.com/profile_images/1202288194521370625/abLXNdwR_normal.jpg" TargetMode="External"/><Relationship Id="rId5276" Type="http://schemas.openxmlformats.org/officeDocument/2006/relationships/hyperlink" Target="http://twitter.com/PatrickMDHunter/statuses/1520898564842561536" TargetMode="External"/><Relationship Id="rId5279" Type="http://schemas.openxmlformats.org/officeDocument/2006/relationships/hyperlink" Target="http://pbs.twimg.com/profile_images/1760773882/CNV00008_normal.JPG" TargetMode="External"/><Relationship Id="rId5262" Type="http://schemas.openxmlformats.org/officeDocument/2006/relationships/hyperlink" Target="http://twitter.com/gooduseofbad/statuses/1520899084646821892" TargetMode="External"/><Relationship Id="rId5263" Type="http://schemas.openxmlformats.org/officeDocument/2006/relationships/hyperlink" Target="http://pbs.twimg.com/profile_images/1223163288843964416/uowvXDAT_normal.jpg" TargetMode="External"/><Relationship Id="rId5260" Type="http://schemas.openxmlformats.org/officeDocument/2006/relationships/hyperlink" Target="http://twitter.com/CYRDYN/statuses/1520899379674198017" TargetMode="External"/><Relationship Id="rId5261" Type="http://schemas.openxmlformats.org/officeDocument/2006/relationships/hyperlink" Target="http://pbs.twimg.com/profile_images/1483587064557977609/MkyNfE2K_normal.jpg" TargetMode="External"/><Relationship Id="rId5266" Type="http://schemas.openxmlformats.org/officeDocument/2006/relationships/hyperlink" Target="http://twitter.com/JohnKLDN/statuses/1520898783500025864" TargetMode="External"/><Relationship Id="rId5267" Type="http://schemas.openxmlformats.org/officeDocument/2006/relationships/hyperlink" Target="http://pbs.twimg.com/profile_images/1291827099523862528/IP6DSDcC_normal.jpg" TargetMode="External"/><Relationship Id="rId5264" Type="http://schemas.openxmlformats.org/officeDocument/2006/relationships/hyperlink" Target="http://twitter.com/GwalaniSonali/statuses/1520898961292333062" TargetMode="External"/><Relationship Id="rId5265" Type="http://schemas.openxmlformats.org/officeDocument/2006/relationships/hyperlink" Target="http://pbs.twimg.com/profile_images/1224491997030907904/ijyV4Dwh_normal.jpg" TargetMode="External"/><Relationship Id="rId5268" Type="http://schemas.openxmlformats.org/officeDocument/2006/relationships/hyperlink" Target="http://twitter.com/lucycowp/statuses/1520898703699156994" TargetMode="External"/><Relationship Id="rId5269" Type="http://schemas.openxmlformats.org/officeDocument/2006/relationships/hyperlink" Target="http://pbs.twimg.com/profile_images/1408617134255661057/GoI1R1sU_normal.jpg" TargetMode="External"/><Relationship Id="rId5219" Type="http://schemas.openxmlformats.org/officeDocument/2006/relationships/hyperlink" Target="http://pbs.twimg.com/profile_images/1491216462127714304/s9WWxkUu_normal.jpg" TargetMode="External"/><Relationship Id="rId5217" Type="http://schemas.openxmlformats.org/officeDocument/2006/relationships/hyperlink" Target="http://pbs.twimg.com/profile_images/780523203324174337/nwcxODAJ_normal.jpg" TargetMode="External"/><Relationship Id="rId5218" Type="http://schemas.openxmlformats.org/officeDocument/2006/relationships/hyperlink" Target="http://twitter.com/pwsimerimiaw/statuses/1520901032196329473" TargetMode="External"/><Relationship Id="rId392" Type="http://schemas.openxmlformats.org/officeDocument/2006/relationships/hyperlink" Target="http://twitter.com/toadovision/statuses/1521065831509401600" TargetMode="External"/><Relationship Id="rId391" Type="http://schemas.openxmlformats.org/officeDocument/2006/relationships/hyperlink" Target="http://pbs.twimg.com/profile_images/2117127147/image_normal.jpg" TargetMode="External"/><Relationship Id="rId390" Type="http://schemas.openxmlformats.org/officeDocument/2006/relationships/hyperlink" Target="http://twitter.com/toadovision/statuses/1521065854082891776" TargetMode="External"/><Relationship Id="rId2180" Type="http://schemas.openxmlformats.org/officeDocument/2006/relationships/hyperlink" Target="http://twitter.com/mccandlessp/statuses/1521034401999691776" TargetMode="External"/><Relationship Id="rId2181" Type="http://schemas.openxmlformats.org/officeDocument/2006/relationships/hyperlink" Target="http://pbs.twimg.com/profile_images/837141295042703360/SZqoVNTx_normal.jpg" TargetMode="External"/><Relationship Id="rId2182" Type="http://schemas.openxmlformats.org/officeDocument/2006/relationships/hyperlink" Target="http://twitter.com/mfnmelb1/statuses/1521034380226924545" TargetMode="External"/><Relationship Id="rId2183" Type="http://schemas.openxmlformats.org/officeDocument/2006/relationships/hyperlink" Target="http://pbs.twimg.com/profile_images/1519960052660158464/4kWqrHRx_normal.jpg" TargetMode="External"/><Relationship Id="rId385" Type="http://schemas.openxmlformats.org/officeDocument/2006/relationships/hyperlink" Target="http://pbs.twimg.com/profile_images/1167348497/5_Years_normal.jpg" TargetMode="External"/><Relationship Id="rId2184" Type="http://schemas.openxmlformats.org/officeDocument/2006/relationships/hyperlink" Target="http://twitter.com/toadflaxmillion/statuses/1521034326934274048" TargetMode="External"/><Relationship Id="rId5211" Type="http://schemas.openxmlformats.org/officeDocument/2006/relationships/hyperlink" Target="http://pbs.twimg.com/profile_images/1497892375154380812/oRCJEtMR_normal.jpg" TargetMode="External"/><Relationship Id="rId384" Type="http://schemas.openxmlformats.org/officeDocument/2006/relationships/hyperlink" Target="http://twitter.com/Iamegriff/statuses/1521065974010683394" TargetMode="External"/><Relationship Id="rId2185" Type="http://schemas.openxmlformats.org/officeDocument/2006/relationships/hyperlink" Target="http://pbs.twimg.com/profile_images/3572694934/6c2a7eebfae1f9a88117a92a3d281c68_normal.jpeg" TargetMode="External"/><Relationship Id="rId5212" Type="http://schemas.openxmlformats.org/officeDocument/2006/relationships/hyperlink" Target="http://twitter.com/castervaria/statuses/1520901113532362762" TargetMode="External"/><Relationship Id="rId383" Type="http://schemas.openxmlformats.org/officeDocument/2006/relationships/hyperlink" Target="http://pbs.twimg.com/profile_images/1309171350616113164/FN1627RM_normal.jpg" TargetMode="External"/><Relationship Id="rId2186" Type="http://schemas.openxmlformats.org/officeDocument/2006/relationships/hyperlink" Target="http://twitter.com/GeoffKPayne/statuses/1521034309670473729" TargetMode="External"/><Relationship Id="rId382" Type="http://schemas.openxmlformats.org/officeDocument/2006/relationships/hyperlink" Target="http://twitter.com/Merlin54977538/statuses/1521066018889736193" TargetMode="External"/><Relationship Id="rId2187" Type="http://schemas.openxmlformats.org/officeDocument/2006/relationships/hyperlink" Target="http://abs.twimg.com/sticky/default_profile_images/default_profile_normal.png" TargetMode="External"/><Relationship Id="rId5210" Type="http://schemas.openxmlformats.org/officeDocument/2006/relationships/hyperlink" Target="http://twitter.com/castervaria/statuses/1520901132360593411" TargetMode="External"/><Relationship Id="rId389" Type="http://schemas.openxmlformats.org/officeDocument/2006/relationships/hyperlink" Target="http://pbs.twimg.com/profile_images/2117127147/image_normal.jpg" TargetMode="External"/><Relationship Id="rId2188" Type="http://schemas.openxmlformats.org/officeDocument/2006/relationships/hyperlink" Target="http://twitter.com/fiercetiger103/statuses/1521034262870437888" TargetMode="External"/><Relationship Id="rId5215" Type="http://schemas.openxmlformats.org/officeDocument/2006/relationships/hyperlink" Target="http://pbs.twimg.com/profile_images/1466090045111255047/9_-luz5i_normal.jpg" TargetMode="External"/><Relationship Id="rId388" Type="http://schemas.openxmlformats.org/officeDocument/2006/relationships/hyperlink" Target="http://twitter.com/Geoffreytsmith/statuses/1521065875234775045" TargetMode="External"/><Relationship Id="rId2189" Type="http://schemas.openxmlformats.org/officeDocument/2006/relationships/hyperlink" Target="http://pbs.twimg.com/profile_images/3572694934/6c2a7eebfae1f9a88117a92a3d281c68_normal.jpeg" TargetMode="External"/><Relationship Id="rId5216" Type="http://schemas.openxmlformats.org/officeDocument/2006/relationships/hyperlink" Target="http://twitter.com/NickDWhitehead/statuses/1520901041478414336" TargetMode="External"/><Relationship Id="rId387" Type="http://schemas.openxmlformats.org/officeDocument/2006/relationships/hyperlink" Target="http://pbs.twimg.com/profile_images/428946684312170496/JhiJB2NG_normal.jpeg" TargetMode="External"/><Relationship Id="rId5213" Type="http://schemas.openxmlformats.org/officeDocument/2006/relationships/hyperlink" Target="http://pbs.twimg.com/profile_images/1497892375154380812/oRCJEtMR_normal.jpg" TargetMode="External"/><Relationship Id="rId386" Type="http://schemas.openxmlformats.org/officeDocument/2006/relationships/hyperlink" Target="http://twitter.com/MrShodijo/statuses/1521065913633624065" TargetMode="External"/><Relationship Id="rId5214" Type="http://schemas.openxmlformats.org/officeDocument/2006/relationships/hyperlink" Target="http://twitter.com/castervaria/statuses/1520901050848448513" TargetMode="External"/><Relationship Id="rId5208" Type="http://schemas.openxmlformats.org/officeDocument/2006/relationships/hyperlink" Target="http://twitter.com/Dr__H__Lekter/statuses/1520901160730779651" TargetMode="External"/><Relationship Id="rId5209" Type="http://schemas.openxmlformats.org/officeDocument/2006/relationships/hyperlink" Target="http://pbs.twimg.com/profile_images/1497892375154380812/oRCJEtMR_normal.jpg" TargetMode="External"/><Relationship Id="rId5206" Type="http://schemas.openxmlformats.org/officeDocument/2006/relationships/hyperlink" Target="http://twitter.com/mojotweets_/statuses/1520901221300817920" TargetMode="External"/><Relationship Id="rId5207" Type="http://schemas.openxmlformats.org/officeDocument/2006/relationships/hyperlink" Target="http://pbs.twimg.com/profile_images/1489200827122212869/oXh-HN0L_normal.jpg" TargetMode="External"/><Relationship Id="rId381" Type="http://schemas.openxmlformats.org/officeDocument/2006/relationships/hyperlink" Target="http://pbs.twimg.com/profile_images/1192804668096876545/sE-0O1W4_normal.jpg" TargetMode="External"/><Relationship Id="rId380" Type="http://schemas.openxmlformats.org/officeDocument/2006/relationships/hyperlink" Target="http://twitter.com/WestonGrockle/statuses/1521066079925252097" TargetMode="External"/><Relationship Id="rId379" Type="http://schemas.openxmlformats.org/officeDocument/2006/relationships/hyperlink" Target="http://pbs.twimg.com/profile_images/1500380488686522368/MICHI078_normal.jpg" TargetMode="External"/><Relationship Id="rId2170" Type="http://schemas.openxmlformats.org/officeDocument/2006/relationships/hyperlink" Target="http://twitter.com/PJWestlake/statuses/1521034466017386496" TargetMode="External"/><Relationship Id="rId2171" Type="http://schemas.openxmlformats.org/officeDocument/2006/relationships/hyperlink" Target="http://abs.twimg.com/sticky/default_profile_images/default_profile_normal.png" TargetMode="External"/><Relationship Id="rId2172" Type="http://schemas.openxmlformats.org/officeDocument/2006/relationships/hyperlink" Target="http://twitter.com/StuartWeinstoc1/statuses/1521034442336309249" TargetMode="External"/><Relationship Id="rId374" Type="http://schemas.openxmlformats.org/officeDocument/2006/relationships/hyperlink" Target="http://twitter.com/Slots_o_fun/statuses/1521066180399837184" TargetMode="External"/><Relationship Id="rId2173" Type="http://schemas.openxmlformats.org/officeDocument/2006/relationships/hyperlink" Target="http://abs.twimg.com/sticky/default_profile_images/default_profile_normal.png" TargetMode="External"/><Relationship Id="rId5200" Type="http://schemas.openxmlformats.org/officeDocument/2006/relationships/hyperlink" Target="http://twitter.com/ade_firth/statuses/1520901726462697476" TargetMode="External"/><Relationship Id="rId373" Type="http://schemas.openxmlformats.org/officeDocument/2006/relationships/hyperlink" Target="http://pbs.twimg.com/profile_images/1219875518591504384/44tiW5bX_normal.jpg" TargetMode="External"/><Relationship Id="rId2174" Type="http://schemas.openxmlformats.org/officeDocument/2006/relationships/hyperlink" Target="http://twitter.com/agatha_bobb/statuses/1521034426213355520" TargetMode="External"/><Relationship Id="rId5201" Type="http://schemas.openxmlformats.org/officeDocument/2006/relationships/hyperlink" Target="http://pbs.twimg.com/profile_images/1160154580426076160/3oT7ISrL_normal.jpg" TargetMode="External"/><Relationship Id="rId372" Type="http://schemas.openxmlformats.org/officeDocument/2006/relationships/hyperlink" Target="http://twitter.com/Jones_No6/statuses/1521066183499337728" TargetMode="External"/><Relationship Id="rId2175" Type="http://schemas.openxmlformats.org/officeDocument/2006/relationships/hyperlink" Target="http://abs.twimg.com/sticky/default_profile_images/default_profile_normal.png" TargetMode="External"/><Relationship Id="rId371" Type="http://schemas.openxmlformats.org/officeDocument/2006/relationships/hyperlink" Target="http://abs.twimg.com/sticky/default_profile_images/default_profile_normal.png" TargetMode="External"/><Relationship Id="rId2176" Type="http://schemas.openxmlformats.org/officeDocument/2006/relationships/hyperlink" Target="http://twitter.com/eildons3/statuses/1521034405149560835" TargetMode="External"/><Relationship Id="rId378" Type="http://schemas.openxmlformats.org/officeDocument/2006/relationships/hyperlink" Target="http://twitter.com/graemelesaux14/statuses/1521066121612472321" TargetMode="External"/><Relationship Id="rId2177" Type="http://schemas.openxmlformats.org/officeDocument/2006/relationships/hyperlink" Target="http://pbs.twimg.com/profile_images/1167191923658055680/vLgUK6Qa_normal.jpg" TargetMode="External"/><Relationship Id="rId5204" Type="http://schemas.openxmlformats.org/officeDocument/2006/relationships/hyperlink" Target="http://twitter.com/AndyGreen_40/statuses/1520901489715290112" TargetMode="External"/><Relationship Id="rId377" Type="http://schemas.openxmlformats.org/officeDocument/2006/relationships/hyperlink" Target="http://pbs.twimg.com/profile_images/682933692419956736/gA7RPSD9_normal.jpg" TargetMode="External"/><Relationship Id="rId2178" Type="http://schemas.openxmlformats.org/officeDocument/2006/relationships/hyperlink" Target="http://twitter.com/JimmyCoats4/statuses/1521034404000411649" TargetMode="External"/><Relationship Id="rId5205" Type="http://schemas.openxmlformats.org/officeDocument/2006/relationships/hyperlink" Target="http://pbs.twimg.com/profile_images/1491216462127714304/s9WWxkUu_normal.jpg" TargetMode="External"/><Relationship Id="rId376" Type="http://schemas.openxmlformats.org/officeDocument/2006/relationships/hyperlink" Target="http://twitter.com/Slots_o_fun/statuses/1521066160703385600" TargetMode="External"/><Relationship Id="rId2179" Type="http://schemas.openxmlformats.org/officeDocument/2006/relationships/hyperlink" Target="http://pbs.twimg.com/profile_images/1365669362259091459/0LHVy4Xt_normal.jpg" TargetMode="External"/><Relationship Id="rId5202" Type="http://schemas.openxmlformats.org/officeDocument/2006/relationships/hyperlink" Target="http://twitter.com/Martynmartynjf/statuses/1520901614437081091" TargetMode="External"/><Relationship Id="rId375" Type="http://schemas.openxmlformats.org/officeDocument/2006/relationships/hyperlink" Target="http://pbs.twimg.com/profile_images/1219875518591504384/44tiW5bX_normal.jpg" TargetMode="External"/><Relationship Id="rId5203" Type="http://schemas.openxmlformats.org/officeDocument/2006/relationships/hyperlink" Target="http://pbs.twimg.com/profile_images/1288953167179284480/vHKazeGz_normal.jpg" TargetMode="External"/><Relationship Id="rId5239" Type="http://schemas.openxmlformats.org/officeDocument/2006/relationships/hyperlink" Target="http://pbs.twimg.com/profile_images/1489200827122212869/oXh-HN0L_normal.jpg" TargetMode="External"/><Relationship Id="rId5230" Type="http://schemas.openxmlformats.org/officeDocument/2006/relationships/hyperlink" Target="http://twitter.com/ArnoEu/statuses/1520900738817445889" TargetMode="External"/><Relationship Id="rId5233" Type="http://schemas.openxmlformats.org/officeDocument/2006/relationships/hyperlink" Target="http://pbs.twimg.com/profile_images/812790225508372480/YJ_hKMsP_normal.jpg" TargetMode="External"/><Relationship Id="rId5234" Type="http://schemas.openxmlformats.org/officeDocument/2006/relationships/hyperlink" Target="http://twitter.com/Burahntank/statuses/1520900584852926464" TargetMode="External"/><Relationship Id="rId5231" Type="http://schemas.openxmlformats.org/officeDocument/2006/relationships/hyperlink" Target="http://pbs.twimg.com/profile_images/1484608062245810182/wslGbo8N_normal.jpg" TargetMode="External"/><Relationship Id="rId5232" Type="http://schemas.openxmlformats.org/officeDocument/2006/relationships/hyperlink" Target="http://twitter.com/SarahSt61447620/statuses/1520900641606049793" TargetMode="External"/><Relationship Id="rId5237" Type="http://schemas.openxmlformats.org/officeDocument/2006/relationships/hyperlink" Target="http://pbs.twimg.com/profile_images/1480604390394408962/ecW-BgAv_normal.jpg" TargetMode="External"/><Relationship Id="rId5238" Type="http://schemas.openxmlformats.org/officeDocument/2006/relationships/hyperlink" Target="http://twitter.com/Julyon60/statuses/1520900489340235776" TargetMode="External"/><Relationship Id="rId5235" Type="http://schemas.openxmlformats.org/officeDocument/2006/relationships/hyperlink" Target="http://abs.twimg.com/sticky/default_profile_images/default_profile_normal.png" TargetMode="External"/><Relationship Id="rId5236" Type="http://schemas.openxmlformats.org/officeDocument/2006/relationships/hyperlink" Target="http://twitter.com/JennyBrookfiel2/statuses/1520900519816011784" TargetMode="External"/><Relationship Id="rId5228" Type="http://schemas.openxmlformats.org/officeDocument/2006/relationships/hyperlink" Target="http://twitter.com/mojotweets_/statuses/1520900831779954688" TargetMode="External"/><Relationship Id="rId5229" Type="http://schemas.openxmlformats.org/officeDocument/2006/relationships/hyperlink" Target="http://pbs.twimg.com/profile_images/1497562020392144900/6l-urX3p_normal.jpg" TargetMode="External"/><Relationship Id="rId2190" Type="http://schemas.openxmlformats.org/officeDocument/2006/relationships/hyperlink" Target="http://twitter.com/GeoffKPayne/statuses/1521034245501861888" TargetMode="External"/><Relationship Id="rId2191" Type="http://schemas.openxmlformats.org/officeDocument/2006/relationships/hyperlink" Target="http://pbs.twimg.com/profile_images/1269248301/Lucy_corks_Twitter_pic_normal.jpg" TargetMode="External"/><Relationship Id="rId2192" Type="http://schemas.openxmlformats.org/officeDocument/2006/relationships/hyperlink" Target="http://twitter.com/lucybridgers/statuses/1521034156695859200" TargetMode="External"/><Relationship Id="rId2193" Type="http://schemas.openxmlformats.org/officeDocument/2006/relationships/hyperlink" Target="http://pbs.twimg.com/profile_images/1264298940767272963/Qyg0iyFX_normal.jpg" TargetMode="External"/><Relationship Id="rId2194" Type="http://schemas.openxmlformats.org/officeDocument/2006/relationships/hyperlink" Target="http://twitter.com/Syed_A_Jaffery/statuses/1521034135623589888" TargetMode="External"/><Relationship Id="rId396" Type="http://schemas.openxmlformats.org/officeDocument/2006/relationships/hyperlink" Target="http://twitter.com/tom_tomrayner/statuses/1521065774659653635" TargetMode="External"/><Relationship Id="rId2195" Type="http://schemas.openxmlformats.org/officeDocument/2006/relationships/hyperlink" Target="http://pbs.twimg.com/profile_images/1322582749308399629/mTVlXpsf_normal.jpg" TargetMode="External"/><Relationship Id="rId5222" Type="http://schemas.openxmlformats.org/officeDocument/2006/relationships/hyperlink" Target="http://twitter.com/svelji/statuses/1520900941041569794" TargetMode="External"/><Relationship Id="rId395" Type="http://schemas.openxmlformats.org/officeDocument/2006/relationships/hyperlink" Target="http://pbs.twimg.com/profile_images/1458103177870516249/uOKbodib_normal.jpg" TargetMode="External"/><Relationship Id="rId2196" Type="http://schemas.openxmlformats.org/officeDocument/2006/relationships/hyperlink" Target="http://twitter.com/alastairdick/statuses/1521034075825393664" TargetMode="External"/><Relationship Id="rId5223" Type="http://schemas.openxmlformats.org/officeDocument/2006/relationships/hyperlink" Target="http://pbs.twimg.com/profile_images/1491216462127714304/s9WWxkUu_normal.jpg" TargetMode="External"/><Relationship Id="rId394" Type="http://schemas.openxmlformats.org/officeDocument/2006/relationships/hyperlink" Target="http://twitter.com/kjmarsh/statuses/1521065826740277249" TargetMode="External"/><Relationship Id="rId2197" Type="http://schemas.openxmlformats.org/officeDocument/2006/relationships/hyperlink" Target="http://pbs.twimg.com/profile_images/1517233123678896129/Zz-xPuT6_normal.jpg" TargetMode="External"/><Relationship Id="rId5220" Type="http://schemas.openxmlformats.org/officeDocument/2006/relationships/hyperlink" Target="http://twitter.com/mojotweets_/statuses/1520900981529190400" TargetMode="External"/><Relationship Id="rId393" Type="http://schemas.openxmlformats.org/officeDocument/2006/relationships/hyperlink" Target="http://pbs.twimg.com/profile_images/666573784531533825/3JxpayUh_normal.jpg" TargetMode="External"/><Relationship Id="rId2198" Type="http://schemas.openxmlformats.org/officeDocument/2006/relationships/hyperlink" Target="http://twitter.com/CunliffeSusanna/statuses/1521034060793004032" TargetMode="External"/><Relationship Id="rId5221" Type="http://schemas.openxmlformats.org/officeDocument/2006/relationships/hyperlink" Target="http://pbs.twimg.com/profile_images/1502282062111379460/2OU08tG7_normal.jpg" TargetMode="External"/><Relationship Id="rId2199" Type="http://schemas.openxmlformats.org/officeDocument/2006/relationships/hyperlink" Target="http://pbs.twimg.com/profile_images/695348823518875653/AD2tTaTR_normal.jpg" TargetMode="External"/><Relationship Id="rId5226" Type="http://schemas.openxmlformats.org/officeDocument/2006/relationships/hyperlink" Target="http://twitter.com/mojotweets_/statuses/1520900901199822848" TargetMode="External"/><Relationship Id="rId399" Type="http://schemas.openxmlformats.org/officeDocument/2006/relationships/hyperlink" Target="http://pbs.twimg.com/profile_images/820180438690004992/CYyc9y_L_normal.jpg" TargetMode="External"/><Relationship Id="rId5227" Type="http://schemas.openxmlformats.org/officeDocument/2006/relationships/hyperlink" Target="http://pbs.twimg.com/profile_images/1491216462127714304/s9WWxkUu_normal.jpg" TargetMode="External"/><Relationship Id="rId398" Type="http://schemas.openxmlformats.org/officeDocument/2006/relationships/hyperlink" Target="http://twitter.com/caz5697/statuses/1521065773388767234" TargetMode="External"/><Relationship Id="rId5224" Type="http://schemas.openxmlformats.org/officeDocument/2006/relationships/hyperlink" Target="http://twitter.com/mojotweets_/statuses/1520900933487665154" TargetMode="External"/><Relationship Id="rId397" Type="http://schemas.openxmlformats.org/officeDocument/2006/relationships/hyperlink" Target="http://pbs.twimg.com/profile_images/1324752202725007360/C6vFj279_normal.jpg" TargetMode="External"/><Relationship Id="rId5225" Type="http://schemas.openxmlformats.org/officeDocument/2006/relationships/hyperlink" Target="http://pbs.twimg.com/profile_images/1491216462127714304/s9WWxkUu_normal.jpg" TargetMode="External"/><Relationship Id="rId1730" Type="http://schemas.openxmlformats.org/officeDocument/2006/relationships/hyperlink" Target="http://twitter.com/burdish/statuses/1521041694740865025" TargetMode="External"/><Relationship Id="rId1731" Type="http://schemas.openxmlformats.org/officeDocument/2006/relationships/hyperlink" Target="http://pbs.twimg.com/profile_images/1804339476/image_normal.jpg" TargetMode="External"/><Relationship Id="rId1732" Type="http://schemas.openxmlformats.org/officeDocument/2006/relationships/hyperlink" Target="http://twitter.com/mikelly65/statuses/1521041655318687748" TargetMode="External"/><Relationship Id="rId1733" Type="http://schemas.openxmlformats.org/officeDocument/2006/relationships/hyperlink" Target="http://pbs.twimg.com/profile_images/1497340925546311680/5m6RJ3L9_normal.jpg" TargetMode="External"/><Relationship Id="rId1734" Type="http://schemas.openxmlformats.org/officeDocument/2006/relationships/hyperlink" Target="http://twitter.com/Modern_Greenery/statuses/1521041565657051141" TargetMode="External"/><Relationship Id="rId1735" Type="http://schemas.openxmlformats.org/officeDocument/2006/relationships/hyperlink" Target="http://pbs.twimg.com/profile_images/662694463458967552/n3BKfcti_normal.jpg" TargetMode="External"/><Relationship Id="rId1736" Type="http://schemas.openxmlformats.org/officeDocument/2006/relationships/hyperlink" Target="http://twitter.com/MartinHarper62/statuses/1521041561382965248" TargetMode="External"/><Relationship Id="rId1737" Type="http://schemas.openxmlformats.org/officeDocument/2006/relationships/hyperlink" Target="http://pbs.twimg.com/profile_images/1520698368107982849/TuhmYFA4_normal.jpg" TargetMode="External"/><Relationship Id="rId1738" Type="http://schemas.openxmlformats.org/officeDocument/2006/relationships/hyperlink" Target="http://twitter.com/davideaton51/statuses/1521041408030908417" TargetMode="External"/><Relationship Id="rId1739" Type="http://schemas.openxmlformats.org/officeDocument/2006/relationships/hyperlink" Target="http://pbs.twimg.com/profile_images/1520703650062118912/UsQu0SY2_normal.jpg" TargetMode="External"/><Relationship Id="rId1720" Type="http://schemas.openxmlformats.org/officeDocument/2006/relationships/hyperlink" Target="http://twitter.com/GmfisherU/statuses/1521042124006952964" TargetMode="External"/><Relationship Id="rId1721" Type="http://schemas.openxmlformats.org/officeDocument/2006/relationships/hyperlink" Target="http://pbs.twimg.com/profile_images/945328731639504898/mBIpJanm_normal.jpg" TargetMode="External"/><Relationship Id="rId1722" Type="http://schemas.openxmlformats.org/officeDocument/2006/relationships/hyperlink" Target="http://twitter.com/AmandaGWEU/statuses/1521042032415940610" TargetMode="External"/><Relationship Id="rId1723" Type="http://schemas.openxmlformats.org/officeDocument/2006/relationships/hyperlink" Target="http://pbs.twimg.com/profile_images/1472674229455839235/JSL3P8kE_normal.png" TargetMode="External"/><Relationship Id="rId1724" Type="http://schemas.openxmlformats.org/officeDocument/2006/relationships/hyperlink" Target="http://twitter.com/GmfisherU/statuses/1521041970679922688" TargetMode="External"/><Relationship Id="rId1725" Type="http://schemas.openxmlformats.org/officeDocument/2006/relationships/hyperlink" Target="http://pbs.twimg.com/profile_images/1040309175526547458/8oyxIvSP_normal.jpg" TargetMode="External"/><Relationship Id="rId1726" Type="http://schemas.openxmlformats.org/officeDocument/2006/relationships/hyperlink" Target="http://twitter.com/Nigelduffy8/statuses/1521041828778319881" TargetMode="External"/><Relationship Id="rId1727" Type="http://schemas.openxmlformats.org/officeDocument/2006/relationships/hyperlink" Target="http://pbs.twimg.com/profile_images/1804339476/image_normal.jpg" TargetMode="External"/><Relationship Id="rId1728" Type="http://schemas.openxmlformats.org/officeDocument/2006/relationships/hyperlink" Target="http://twitter.com/mikelly65/statuses/1521041807286624256" TargetMode="External"/><Relationship Id="rId1729" Type="http://schemas.openxmlformats.org/officeDocument/2006/relationships/hyperlink" Target="http://pbs.twimg.com/profile_images/568328490/Pointy_normal.gif" TargetMode="External"/><Relationship Id="rId1752" Type="http://schemas.openxmlformats.org/officeDocument/2006/relationships/hyperlink" Target="http://twitter.com/wolfiewire/statuses/1521041134830690306" TargetMode="External"/><Relationship Id="rId1753" Type="http://schemas.openxmlformats.org/officeDocument/2006/relationships/hyperlink" Target="http://abs.twimg.com/sticky/default_profile_images/default_profile_normal.png" TargetMode="External"/><Relationship Id="rId1754" Type="http://schemas.openxmlformats.org/officeDocument/2006/relationships/hyperlink" Target="http://twitter.com/ElaineMMilford1/statuses/1521041123308888065" TargetMode="External"/><Relationship Id="rId1755" Type="http://schemas.openxmlformats.org/officeDocument/2006/relationships/hyperlink" Target="http://pbs.twimg.com/profile_images/1267524783358586882/yAhIsqAk_normal.jpg" TargetMode="External"/><Relationship Id="rId1756" Type="http://schemas.openxmlformats.org/officeDocument/2006/relationships/hyperlink" Target="http://twitter.com/jcjumble/statuses/1521041093047078912" TargetMode="External"/><Relationship Id="rId1757" Type="http://schemas.openxmlformats.org/officeDocument/2006/relationships/hyperlink" Target="http://pbs.twimg.com/profile_images/1386562207840931841/2DzTUT9A_normal.jpg" TargetMode="External"/><Relationship Id="rId1758" Type="http://schemas.openxmlformats.org/officeDocument/2006/relationships/hyperlink" Target="http://twitter.com/ukbigdaddyian/statuses/1521041072759136257" TargetMode="External"/><Relationship Id="rId1759" Type="http://schemas.openxmlformats.org/officeDocument/2006/relationships/hyperlink" Target="http://pbs.twimg.com/profile_images/943211970156810240/yF-bU0Ak_normal.jpg" TargetMode="External"/><Relationship Id="rId1750" Type="http://schemas.openxmlformats.org/officeDocument/2006/relationships/hyperlink" Target="http://twitter.com/windfair_net/statuses/1521041173753872384" TargetMode="External"/><Relationship Id="rId1751" Type="http://schemas.openxmlformats.org/officeDocument/2006/relationships/hyperlink" Target="http://pbs.twimg.com/profile_images/1288072468465360906/sAmKkDQ-_normal.jpg" TargetMode="External"/><Relationship Id="rId1741" Type="http://schemas.openxmlformats.org/officeDocument/2006/relationships/hyperlink" Target="http://pbs.twimg.com/profile_images/662694463458967552/n3BKfcti_normal.jpg" TargetMode="External"/><Relationship Id="rId1742" Type="http://schemas.openxmlformats.org/officeDocument/2006/relationships/hyperlink" Target="http://twitter.com/MartinHarper62/statuses/1521041371104227328" TargetMode="External"/><Relationship Id="rId1743" Type="http://schemas.openxmlformats.org/officeDocument/2006/relationships/hyperlink" Target="http://abs.twimg.com/sticky/default_profile_images/default_profile_normal.png" TargetMode="External"/><Relationship Id="rId1744" Type="http://schemas.openxmlformats.org/officeDocument/2006/relationships/hyperlink" Target="http://twitter.com/dracuk/statuses/1521041325193404418" TargetMode="External"/><Relationship Id="rId1745" Type="http://schemas.openxmlformats.org/officeDocument/2006/relationships/hyperlink" Target="http://pbs.twimg.com/profile_images/1485281513436594177/ZPn6x3Ab_normal.jpg" TargetMode="External"/><Relationship Id="rId1746" Type="http://schemas.openxmlformats.org/officeDocument/2006/relationships/hyperlink" Target="http://twitter.com/r_bosch/statuses/1521041238681522176" TargetMode="External"/><Relationship Id="rId1747" Type="http://schemas.openxmlformats.org/officeDocument/2006/relationships/hyperlink" Target="http://pbs.twimg.com/profile_images/1454891732408180737/c5TcrKca_normal.jpg" TargetMode="External"/><Relationship Id="rId1748" Type="http://schemas.openxmlformats.org/officeDocument/2006/relationships/hyperlink" Target="http://twitter.com/lesmurphy6/statuses/1521041185695059969" TargetMode="External"/><Relationship Id="rId1749" Type="http://schemas.openxmlformats.org/officeDocument/2006/relationships/hyperlink" Target="http://pbs.twimg.com/profile_images/378800000078244128/36419ca9be13a9d52fa1b4206c85097a_normal.png" TargetMode="External"/><Relationship Id="rId1740" Type="http://schemas.openxmlformats.org/officeDocument/2006/relationships/hyperlink" Target="http://twitter.com/knight23018419/statuses/1521041373142597633" TargetMode="External"/><Relationship Id="rId5291" Type="http://schemas.openxmlformats.org/officeDocument/2006/relationships/hyperlink" Target="http://pbs.twimg.com/profile_images/1162446643695955968/s19tcCNp_normal.jpg" TargetMode="External"/><Relationship Id="rId5292" Type="http://schemas.openxmlformats.org/officeDocument/2006/relationships/hyperlink" Target="http://twitter.com/ianpwriter/statuses/1520897778767081473" TargetMode="External"/><Relationship Id="rId5290" Type="http://schemas.openxmlformats.org/officeDocument/2006/relationships/hyperlink" Target="http://twitter.com/PBTyrrell/statuses/1520897983214387200" TargetMode="External"/><Relationship Id="rId5295" Type="http://schemas.openxmlformats.org/officeDocument/2006/relationships/hyperlink" Target="http://pbs.twimg.com/profile_images/1289889562794360832/ZFMGAOV0_normal.jpg" TargetMode="External"/><Relationship Id="rId5296" Type="http://schemas.openxmlformats.org/officeDocument/2006/relationships/hyperlink" Target="http://twitter.com/paddytoland/statuses/1520897228981874688" TargetMode="External"/><Relationship Id="rId5293" Type="http://schemas.openxmlformats.org/officeDocument/2006/relationships/hyperlink" Target="http://pbs.twimg.com/profile_images/1224491997030907904/ijyV4Dwh_normal.jpg" TargetMode="External"/><Relationship Id="rId5294" Type="http://schemas.openxmlformats.org/officeDocument/2006/relationships/hyperlink" Target="http://twitter.com/JohnKLDN/statuses/1520897659615297537" TargetMode="External"/><Relationship Id="rId5299" Type="http://schemas.openxmlformats.org/officeDocument/2006/relationships/hyperlink" Target="http://pbs.twimg.com/profile_images/598543113158692864/DPFq4STi_normal.png" TargetMode="External"/><Relationship Id="rId5297" Type="http://schemas.openxmlformats.org/officeDocument/2006/relationships/hyperlink" Target="http://pbs.twimg.com/profile_images/1396735656882212867/uiO0JcZy_normal.jpg" TargetMode="External"/><Relationship Id="rId5298" Type="http://schemas.openxmlformats.org/officeDocument/2006/relationships/hyperlink" Target="http://twitter.com/jamessmyth17/statuses/1520897177916215297" TargetMode="External"/><Relationship Id="rId5280" Type="http://schemas.openxmlformats.org/officeDocument/2006/relationships/hyperlink" Target="http://twitter.com/RantingJon/statuses/1520898464208539649" TargetMode="External"/><Relationship Id="rId5281" Type="http://schemas.openxmlformats.org/officeDocument/2006/relationships/hyperlink" Target="http://pbs.twimg.com/profile_images/1518590173776429057/iHffUFA1_normal.png" TargetMode="External"/><Relationship Id="rId5284" Type="http://schemas.openxmlformats.org/officeDocument/2006/relationships/hyperlink" Target="http://twitter.com/PeterTelford/statuses/1520898089460146184" TargetMode="External"/><Relationship Id="rId5285" Type="http://schemas.openxmlformats.org/officeDocument/2006/relationships/hyperlink" Target="http://pbs.twimg.com/profile_images/947452668598943746/PJBQziYD_normal.jpg" TargetMode="External"/><Relationship Id="rId5282" Type="http://schemas.openxmlformats.org/officeDocument/2006/relationships/hyperlink" Target="http://twitter.com/OurDawnie/statuses/1520898142488731657" TargetMode="External"/><Relationship Id="rId5283" Type="http://schemas.openxmlformats.org/officeDocument/2006/relationships/hyperlink" Target="http://pbs.twimg.com/profile_images/1309921887703756805/VorvSlri_normal.jpg" TargetMode="External"/><Relationship Id="rId5288" Type="http://schemas.openxmlformats.org/officeDocument/2006/relationships/hyperlink" Target="http://twitter.com/JohnWilkinspsyc/statuses/1520898034690838528" TargetMode="External"/><Relationship Id="rId5289" Type="http://schemas.openxmlformats.org/officeDocument/2006/relationships/hyperlink" Target="http://pbs.twimg.com/profile_images/1228585059923283968/Q_zoPp4H_normal.jpg" TargetMode="External"/><Relationship Id="rId5286" Type="http://schemas.openxmlformats.org/officeDocument/2006/relationships/hyperlink" Target="http://twitter.com/colinjhamilton/statuses/1520898036217565184" TargetMode="External"/><Relationship Id="rId5287" Type="http://schemas.openxmlformats.org/officeDocument/2006/relationships/hyperlink" Target="http://pbs.twimg.com/profile_images/767076862464057344/Kji4pGTa_normal.jpg" TargetMode="External"/><Relationship Id="rId1710" Type="http://schemas.openxmlformats.org/officeDocument/2006/relationships/hyperlink" Target="http://twitter.com/petekitching/statuses/1521042240784769025" TargetMode="External"/><Relationship Id="rId1711" Type="http://schemas.openxmlformats.org/officeDocument/2006/relationships/hyperlink" Target="http://pbs.twimg.com/profile_images/1132704589923459072/PuMtfyhs_normal.jpg" TargetMode="External"/><Relationship Id="rId1712" Type="http://schemas.openxmlformats.org/officeDocument/2006/relationships/hyperlink" Target="http://twitter.com/CPFlo/statuses/1521042190855716864" TargetMode="External"/><Relationship Id="rId1713" Type="http://schemas.openxmlformats.org/officeDocument/2006/relationships/hyperlink" Target="http://pbs.twimg.com/profile_images/1852408909/004__2__normal.jpg" TargetMode="External"/><Relationship Id="rId1714" Type="http://schemas.openxmlformats.org/officeDocument/2006/relationships/hyperlink" Target="http://twitter.com/jv_uk2011/statuses/1521042172975403008" TargetMode="External"/><Relationship Id="rId1715" Type="http://schemas.openxmlformats.org/officeDocument/2006/relationships/hyperlink" Target="http://pbs.twimg.com/profile_images/378800000342163546/9a3719eca852fce1624123856531a242_normal.jpeg" TargetMode="External"/><Relationship Id="rId1716" Type="http://schemas.openxmlformats.org/officeDocument/2006/relationships/hyperlink" Target="http://twitter.com/July_Sv/statuses/1521042161478901763" TargetMode="External"/><Relationship Id="rId1717" Type="http://schemas.openxmlformats.org/officeDocument/2006/relationships/hyperlink" Target="http://pbs.twimg.com/profile_images/1493191221556260864/7sA0iD7u_normal.jpg" TargetMode="External"/><Relationship Id="rId1718" Type="http://schemas.openxmlformats.org/officeDocument/2006/relationships/hyperlink" Target="http://twitter.com/ivoesdelbe/statuses/1521042133020516354" TargetMode="External"/><Relationship Id="rId1719" Type="http://schemas.openxmlformats.org/officeDocument/2006/relationships/hyperlink" Target="http://pbs.twimg.com/profile_images/1472674229455839235/JSL3P8kE_normal.png" TargetMode="External"/><Relationship Id="rId1700" Type="http://schemas.openxmlformats.org/officeDocument/2006/relationships/hyperlink" Target="http://twitter.com/OneMoreGoodMan/statuses/1521042368262193152" TargetMode="External"/><Relationship Id="rId1701" Type="http://schemas.openxmlformats.org/officeDocument/2006/relationships/hyperlink" Target="http://pbs.twimg.com/profile_images/524840004653035520/8FXjRgZ5_normal.jpeg" TargetMode="External"/><Relationship Id="rId1702" Type="http://schemas.openxmlformats.org/officeDocument/2006/relationships/hyperlink" Target="http://twitter.com/Will_Butts/statuses/1521042312561893377" TargetMode="External"/><Relationship Id="rId1703" Type="http://schemas.openxmlformats.org/officeDocument/2006/relationships/hyperlink" Target="http://pbs.twimg.com/profile_images/1351274974531743748/J4cmRjEG_normal.jpg" TargetMode="External"/><Relationship Id="rId1704" Type="http://schemas.openxmlformats.org/officeDocument/2006/relationships/hyperlink" Target="http://twitter.com/Ross01735504Liz/statuses/1521042307709083648" TargetMode="External"/><Relationship Id="rId1705" Type="http://schemas.openxmlformats.org/officeDocument/2006/relationships/hyperlink" Target="http://pbs.twimg.com/profile_images/3460735089/36111657992173eeec98454abe7f84bd_normal.jpeg" TargetMode="External"/><Relationship Id="rId1706" Type="http://schemas.openxmlformats.org/officeDocument/2006/relationships/hyperlink" Target="http://twitter.com/FrancisMArtUK/statuses/1521042307314769921" TargetMode="External"/><Relationship Id="rId1707" Type="http://schemas.openxmlformats.org/officeDocument/2006/relationships/hyperlink" Target="http://pbs.twimg.com/profile_images/1191787573582204929/Zek51rnQ_normal.jpg" TargetMode="External"/><Relationship Id="rId1708" Type="http://schemas.openxmlformats.org/officeDocument/2006/relationships/hyperlink" Target="http://twitter.com/DmitriS40926112/statuses/1521042255016042497" TargetMode="External"/><Relationship Id="rId1709" Type="http://schemas.openxmlformats.org/officeDocument/2006/relationships/hyperlink" Target="http://pbs.twimg.com/profile_images/1362422953409994754/fJtPH-eB_normal.jpg" TargetMode="External"/><Relationship Id="rId40" Type="http://schemas.openxmlformats.org/officeDocument/2006/relationships/hyperlink" Target="http://twitter.com/karlmfisher/statuses/1521071130538299393" TargetMode="External"/><Relationship Id="rId3513" Type="http://schemas.openxmlformats.org/officeDocument/2006/relationships/hyperlink" Target="http://pbs.twimg.com/profile_images/2532412390/57e71461-dc08-4b73-ae9b-e11a2ff4b625_normal.png" TargetMode="External"/><Relationship Id="rId4844" Type="http://schemas.openxmlformats.org/officeDocument/2006/relationships/hyperlink" Target="http://twitter.com/Fionna6669/statuses/1520918992361299970" TargetMode="External"/><Relationship Id="rId3512" Type="http://schemas.openxmlformats.org/officeDocument/2006/relationships/hyperlink" Target="http://twitter.com/Picss3o/statuses/1521010861292277761" TargetMode="External"/><Relationship Id="rId4843" Type="http://schemas.openxmlformats.org/officeDocument/2006/relationships/hyperlink" Target="http://pbs.twimg.com/profile_images/1129116804511617024/W0KV61dM_normal.png" TargetMode="External"/><Relationship Id="rId42" Type="http://schemas.openxmlformats.org/officeDocument/2006/relationships/hyperlink" Target="http://twitter.com/KenSterrett/statuses/1521071074913492992" TargetMode="External"/><Relationship Id="rId3515" Type="http://schemas.openxmlformats.org/officeDocument/2006/relationships/hyperlink" Target="http://pbs.twimg.com/profile_images/1034869894746124288/1Y35hkp0_normal.jpg" TargetMode="External"/><Relationship Id="rId4846" Type="http://schemas.openxmlformats.org/officeDocument/2006/relationships/hyperlink" Target="http://twitter.com/CZEdwards/statuses/1520918795682000897" TargetMode="External"/><Relationship Id="rId41" Type="http://schemas.openxmlformats.org/officeDocument/2006/relationships/hyperlink" Target="http://pbs.twimg.com/profile_images/378800000519504211/fbd85c891e19265fd3d4f6a929e2aa67_normal.jpeg" TargetMode="External"/><Relationship Id="rId3514" Type="http://schemas.openxmlformats.org/officeDocument/2006/relationships/hyperlink" Target="http://twitter.com/alexcburrows/statuses/1521010843042910210" TargetMode="External"/><Relationship Id="rId4845" Type="http://schemas.openxmlformats.org/officeDocument/2006/relationships/hyperlink" Target="http://pbs.twimg.com/profile_images/1056336855430508546/vZ7nN6CK_normal.jpg" TargetMode="External"/><Relationship Id="rId44" Type="http://schemas.openxmlformats.org/officeDocument/2006/relationships/hyperlink" Target="http://twitter.com/slashmcglasham/statuses/1521071033519902720" TargetMode="External"/><Relationship Id="rId3517" Type="http://schemas.openxmlformats.org/officeDocument/2006/relationships/hyperlink" Target="http://pbs.twimg.com/profile_images/1750219915/image_normal.jpg" TargetMode="External"/><Relationship Id="rId4848" Type="http://schemas.openxmlformats.org/officeDocument/2006/relationships/hyperlink" Target="http://twitter.com/MuffitOfTea/statuses/1520918775415123974" TargetMode="External"/><Relationship Id="rId43" Type="http://schemas.openxmlformats.org/officeDocument/2006/relationships/hyperlink" Target="http://pbs.twimg.com/profile_images/1191988782393892864/pswUxk_o_normal.jpg" TargetMode="External"/><Relationship Id="rId3516" Type="http://schemas.openxmlformats.org/officeDocument/2006/relationships/hyperlink" Target="http://twitter.com/Brown666W/statuses/1521010819592507393" TargetMode="External"/><Relationship Id="rId4847" Type="http://schemas.openxmlformats.org/officeDocument/2006/relationships/hyperlink" Target="http://pbs.twimg.com/profile_images/1314972605607219202/DzQeSdip_normal.jpg" TargetMode="External"/><Relationship Id="rId46" Type="http://schemas.openxmlformats.org/officeDocument/2006/relationships/hyperlink" Target="http://twitter.com/_andrewsmall/statuses/1521070730447888384" TargetMode="External"/><Relationship Id="rId3519" Type="http://schemas.openxmlformats.org/officeDocument/2006/relationships/hyperlink" Target="http://pbs.twimg.com/profile_images/1344603689252761601/RIHzYB1f_normal.jpg" TargetMode="External"/><Relationship Id="rId45" Type="http://schemas.openxmlformats.org/officeDocument/2006/relationships/hyperlink" Target="http://pbs.twimg.com/profile_images/917405855754149890/SOjrnbaF_normal.jpg" TargetMode="External"/><Relationship Id="rId3518" Type="http://schemas.openxmlformats.org/officeDocument/2006/relationships/hyperlink" Target="http://twitter.com/RichardCMB/statuses/1521010799006953472" TargetMode="External"/><Relationship Id="rId4849" Type="http://schemas.openxmlformats.org/officeDocument/2006/relationships/hyperlink" Target="http://pbs.twimg.com/profile_images/1499802573221425152/g3ruYekN_normal.png" TargetMode="External"/><Relationship Id="rId48" Type="http://schemas.openxmlformats.org/officeDocument/2006/relationships/hyperlink" Target="http://twitter.com/peterskinley1/statuses/1521070682339164160" TargetMode="External"/><Relationship Id="rId47" Type="http://schemas.openxmlformats.org/officeDocument/2006/relationships/hyperlink" Target="http://pbs.twimg.com/profile_images/737893006221709312/Ka4lntyx_normal.jpg" TargetMode="External"/><Relationship Id="rId49" Type="http://schemas.openxmlformats.org/officeDocument/2006/relationships/hyperlink" Target="http://pbs.twimg.com/profile_images/1028728448032890881/Jgzftt57_normal.jpg" TargetMode="External"/><Relationship Id="rId4840" Type="http://schemas.openxmlformats.org/officeDocument/2006/relationships/hyperlink" Target="http://twitter.com/rachelm77632546/statuses/1520919003295891457" TargetMode="External"/><Relationship Id="rId3511" Type="http://schemas.openxmlformats.org/officeDocument/2006/relationships/hyperlink" Target="http://pbs.twimg.com/profile_images/1344603689252761601/RIHzYB1f_normal.jpg" TargetMode="External"/><Relationship Id="rId4842" Type="http://schemas.openxmlformats.org/officeDocument/2006/relationships/hyperlink" Target="http://twitter.com/lee_brookfield/statuses/1520918998279413760" TargetMode="External"/><Relationship Id="rId3510" Type="http://schemas.openxmlformats.org/officeDocument/2006/relationships/hyperlink" Target="http://twitter.com/carolgately/statuses/1521010891281641478" TargetMode="External"/><Relationship Id="rId4841" Type="http://schemas.openxmlformats.org/officeDocument/2006/relationships/hyperlink" Target="http://pbs.twimg.com/profile_images/1501286229312258048/q-X96zkn_normal.jpg" TargetMode="External"/><Relationship Id="rId3502" Type="http://schemas.openxmlformats.org/officeDocument/2006/relationships/hyperlink" Target="http://twitter.com/gallop_gill/statuses/1521011153488465920" TargetMode="External"/><Relationship Id="rId4833" Type="http://schemas.openxmlformats.org/officeDocument/2006/relationships/hyperlink" Target="http://pbs.twimg.com/profile_images/967604347323473921/SCG5UJa7_normal.jpg" TargetMode="External"/><Relationship Id="rId3501" Type="http://schemas.openxmlformats.org/officeDocument/2006/relationships/hyperlink" Target="http://pbs.twimg.com/profile_images/1505442598823108609/wd7ho0_4_normal.jpg" TargetMode="External"/><Relationship Id="rId4832" Type="http://schemas.openxmlformats.org/officeDocument/2006/relationships/hyperlink" Target="http://twitter.com/CrazyBengieFB_/statuses/1520920175788314625" TargetMode="External"/><Relationship Id="rId31" Type="http://schemas.openxmlformats.org/officeDocument/2006/relationships/hyperlink" Target="http://pbs.twimg.com/profile_images/1190752004454440960/7T3HZfPI_normal.jpg" TargetMode="External"/><Relationship Id="rId3504" Type="http://schemas.openxmlformats.org/officeDocument/2006/relationships/hyperlink" Target="http://twitter.com/dazf777/statuses/1521011009338712064" TargetMode="External"/><Relationship Id="rId4835" Type="http://schemas.openxmlformats.org/officeDocument/2006/relationships/hyperlink" Target="http://pbs.twimg.com/profile_images/1240096734510014465/jN7lI0Gw_normal.jpg" TargetMode="External"/><Relationship Id="rId30" Type="http://schemas.openxmlformats.org/officeDocument/2006/relationships/hyperlink" Target="http://twitter.com/skoris/statuses/1521071714884591616" TargetMode="External"/><Relationship Id="rId3503" Type="http://schemas.openxmlformats.org/officeDocument/2006/relationships/hyperlink" Target="http://abs.twimg.com/sticky/default_profile_images/default_profile_normal.png" TargetMode="External"/><Relationship Id="rId4834" Type="http://schemas.openxmlformats.org/officeDocument/2006/relationships/hyperlink" Target="http://twitter.com/OverUnderClover/statuses/1520919754768363520" TargetMode="External"/><Relationship Id="rId33" Type="http://schemas.openxmlformats.org/officeDocument/2006/relationships/hyperlink" Target="http://pbs.twimg.com/profile_images/1488246975610904577/uytaABZU_normal.jpg" TargetMode="External"/><Relationship Id="rId3506" Type="http://schemas.openxmlformats.org/officeDocument/2006/relationships/hyperlink" Target="http://twitter.com/bly_mon/statuses/1521010995212214272" TargetMode="External"/><Relationship Id="rId4837" Type="http://schemas.openxmlformats.org/officeDocument/2006/relationships/hyperlink" Target="http://pbs.twimg.com/profile_images/2633411958/610acf21fae95a5c5bdb96a86d3234e4_normal.jpeg" TargetMode="External"/><Relationship Id="rId32" Type="http://schemas.openxmlformats.org/officeDocument/2006/relationships/hyperlink" Target="http://twitter.com/DeirdreDowney/statuses/1521071373044563969" TargetMode="External"/><Relationship Id="rId3505" Type="http://schemas.openxmlformats.org/officeDocument/2006/relationships/hyperlink" Target="http://abs.twimg.com/sticky/default_profile_images/default_profile_normal.png" TargetMode="External"/><Relationship Id="rId4836" Type="http://schemas.openxmlformats.org/officeDocument/2006/relationships/hyperlink" Target="http://twitter.com/mry_stcy/statuses/1520919512572469248" TargetMode="External"/><Relationship Id="rId35" Type="http://schemas.openxmlformats.org/officeDocument/2006/relationships/hyperlink" Target="http://pbs.twimg.com/profile_images/1347099929165049858/H80ux06N_normal.jpg" TargetMode="External"/><Relationship Id="rId3508" Type="http://schemas.openxmlformats.org/officeDocument/2006/relationships/hyperlink" Target="http://twitter.com/OScaramucci/statuses/1521010992083263489" TargetMode="External"/><Relationship Id="rId4839" Type="http://schemas.openxmlformats.org/officeDocument/2006/relationships/hyperlink" Target="http://pbs.twimg.com/profile_images/1113879048206397443/E6b9-kkz_normal.jpg" TargetMode="External"/><Relationship Id="rId34" Type="http://schemas.openxmlformats.org/officeDocument/2006/relationships/hyperlink" Target="http://twitter.com/Charlie__Simon/statuses/1521071279218044928" TargetMode="External"/><Relationship Id="rId3507" Type="http://schemas.openxmlformats.org/officeDocument/2006/relationships/hyperlink" Target="http://pbs.twimg.com/profile_images/378800000505572670/9e3e66ea9cef2018985cba66fd999154_normal.jpeg" TargetMode="External"/><Relationship Id="rId4838" Type="http://schemas.openxmlformats.org/officeDocument/2006/relationships/hyperlink" Target="http://twitter.com/MarkDSimmons/statuses/1520919507283365891" TargetMode="External"/><Relationship Id="rId3509" Type="http://schemas.openxmlformats.org/officeDocument/2006/relationships/hyperlink" Target="http://pbs.twimg.com/profile_images/749473283259629568/I8dmH63W_normal.jpg" TargetMode="External"/><Relationship Id="rId37" Type="http://schemas.openxmlformats.org/officeDocument/2006/relationships/hyperlink" Target="http://pbs.twimg.com/profile_images/761157295925448704/2fQvY1Pv_normal.jpg" TargetMode="External"/><Relationship Id="rId36" Type="http://schemas.openxmlformats.org/officeDocument/2006/relationships/hyperlink" Target="http://twitter.com/bedfordyid/statuses/1521071212151119879" TargetMode="External"/><Relationship Id="rId39" Type="http://schemas.openxmlformats.org/officeDocument/2006/relationships/hyperlink" Target="http://pbs.twimg.com/profile_images/3434319250/b6605a8d7158e647ec0733cf799a66f8_normal.jpeg" TargetMode="External"/><Relationship Id="rId38" Type="http://schemas.openxmlformats.org/officeDocument/2006/relationships/hyperlink" Target="http://twitter.com/paul_trembath/statuses/1521071209726758919" TargetMode="External"/><Relationship Id="rId3500" Type="http://schemas.openxmlformats.org/officeDocument/2006/relationships/hyperlink" Target="http://twitter.com/OScaramucci/statuses/1521011173285584896" TargetMode="External"/><Relationship Id="rId4831" Type="http://schemas.openxmlformats.org/officeDocument/2006/relationships/hyperlink" Target="http://pbs.twimg.com/profile_images/1217206536/CrazyBengieFB_logo_sn_0005_02_b12242010_2s0_normal.JPG" TargetMode="External"/><Relationship Id="rId4830" Type="http://schemas.openxmlformats.org/officeDocument/2006/relationships/hyperlink" Target="http://twitter.com/Usernamesake/statuses/1520920279232487424" TargetMode="External"/><Relationship Id="rId2203" Type="http://schemas.openxmlformats.org/officeDocument/2006/relationships/hyperlink" Target="http://pbs.twimg.com/profile_images/1123308255462268931/HHyZkidV_normal.jpg" TargetMode="External"/><Relationship Id="rId3535" Type="http://schemas.openxmlformats.org/officeDocument/2006/relationships/hyperlink" Target="http://pbs.twimg.com/profile_images/1497495015299420163/aPo4nM0R_normal.jpg" TargetMode="External"/><Relationship Id="rId4866" Type="http://schemas.openxmlformats.org/officeDocument/2006/relationships/hyperlink" Target="http://twitter.com/Alheri/statuses/1520916791316430851" TargetMode="External"/><Relationship Id="rId2204" Type="http://schemas.openxmlformats.org/officeDocument/2006/relationships/hyperlink" Target="http://twitter.com/judecook_/statuses/1521033988235796481" TargetMode="External"/><Relationship Id="rId3534" Type="http://schemas.openxmlformats.org/officeDocument/2006/relationships/hyperlink" Target="http://twitter.com/GigiPrim21/statuses/1521010665187651584" TargetMode="External"/><Relationship Id="rId4865" Type="http://schemas.openxmlformats.org/officeDocument/2006/relationships/hyperlink" Target="http://pbs.twimg.com/profile_images/1302002255147732992/yiwApCed_normal.jpg" TargetMode="External"/><Relationship Id="rId20" Type="http://schemas.openxmlformats.org/officeDocument/2006/relationships/hyperlink" Target="http://twitter.com/Benjamin_Budd/statuses/1521072775255015425" TargetMode="External"/><Relationship Id="rId2205" Type="http://schemas.openxmlformats.org/officeDocument/2006/relationships/hyperlink" Target="http://pbs.twimg.com/profile_images/1661078970/image_normal.jpg" TargetMode="External"/><Relationship Id="rId3537" Type="http://schemas.openxmlformats.org/officeDocument/2006/relationships/hyperlink" Target="http://pbs.twimg.com/profile_images/815514739208056832/qSa6SPSg_normal.jpg" TargetMode="External"/><Relationship Id="rId4868" Type="http://schemas.openxmlformats.org/officeDocument/2006/relationships/hyperlink" Target="http://twitter.com/cllr_nardelli/statuses/1520916775440982017" TargetMode="External"/><Relationship Id="rId2206" Type="http://schemas.openxmlformats.org/officeDocument/2006/relationships/hyperlink" Target="http://twitter.com/QuinlanQuinlan/statuses/1521033964747640832" TargetMode="External"/><Relationship Id="rId3536" Type="http://schemas.openxmlformats.org/officeDocument/2006/relationships/hyperlink" Target="http://twitter.com/RAMJAC3/statuses/1521010659474948098" TargetMode="External"/><Relationship Id="rId4867" Type="http://schemas.openxmlformats.org/officeDocument/2006/relationships/hyperlink" Target="http://pbs.twimg.com/profile_images/587036474832453632/FO7bvn2u_normal.png" TargetMode="External"/><Relationship Id="rId22" Type="http://schemas.openxmlformats.org/officeDocument/2006/relationships/hyperlink" Target="http://twitter.com/pjd23272/statuses/1521072445230354432" TargetMode="External"/><Relationship Id="rId2207" Type="http://schemas.openxmlformats.org/officeDocument/2006/relationships/hyperlink" Target="http://pbs.twimg.com/profile_images/1477591871635525633/JtzfsoJH_normal.jpg" TargetMode="External"/><Relationship Id="rId3539" Type="http://schemas.openxmlformats.org/officeDocument/2006/relationships/hyperlink" Target="http://pbs.twimg.com/profile_images/1211968168115212288/Lb1cMhwy_normal.jpg" TargetMode="External"/><Relationship Id="rId21" Type="http://schemas.openxmlformats.org/officeDocument/2006/relationships/hyperlink" Target="http://pbs.twimg.com/profile_images/1052065398852468736/BhxGbJXq_normal.jpg" TargetMode="External"/><Relationship Id="rId2208" Type="http://schemas.openxmlformats.org/officeDocument/2006/relationships/hyperlink" Target="http://twitter.com/hitchfan1/statuses/1521033810112135169" TargetMode="External"/><Relationship Id="rId3538" Type="http://schemas.openxmlformats.org/officeDocument/2006/relationships/hyperlink" Target="http://twitter.com/58paulb/statuses/1521010546530734081" TargetMode="External"/><Relationship Id="rId4869" Type="http://schemas.openxmlformats.org/officeDocument/2006/relationships/hyperlink" Target="http://pbs.twimg.com/profile_images/587036474832453632/FO7bvn2u_normal.png" TargetMode="External"/><Relationship Id="rId24" Type="http://schemas.openxmlformats.org/officeDocument/2006/relationships/hyperlink" Target="http://twitter.com/SomersetDutch/statuses/1521072304796614657" TargetMode="External"/><Relationship Id="rId2209" Type="http://schemas.openxmlformats.org/officeDocument/2006/relationships/hyperlink" Target="http://pbs.twimg.com/profile_images/313674532/DSC555_normal.jpg" TargetMode="External"/><Relationship Id="rId23" Type="http://schemas.openxmlformats.org/officeDocument/2006/relationships/hyperlink" Target="http://pbs.twimg.com/profile_images/2360373852/ucosqoco9bnlfn2c9p94_normal.png" TargetMode="External"/><Relationship Id="rId26" Type="http://schemas.openxmlformats.org/officeDocument/2006/relationships/hyperlink" Target="http://twitter.com/SussexMark/statuses/1521072169140244480" TargetMode="External"/><Relationship Id="rId25" Type="http://schemas.openxmlformats.org/officeDocument/2006/relationships/hyperlink" Target="http://pbs.twimg.com/profile_images/1504521986692861963/XEFsq73-_normal.jpg" TargetMode="External"/><Relationship Id="rId28" Type="http://schemas.openxmlformats.org/officeDocument/2006/relationships/hyperlink" Target="http://twitter.com/john79moran/statuses/1521071814675468289" TargetMode="External"/><Relationship Id="rId4860" Type="http://schemas.openxmlformats.org/officeDocument/2006/relationships/hyperlink" Target="http://twitter.com/chrismilne69/statuses/1520917348672315393" TargetMode="External"/><Relationship Id="rId27" Type="http://schemas.openxmlformats.org/officeDocument/2006/relationships/hyperlink" Target="http://pbs.twimg.com/profile_images/1193921556327608325/o8O6b0Zg_normal.jpg" TargetMode="External"/><Relationship Id="rId3531" Type="http://schemas.openxmlformats.org/officeDocument/2006/relationships/hyperlink" Target="http://pbs.twimg.com/profile_images/1268268959968702472/qM1fvngK_normal.jpg" TargetMode="External"/><Relationship Id="rId4862" Type="http://schemas.openxmlformats.org/officeDocument/2006/relationships/hyperlink" Target="http://twitter.com/KevinAn48751902/statuses/1520917259367157760" TargetMode="External"/><Relationship Id="rId29" Type="http://schemas.openxmlformats.org/officeDocument/2006/relationships/hyperlink" Target="http://pbs.twimg.com/profile_images/444772034/honeymonster_normal.jpg" TargetMode="External"/><Relationship Id="rId2200" Type="http://schemas.openxmlformats.org/officeDocument/2006/relationships/hyperlink" Target="http://twitter.com/suzeb57/statuses/1521034057668255745" TargetMode="External"/><Relationship Id="rId3530" Type="http://schemas.openxmlformats.org/officeDocument/2006/relationships/hyperlink" Target="http://twitter.com/botanic_my/statuses/1521010705629073413" TargetMode="External"/><Relationship Id="rId4861" Type="http://schemas.openxmlformats.org/officeDocument/2006/relationships/hyperlink" Target="http://pbs.twimg.com/profile_images/622702322951540736/fAKFwNi6_normal.jpg" TargetMode="External"/><Relationship Id="rId2201" Type="http://schemas.openxmlformats.org/officeDocument/2006/relationships/hyperlink" Target="http://pbs.twimg.com/profile_images/488292522146267137/zUmOwiiC_normal.jpeg" TargetMode="External"/><Relationship Id="rId3533" Type="http://schemas.openxmlformats.org/officeDocument/2006/relationships/hyperlink" Target="http://pbs.twimg.com/profile_images/1380591168275296260/pXX8XFk2_normal.jpg" TargetMode="External"/><Relationship Id="rId4864" Type="http://schemas.openxmlformats.org/officeDocument/2006/relationships/hyperlink" Target="http://twitter.com/englishfil/statuses/1520917221836570624" TargetMode="External"/><Relationship Id="rId2202" Type="http://schemas.openxmlformats.org/officeDocument/2006/relationships/hyperlink" Target="http://twitter.com/sbh214/statuses/1521034044921847809" TargetMode="External"/><Relationship Id="rId3532" Type="http://schemas.openxmlformats.org/officeDocument/2006/relationships/hyperlink" Target="http://twitter.com/alba6363/statuses/1521010694631608324" TargetMode="External"/><Relationship Id="rId4863" Type="http://schemas.openxmlformats.org/officeDocument/2006/relationships/hyperlink" Target="http://pbs.twimg.com/profile_images/378800000444814725/a8526042847fcc20c88d5e1b77ed85a6_normal.jpeg" TargetMode="External"/><Relationship Id="rId3524" Type="http://schemas.openxmlformats.org/officeDocument/2006/relationships/hyperlink" Target="http://twitter.com/KT7015/statuses/1521010754299834368" TargetMode="External"/><Relationship Id="rId4855" Type="http://schemas.openxmlformats.org/officeDocument/2006/relationships/hyperlink" Target="http://pbs.twimg.com/profile_images/1296812023578275840/u1EarURl_normal.jpg" TargetMode="External"/><Relationship Id="rId3523" Type="http://schemas.openxmlformats.org/officeDocument/2006/relationships/hyperlink" Target="http://pbs.twimg.com/profile_images/1403584994338091008/_sRpnA1z_normal.jpg" TargetMode="External"/><Relationship Id="rId4854" Type="http://schemas.openxmlformats.org/officeDocument/2006/relationships/hyperlink" Target="http://twitter.com/davidbo61210816/statuses/1520918027809796096" TargetMode="External"/><Relationship Id="rId3526" Type="http://schemas.openxmlformats.org/officeDocument/2006/relationships/hyperlink" Target="http://twitter.com/Picss3o/statuses/1521010733978472448" TargetMode="External"/><Relationship Id="rId4857" Type="http://schemas.openxmlformats.org/officeDocument/2006/relationships/hyperlink" Target="http://pbs.twimg.com/profile_images/1378494632812765192/S_G7B5cm_normal.jpg" TargetMode="External"/><Relationship Id="rId3525" Type="http://schemas.openxmlformats.org/officeDocument/2006/relationships/hyperlink" Target="http://pbs.twimg.com/profile_images/1344603689252761601/RIHzYB1f_normal.jpg" TargetMode="External"/><Relationship Id="rId4856" Type="http://schemas.openxmlformats.org/officeDocument/2006/relationships/hyperlink" Target="http://twitter.com/Helenkalliope/statuses/1520917823643688960" TargetMode="External"/><Relationship Id="rId11" Type="http://schemas.openxmlformats.org/officeDocument/2006/relationships/hyperlink" Target="http://pbs.twimg.com/profile_images/1492044797883858961/eaHlGYed_normal.jpg" TargetMode="External"/><Relationship Id="rId3528" Type="http://schemas.openxmlformats.org/officeDocument/2006/relationships/hyperlink" Target="http://twitter.com/GigiPrim21/statuses/1521010712952385536" TargetMode="External"/><Relationship Id="rId4859" Type="http://schemas.openxmlformats.org/officeDocument/2006/relationships/hyperlink" Target="http://pbs.twimg.com/profile_images/1124351199669518336/jNgMdZ78_normal.jpg" TargetMode="External"/><Relationship Id="rId10" Type="http://schemas.openxmlformats.org/officeDocument/2006/relationships/hyperlink" Target="http://twitter.com/RejoinersRus/statuses/1521073223521161217" TargetMode="External"/><Relationship Id="rId3527" Type="http://schemas.openxmlformats.org/officeDocument/2006/relationships/hyperlink" Target="http://pbs.twimg.com/profile_images/1380591168275296260/pXX8XFk2_normal.jpg" TargetMode="External"/><Relationship Id="rId4858" Type="http://schemas.openxmlformats.org/officeDocument/2006/relationships/hyperlink" Target="http://twitter.com/realmumma2/statuses/1520917586900303872" TargetMode="External"/><Relationship Id="rId13" Type="http://schemas.openxmlformats.org/officeDocument/2006/relationships/hyperlink" Target="http://pbs.twimg.com/profile_images/1200235796889923584/CKefcdNa_normal.jpg" TargetMode="External"/><Relationship Id="rId12" Type="http://schemas.openxmlformats.org/officeDocument/2006/relationships/hyperlink" Target="http://twitter.com/JB_CFFire/statuses/1521073043040346114" TargetMode="External"/><Relationship Id="rId3529" Type="http://schemas.openxmlformats.org/officeDocument/2006/relationships/hyperlink" Target="http://pbs.twimg.com/profile_images/1188048406561918981/MHEPajYL_normal.jpg" TargetMode="External"/><Relationship Id="rId15" Type="http://schemas.openxmlformats.org/officeDocument/2006/relationships/hyperlink" Target="http://pbs.twimg.com/profile_images/1337224376308166657/z3U16epW_normal.jpg" TargetMode="External"/><Relationship Id="rId14" Type="http://schemas.openxmlformats.org/officeDocument/2006/relationships/hyperlink" Target="http://twitter.com/sineadcflanagan/statuses/1521073004867903489" TargetMode="External"/><Relationship Id="rId17" Type="http://schemas.openxmlformats.org/officeDocument/2006/relationships/hyperlink" Target="http://pbs.twimg.com/profile_images/1435199660763848707/ZopeLzSl_normal.jpg" TargetMode="External"/><Relationship Id="rId16" Type="http://schemas.openxmlformats.org/officeDocument/2006/relationships/hyperlink" Target="http://twitter.com/sarahma50398302/statuses/1521073002875604996" TargetMode="External"/><Relationship Id="rId19" Type="http://schemas.openxmlformats.org/officeDocument/2006/relationships/hyperlink" Target="http://pbs.twimg.com/profile_images/3137851149/2a5357ffdbb9f64de220f7c75d457156_normal.jpeg" TargetMode="External"/><Relationship Id="rId3520" Type="http://schemas.openxmlformats.org/officeDocument/2006/relationships/hyperlink" Target="http://twitter.com/Picss3o/statuses/1521010792719699969" TargetMode="External"/><Relationship Id="rId4851" Type="http://schemas.openxmlformats.org/officeDocument/2006/relationships/hyperlink" Target="http://pbs.twimg.com/profile_images/1437431495787008001/P3yzzA4Y_normal.jpg" TargetMode="External"/><Relationship Id="rId18" Type="http://schemas.openxmlformats.org/officeDocument/2006/relationships/hyperlink" Target="http://twitter.com/andshoal/statuses/1521072975746932739" TargetMode="External"/><Relationship Id="rId4850" Type="http://schemas.openxmlformats.org/officeDocument/2006/relationships/hyperlink" Target="http://twitter.com/TheStephenRalph/statuses/1520918651506937859" TargetMode="External"/><Relationship Id="rId3522" Type="http://schemas.openxmlformats.org/officeDocument/2006/relationships/hyperlink" Target="http://twitter.com/RichardWitts/statuses/1521010780635901952" TargetMode="External"/><Relationship Id="rId4853" Type="http://schemas.openxmlformats.org/officeDocument/2006/relationships/hyperlink" Target="http://pbs.twimg.com/profile_images/1494994495796088833/iTuFHUn-_normal.jpg" TargetMode="External"/><Relationship Id="rId3521" Type="http://schemas.openxmlformats.org/officeDocument/2006/relationships/hyperlink" Target="http://pbs.twimg.com/profile_images/1267504057402392578/PDykHJTM_normal.jpg" TargetMode="External"/><Relationship Id="rId4852" Type="http://schemas.openxmlformats.org/officeDocument/2006/relationships/hyperlink" Target="http://twitter.com/StunnedVoter/statuses/1520918169698852866" TargetMode="External"/><Relationship Id="rId84" Type="http://schemas.openxmlformats.org/officeDocument/2006/relationships/hyperlink" Target="http://twitter.com/tommy54w/statuses/1521069744308301830" TargetMode="External"/><Relationship Id="rId1774" Type="http://schemas.openxmlformats.org/officeDocument/2006/relationships/hyperlink" Target="http://twitter.com/BFforthewin/statuses/1521040860074369024" TargetMode="External"/><Relationship Id="rId4800" Type="http://schemas.openxmlformats.org/officeDocument/2006/relationships/hyperlink" Target="http://twitter.com/Patthedog5/statuses/1520921824091156480" TargetMode="External"/><Relationship Id="rId83" Type="http://schemas.openxmlformats.org/officeDocument/2006/relationships/hyperlink" Target="http://pbs.twimg.com/profile_images/1038096714559893504/oHRuelJc_normal.jpg" TargetMode="External"/><Relationship Id="rId1775" Type="http://schemas.openxmlformats.org/officeDocument/2006/relationships/hyperlink" Target="http://pbs.twimg.com/profile_images/903346033568219142/RMuXPwOa_normal.jpg" TargetMode="External"/><Relationship Id="rId86" Type="http://schemas.openxmlformats.org/officeDocument/2006/relationships/hyperlink" Target="http://twitter.com/morangles/statuses/1521069742865399808" TargetMode="External"/><Relationship Id="rId1776" Type="http://schemas.openxmlformats.org/officeDocument/2006/relationships/hyperlink" Target="http://twitter.com/maviczap/statuses/1521040796350304258" TargetMode="External"/><Relationship Id="rId4802" Type="http://schemas.openxmlformats.org/officeDocument/2006/relationships/hyperlink" Target="http://twitter.com/isthisab0t/statuses/1520921523283976192" TargetMode="External"/><Relationship Id="rId85" Type="http://schemas.openxmlformats.org/officeDocument/2006/relationships/hyperlink" Target="http://pbs.twimg.com/profile_images/1383458121813684228/OrYoezos_normal.jpg" TargetMode="External"/><Relationship Id="rId1777" Type="http://schemas.openxmlformats.org/officeDocument/2006/relationships/hyperlink" Target="http://pbs.twimg.com/profile_images/563467930458136577/sHteWM3F_normal.jpeg" TargetMode="External"/><Relationship Id="rId4801" Type="http://schemas.openxmlformats.org/officeDocument/2006/relationships/hyperlink" Target="http://pbs.twimg.com/profile_images/1225538244344938496/16id1r6l_normal.jpg" TargetMode="External"/><Relationship Id="rId88" Type="http://schemas.openxmlformats.org/officeDocument/2006/relationships/hyperlink" Target="http://twitter.com/Swingkatz/statuses/1521069741678469120" TargetMode="External"/><Relationship Id="rId1778" Type="http://schemas.openxmlformats.org/officeDocument/2006/relationships/hyperlink" Target="http://twitter.com/VerityKalcev/statuses/1521040793716330496" TargetMode="External"/><Relationship Id="rId4804" Type="http://schemas.openxmlformats.org/officeDocument/2006/relationships/hyperlink" Target="http://twitter.com/PaddyNenagh/statuses/1520921354870173696" TargetMode="External"/><Relationship Id="rId87" Type="http://schemas.openxmlformats.org/officeDocument/2006/relationships/hyperlink" Target="http://abs.twimg.com/sticky/default_profile_images/default_profile_normal.png" TargetMode="External"/><Relationship Id="rId1779" Type="http://schemas.openxmlformats.org/officeDocument/2006/relationships/hyperlink" Target="http://abs.twimg.com/sticky/default_profile_images/default_profile_normal.png" TargetMode="External"/><Relationship Id="rId4803" Type="http://schemas.openxmlformats.org/officeDocument/2006/relationships/hyperlink" Target="http://pbs.twimg.com/profile_images/746299747506368512/U7ZzVGZc_normal.jpg" TargetMode="External"/><Relationship Id="rId4806" Type="http://schemas.openxmlformats.org/officeDocument/2006/relationships/hyperlink" Target="http://twitter.com/Patthedog5/statuses/1520921321567305737" TargetMode="External"/><Relationship Id="rId89" Type="http://schemas.openxmlformats.org/officeDocument/2006/relationships/hyperlink" Target="http://abs.twimg.com/sticky/default_profile_images/default_profile_normal.png" TargetMode="External"/><Relationship Id="rId4805" Type="http://schemas.openxmlformats.org/officeDocument/2006/relationships/hyperlink" Target="http://abs.twimg.com/sticky/default_profile_images/default_profile_normal.png" TargetMode="External"/><Relationship Id="rId4808" Type="http://schemas.openxmlformats.org/officeDocument/2006/relationships/hyperlink" Target="http://twitter.com/PaddyNenagh/statuses/1520921316995760128" TargetMode="External"/><Relationship Id="rId4807" Type="http://schemas.openxmlformats.org/officeDocument/2006/relationships/hyperlink" Target="http://pbs.twimg.com/profile_images/746299747506368512/U7ZzVGZc_normal.jpg" TargetMode="External"/><Relationship Id="rId4809" Type="http://schemas.openxmlformats.org/officeDocument/2006/relationships/hyperlink" Target="http://pbs.twimg.com/profile_images/746299747506368512/U7ZzVGZc_normal.jpg" TargetMode="External"/><Relationship Id="rId80" Type="http://schemas.openxmlformats.org/officeDocument/2006/relationships/hyperlink" Target="http://twitter.com/morangles/statuses/1521069753460211712" TargetMode="External"/><Relationship Id="rId82" Type="http://schemas.openxmlformats.org/officeDocument/2006/relationships/hyperlink" Target="http://twitter.com/hic334/statuses/1521069749614039040" TargetMode="External"/><Relationship Id="rId81" Type="http://schemas.openxmlformats.org/officeDocument/2006/relationships/hyperlink" Target="http://pbs.twimg.com/profile_images/922031958057725952/Sk9Q3eCX_normal.jpg" TargetMode="External"/><Relationship Id="rId1770" Type="http://schemas.openxmlformats.org/officeDocument/2006/relationships/hyperlink" Target="http://twitter.com/robertsproggit/statuses/1521040928202539008" TargetMode="External"/><Relationship Id="rId1771" Type="http://schemas.openxmlformats.org/officeDocument/2006/relationships/hyperlink" Target="http://pbs.twimg.com/profile_images/1417602928517525506/6hWDxEku_normal.jpg" TargetMode="External"/><Relationship Id="rId1772" Type="http://schemas.openxmlformats.org/officeDocument/2006/relationships/hyperlink" Target="http://twitter.com/RainowRobinHood/statuses/1521040920195514369" TargetMode="External"/><Relationship Id="rId1773" Type="http://schemas.openxmlformats.org/officeDocument/2006/relationships/hyperlink" Target="http://pbs.twimg.com/profile_images/1013177971316846592/arna5qXa_normal.jpg" TargetMode="External"/><Relationship Id="rId73" Type="http://schemas.openxmlformats.org/officeDocument/2006/relationships/hyperlink" Target="http://pbs.twimg.com/profile_images/1539222733/Twit_normal.jpg" TargetMode="External"/><Relationship Id="rId1763" Type="http://schemas.openxmlformats.org/officeDocument/2006/relationships/hyperlink" Target="http://abs.twimg.com/sticky/default_profile_images/default_profile_normal.png" TargetMode="External"/><Relationship Id="rId72" Type="http://schemas.openxmlformats.org/officeDocument/2006/relationships/hyperlink" Target="http://twitter.com/TomGoodfellow/statuses/1521069831348719616" TargetMode="External"/><Relationship Id="rId1764" Type="http://schemas.openxmlformats.org/officeDocument/2006/relationships/hyperlink" Target="http://twitter.com/m_gallon06/statuses/1521041000415830018" TargetMode="External"/><Relationship Id="rId75" Type="http://schemas.openxmlformats.org/officeDocument/2006/relationships/hyperlink" Target="http://pbs.twimg.com/profile_images/1383458121813684228/OrYoezos_normal.jpg" TargetMode="External"/><Relationship Id="rId1765" Type="http://schemas.openxmlformats.org/officeDocument/2006/relationships/hyperlink" Target="http://pbs.twimg.com/profile_images/604077481503657985/hSvIQCV1_normal.jpg" TargetMode="External"/><Relationship Id="rId74" Type="http://schemas.openxmlformats.org/officeDocument/2006/relationships/hyperlink" Target="http://twitter.com/TomGoodfellow/statuses/1521069831348719616" TargetMode="External"/><Relationship Id="rId1766" Type="http://schemas.openxmlformats.org/officeDocument/2006/relationships/hyperlink" Target="http://twitter.com/angelah47098965/statuses/1521040964957188097" TargetMode="External"/><Relationship Id="rId77" Type="http://schemas.openxmlformats.org/officeDocument/2006/relationships/hyperlink" Target="http://pbs.twimg.com/profile_images/1416887010892165127/J5jaKNGH_normal.jpg" TargetMode="External"/><Relationship Id="rId1767" Type="http://schemas.openxmlformats.org/officeDocument/2006/relationships/hyperlink" Target="http://abs.twimg.com/sticky/default_profile_images/default_profile_normal.png" TargetMode="External"/><Relationship Id="rId76" Type="http://schemas.openxmlformats.org/officeDocument/2006/relationships/hyperlink" Target="http://twitter.com/morangles/statuses/1521069767620182018" TargetMode="External"/><Relationship Id="rId1768" Type="http://schemas.openxmlformats.org/officeDocument/2006/relationships/hyperlink" Target="http://twitter.com/avocet41/statuses/1521040959664017410" TargetMode="External"/><Relationship Id="rId79" Type="http://schemas.openxmlformats.org/officeDocument/2006/relationships/hyperlink" Target="http://pbs.twimg.com/profile_images/1383458121813684228/OrYoezos_normal.jpg" TargetMode="External"/><Relationship Id="rId1769" Type="http://schemas.openxmlformats.org/officeDocument/2006/relationships/hyperlink" Target="http://pbs.twimg.com/profile_images/1497879857082028032/VYSYjXCY_normal.jpg" TargetMode="External"/><Relationship Id="rId78" Type="http://schemas.openxmlformats.org/officeDocument/2006/relationships/hyperlink" Target="http://twitter.com/BrexitPhobe/statuses/1521069759475097601" TargetMode="External"/><Relationship Id="rId71" Type="http://schemas.openxmlformats.org/officeDocument/2006/relationships/hyperlink" Target="http://pbs.twimg.com/profile_images/1539222733/Twit_normal.jpg" TargetMode="External"/><Relationship Id="rId70" Type="http://schemas.openxmlformats.org/officeDocument/2006/relationships/hyperlink" Target="http://twitter.com/BrexitPhobe/statuses/1521069907638640642" TargetMode="External"/><Relationship Id="rId1760" Type="http://schemas.openxmlformats.org/officeDocument/2006/relationships/hyperlink" Target="http://twitter.com/1973GJWEcon/statuses/1521041045118717955" TargetMode="External"/><Relationship Id="rId1761" Type="http://schemas.openxmlformats.org/officeDocument/2006/relationships/hyperlink" Target="http://pbs.twimg.com/profile_images/1506980610828644354/ZQqusQeC_normal.jpg" TargetMode="External"/><Relationship Id="rId1762" Type="http://schemas.openxmlformats.org/officeDocument/2006/relationships/hyperlink" Target="http://twitter.com/Chrislegal1/statuses/1521041029700493312" TargetMode="External"/><Relationship Id="rId62" Type="http://schemas.openxmlformats.org/officeDocument/2006/relationships/hyperlink" Target="http://twitter.com/Jasondgoode/statuses/1521070264494301184" TargetMode="External"/><Relationship Id="rId1796" Type="http://schemas.openxmlformats.org/officeDocument/2006/relationships/hyperlink" Target="http://twitter.com/BettonVal/statuses/1521040503839596546" TargetMode="External"/><Relationship Id="rId4822" Type="http://schemas.openxmlformats.org/officeDocument/2006/relationships/hyperlink" Target="http://twitter.com/howell_karen/statuses/1520920471193149441" TargetMode="External"/><Relationship Id="rId61" Type="http://schemas.openxmlformats.org/officeDocument/2006/relationships/hyperlink" Target="http://pbs.twimg.com/profile_images/1231002537/image_normal.jpg" TargetMode="External"/><Relationship Id="rId1797" Type="http://schemas.openxmlformats.org/officeDocument/2006/relationships/hyperlink" Target="http://pbs.twimg.com/profile_images/1471568729674854403/chBrQOmj_normal.jpg" TargetMode="External"/><Relationship Id="rId4821" Type="http://schemas.openxmlformats.org/officeDocument/2006/relationships/hyperlink" Target="http://pbs.twimg.com/profile_images/1496911492238790662/dho2gCS__normal.jpg" TargetMode="External"/><Relationship Id="rId64" Type="http://schemas.openxmlformats.org/officeDocument/2006/relationships/hyperlink" Target="http://twitter.com/the_dantona/statuses/1521070201713967104" TargetMode="External"/><Relationship Id="rId1798" Type="http://schemas.openxmlformats.org/officeDocument/2006/relationships/hyperlink" Target="http://twitter.com/Isobel599818011/statuses/1521040336998514688" TargetMode="External"/><Relationship Id="rId4824" Type="http://schemas.openxmlformats.org/officeDocument/2006/relationships/hyperlink" Target="http://twitter.com/howell_karen/statuses/1520920400946995203" TargetMode="External"/><Relationship Id="rId63" Type="http://schemas.openxmlformats.org/officeDocument/2006/relationships/hyperlink" Target="http://pbs.twimg.com/profile_images/1432765167415275524/rbPdV4PZ_normal.jpg" TargetMode="External"/><Relationship Id="rId1799" Type="http://schemas.openxmlformats.org/officeDocument/2006/relationships/hyperlink" Target="http://pbs.twimg.com/profile_images/1092919376758611976/kpioXskA_normal.jpg" TargetMode="External"/><Relationship Id="rId4823" Type="http://schemas.openxmlformats.org/officeDocument/2006/relationships/hyperlink" Target="http://pbs.twimg.com/profile_images/1496911492238790662/dho2gCS__normal.jpg" TargetMode="External"/><Relationship Id="rId66" Type="http://schemas.openxmlformats.org/officeDocument/2006/relationships/hyperlink" Target="http://twitter.com/YonkoSenior/statuses/1521070177319890946" TargetMode="External"/><Relationship Id="rId4826" Type="http://schemas.openxmlformats.org/officeDocument/2006/relationships/hyperlink" Target="http://twitter.com/LeahWas/statuses/1520920394181578755" TargetMode="External"/><Relationship Id="rId65" Type="http://schemas.openxmlformats.org/officeDocument/2006/relationships/hyperlink" Target="http://pbs.twimg.com/profile_images/3458117164/13d232267f833d019af7894cdf2246f7_normal.jpeg" TargetMode="External"/><Relationship Id="rId4825" Type="http://schemas.openxmlformats.org/officeDocument/2006/relationships/hyperlink" Target="http://pbs.twimg.com/profile_images/1509937316521037829/JCytXreJ_normal.jpg" TargetMode="External"/><Relationship Id="rId68" Type="http://schemas.openxmlformats.org/officeDocument/2006/relationships/hyperlink" Target="http://twitter.com/SteveACooper/statuses/1521070060340719616" TargetMode="External"/><Relationship Id="rId4828" Type="http://schemas.openxmlformats.org/officeDocument/2006/relationships/hyperlink" Target="http://twitter.com/howell_karen/statuses/1520920348400791554" TargetMode="External"/><Relationship Id="rId67" Type="http://schemas.openxmlformats.org/officeDocument/2006/relationships/hyperlink" Target="http://pbs.twimg.com/profile_images/1497562147160834052/ggZph5Mv_normal.jpg" TargetMode="External"/><Relationship Id="rId4827" Type="http://schemas.openxmlformats.org/officeDocument/2006/relationships/hyperlink" Target="http://pbs.twimg.com/profile_images/1496911492238790662/dho2gCS__normal.jpg" TargetMode="External"/><Relationship Id="rId4829" Type="http://schemas.openxmlformats.org/officeDocument/2006/relationships/hyperlink" Target="http://pbs.twimg.com/profile_images/1512265571966017536/fmG2LttH_normal.jpg" TargetMode="External"/><Relationship Id="rId60" Type="http://schemas.openxmlformats.org/officeDocument/2006/relationships/hyperlink" Target="http://twitter.com/ScarletBertie/statuses/1521070378667413509" TargetMode="External"/><Relationship Id="rId69" Type="http://schemas.openxmlformats.org/officeDocument/2006/relationships/hyperlink" Target="http://pbs.twimg.com/profile_images/1416887010892165127/J5jaKNGH_normal.jpg" TargetMode="External"/><Relationship Id="rId1790" Type="http://schemas.openxmlformats.org/officeDocument/2006/relationships/hyperlink" Target="http://twitter.com/Rollingwiththis/statuses/1521040558730485760" TargetMode="External"/><Relationship Id="rId1791" Type="http://schemas.openxmlformats.org/officeDocument/2006/relationships/hyperlink" Target="http://pbs.twimg.com/profile_images/1138065407938637824/K0kltLVk_normal.jpg" TargetMode="External"/><Relationship Id="rId1792" Type="http://schemas.openxmlformats.org/officeDocument/2006/relationships/hyperlink" Target="http://twitter.com/bglynn500/statuses/1521040556339740673" TargetMode="External"/><Relationship Id="rId1793" Type="http://schemas.openxmlformats.org/officeDocument/2006/relationships/hyperlink" Target="http://pbs.twimg.com/profile_images/1288072468465360906/sAmKkDQ-_normal.jpg" TargetMode="External"/><Relationship Id="rId1794" Type="http://schemas.openxmlformats.org/officeDocument/2006/relationships/hyperlink" Target="http://twitter.com/wolfiewire/statuses/1521040538400661506" TargetMode="External"/><Relationship Id="rId4820" Type="http://schemas.openxmlformats.org/officeDocument/2006/relationships/hyperlink" Target="http://twitter.com/howell_karen/statuses/1520920509541720064" TargetMode="External"/><Relationship Id="rId1795" Type="http://schemas.openxmlformats.org/officeDocument/2006/relationships/hyperlink" Target="http://abs.twimg.com/sticky/default_profile_images/default_profile_normal.png" TargetMode="External"/><Relationship Id="rId51" Type="http://schemas.openxmlformats.org/officeDocument/2006/relationships/hyperlink" Target="http://pbs.twimg.com/profile_images/778696468647383040/DovwgKwZ_normal.jpg" TargetMode="External"/><Relationship Id="rId1785" Type="http://schemas.openxmlformats.org/officeDocument/2006/relationships/hyperlink" Target="http://pbs.twimg.com/profile_images/971706539475025920/gW5VkJHQ_normal.jpg" TargetMode="External"/><Relationship Id="rId4811" Type="http://schemas.openxmlformats.org/officeDocument/2006/relationships/hyperlink" Target="http://pbs.twimg.com/profile_images/746299747506368512/U7ZzVGZc_normal.jpg" TargetMode="External"/><Relationship Id="rId50" Type="http://schemas.openxmlformats.org/officeDocument/2006/relationships/hyperlink" Target="http://twitter.com/greenpdem/statuses/1521070676018352131" TargetMode="External"/><Relationship Id="rId1786" Type="http://schemas.openxmlformats.org/officeDocument/2006/relationships/hyperlink" Target="http://twitter.com/WairarapaJane/statuses/1521040618247450624" TargetMode="External"/><Relationship Id="rId4810" Type="http://schemas.openxmlformats.org/officeDocument/2006/relationships/hyperlink" Target="http://twitter.com/PaddyNenagh/statuses/1520921256450830337" TargetMode="External"/><Relationship Id="rId53" Type="http://schemas.openxmlformats.org/officeDocument/2006/relationships/hyperlink" Target="http://pbs.twimg.com/profile_images/673287748/twitpic2_normal.jpg" TargetMode="External"/><Relationship Id="rId1787" Type="http://schemas.openxmlformats.org/officeDocument/2006/relationships/hyperlink" Target="http://pbs.twimg.com/profile_images/1501524484066529285/mtIBwbUk_normal.jpg" TargetMode="External"/><Relationship Id="rId4813" Type="http://schemas.openxmlformats.org/officeDocument/2006/relationships/hyperlink" Target="http://pbs.twimg.com/profile_images/746299747506368512/U7ZzVGZc_normal.jpg" TargetMode="External"/><Relationship Id="rId52" Type="http://schemas.openxmlformats.org/officeDocument/2006/relationships/hyperlink" Target="http://twitter.com/BCFCMalky/statuses/1521070579205423105" TargetMode="External"/><Relationship Id="rId1788" Type="http://schemas.openxmlformats.org/officeDocument/2006/relationships/hyperlink" Target="http://twitter.com/Dragons68317191/statuses/1521040581425876994" TargetMode="External"/><Relationship Id="rId4812" Type="http://schemas.openxmlformats.org/officeDocument/2006/relationships/hyperlink" Target="http://twitter.com/PaddyNenagh/statuses/1520921180416483328" TargetMode="External"/><Relationship Id="rId55" Type="http://schemas.openxmlformats.org/officeDocument/2006/relationships/hyperlink" Target="http://pbs.twimg.com/profile_images/1313953040572059654/aTwiND22_normal.jpg" TargetMode="External"/><Relationship Id="rId1789" Type="http://schemas.openxmlformats.org/officeDocument/2006/relationships/hyperlink" Target="http://pbs.twimg.com/profile_images/1444545884772085762/J2CAejYG_normal.jpg" TargetMode="External"/><Relationship Id="rId4815" Type="http://schemas.openxmlformats.org/officeDocument/2006/relationships/hyperlink" Target="http://pbs.twimg.com/profile_images/378800000655776129/f04eef8f7053e505e592abf535c7fa0f_normal.jpeg" TargetMode="External"/><Relationship Id="rId54" Type="http://schemas.openxmlformats.org/officeDocument/2006/relationships/hyperlink" Target="http://twitter.com/MsHenshall/statuses/1521070501577338884" TargetMode="External"/><Relationship Id="rId4814" Type="http://schemas.openxmlformats.org/officeDocument/2006/relationships/hyperlink" Target="http://twitter.com/PaddyNenagh/statuses/1520921082735255552" TargetMode="External"/><Relationship Id="rId57" Type="http://schemas.openxmlformats.org/officeDocument/2006/relationships/hyperlink" Target="http://pbs.twimg.com/profile_images/1520804849218109441/nhgGIqEs_normal.jpg" TargetMode="External"/><Relationship Id="rId4817" Type="http://schemas.openxmlformats.org/officeDocument/2006/relationships/hyperlink" Target="http://pbs.twimg.com/profile_images/1496911492238790662/dho2gCS__normal.jpg" TargetMode="External"/><Relationship Id="rId56" Type="http://schemas.openxmlformats.org/officeDocument/2006/relationships/hyperlink" Target="http://twitter.com/markiliff/statuses/1521070486062608386" TargetMode="External"/><Relationship Id="rId4816" Type="http://schemas.openxmlformats.org/officeDocument/2006/relationships/hyperlink" Target="http://twitter.com/systonhouse/statuses/1520920987344244736" TargetMode="External"/><Relationship Id="rId4819" Type="http://schemas.openxmlformats.org/officeDocument/2006/relationships/hyperlink" Target="http://pbs.twimg.com/profile_images/1496911492238790662/dho2gCS__normal.jpg" TargetMode="External"/><Relationship Id="rId4818" Type="http://schemas.openxmlformats.org/officeDocument/2006/relationships/hyperlink" Target="http://twitter.com/howell_karen/statuses/1520920515740938241" TargetMode="External"/><Relationship Id="rId59" Type="http://schemas.openxmlformats.org/officeDocument/2006/relationships/hyperlink" Target="http://pbs.twimg.com/profile_images/1490098358089834505/8RGvazDP_normal.jpg" TargetMode="External"/><Relationship Id="rId58" Type="http://schemas.openxmlformats.org/officeDocument/2006/relationships/hyperlink" Target="http://twitter.com/fozziebear74/statuses/1521070480228290567" TargetMode="External"/><Relationship Id="rId1780" Type="http://schemas.openxmlformats.org/officeDocument/2006/relationships/hyperlink" Target="http://twitter.com/FerriereMaryse/statuses/1521040756890292224" TargetMode="External"/><Relationship Id="rId1781" Type="http://schemas.openxmlformats.org/officeDocument/2006/relationships/hyperlink" Target="http://pbs.twimg.com/profile_images/1469588764511150080/iyvpuqV6_normal.jpg" TargetMode="External"/><Relationship Id="rId1782" Type="http://schemas.openxmlformats.org/officeDocument/2006/relationships/hyperlink" Target="http://twitter.com/NIborn59/statuses/1521040718151790593" TargetMode="External"/><Relationship Id="rId1783" Type="http://schemas.openxmlformats.org/officeDocument/2006/relationships/hyperlink" Target="http://pbs.twimg.com/profile_images/1101876628785905667/21HCkVtm_normal.jpg" TargetMode="External"/><Relationship Id="rId1784" Type="http://schemas.openxmlformats.org/officeDocument/2006/relationships/hyperlink" Target="http://twitter.com/StephenGill55/statuses/1521040660652072961" TargetMode="External"/><Relationship Id="rId2269" Type="http://schemas.openxmlformats.org/officeDocument/2006/relationships/hyperlink" Target="http://pbs.twimg.com/profile_images/1003971217345347584/Zm-tVepf_normal.jpg" TargetMode="External"/><Relationship Id="rId349" Type="http://schemas.openxmlformats.org/officeDocument/2006/relationships/hyperlink" Target="http://pbs.twimg.com/profile_images/1513171071176003585/MNFBOtZB_normal.jpg" TargetMode="External"/><Relationship Id="rId348" Type="http://schemas.openxmlformats.org/officeDocument/2006/relationships/hyperlink" Target="http://twitter.com/M1JSS/statuses/1521066536609460224" TargetMode="External"/><Relationship Id="rId347" Type="http://schemas.openxmlformats.org/officeDocument/2006/relationships/hyperlink" Target="http://pbs.twimg.com/profile_images/1163418348845195264/Pvsrj_27_normal.jpg" TargetMode="External"/><Relationship Id="rId346" Type="http://schemas.openxmlformats.org/officeDocument/2006/relationships/hyperlink" Target="http://twitter.com/johnandi/statuses/1521066567789907968" TargetMode="External"/><Relationship Id="rId3591" Type="http://schemas.openxmlformats.org/officeDocument/2006/relationships/hyperlink" Target="http://abs.twimg.com/sticky/default_profile_images/default_profile_normal.png" TargetMode="External"/><Relationship Id="rId2260" Type="http://schemas.openxmlformats.org/officeDocument/2006/relationships/hyperlink" Target="http://twitter.com/JasonHazeley/statuses/1521032910400376832" TargetMode="External"/><Relationship Id="rId3590" Type="http://schemas.openxmlformats.org/officeDocument/2006/relationships/hyperlink" Target="http://twitter.com/Szipi27/statuses/1521009704947879936" TargetMode="External"/><Relationship Id="rId341" Type="http://schemas.openxmlformats.org/officeDocument/2006/relationships/hyperlink" Target="http://pbs.twimg.com/profile_images/1163418348845195264/Pvsrj_27_normal.jpg" TargetMode="External"/><Relationship Id="rId2261" Type="http://schemas.openxmlformats.org/officeDocument/2006/relationships/hyperlink" Target="http://pbs.twimg.com/profile_images/1323342203415105536/scyTPxiD_normal.jpg" TargetMode="External"/><Relationship Id="rId3593" Type="http://schemas.openxmlformats.org/officeDocument/2006/relationships/hyperlink" Target="http://pbs.twimg.com/profile_images/1298056201/image_normal.jpg" TargetMode="External"/><Relationship Id="rId340" Type="http://schemas.openxmlformats.org/officeDocument/2006/relationships/hyperlink" Target="http://twitter.com/Brasfort49/statuses/1521066589503766528" TargetMode="External"/><Relationship Id="rId2262" Type="http://schemas.openxmlformats.org/officeDocument/2006/relationships/hyperlink" Target="http://twitter.com/jane63c/statuses/1521032898584924160" TargetMode="External"/><Relationship Id="rId3592" Type="http://schemas.openxmlformats.org/officeDocument/2006/relationships/hyperlink" Target="http://twitter.com/Annettewhatmou1/statuses/1521009673763184642" TargetMode="External"/><Relationship Id="rId2263" Type="http://schemas.openxmlformats.org/officeDocument/2006/relationships/hyperlink" Target="http://pbs.twimg.com/profile_images/1419189713378840576/JjZ1IQGL_normal.jpg" TargetMode="External"/><Relationship Id="rId3595" Type="http://schemas.openxmlformats.org/officeDocument/2006/relationships/hyperlink" Target="http://pbs.twimg.com/profile_images/1230451694149857280/nsbyRXTD_normal.jpg" TargetMode="External"/><Relationship Id="rId2264" Type="http://schemas.openxmlformats.org/officeDocument/2006/relationships/hyperlink" Target="http://twitter.com/hundredknots/statuses/1521032818977288192" TargetMode="External"/><Relationship Id="rId3594" Type="http://schemas.openxmlformats.org/officeDocument/2006/relationships/hyperlink" Target="http://twitter.com/BobHopcraft/statuses/1521009668516155392" TargetMode="External"/><Relationship Id="rId345" Type="http://schemas.openxmlformats.org/officeDocument/2006/relationships/hyperlink" Target="http://pbs.twimg.com/profile_images/2266745256/x97gc41xrjkl77olfb5y_normal.jpeg" TargetMode="External"/><Relationship Id="rId2265" Type="http://schemas.openxmlformats.org/officeDocument/2006/relationships/hyperlink" Target="http://pbs.twimg.com/profile_images/1149331828320477184/er53KPIs_normal.jpg" TargetMode="External"/><Relationship Id="rId3597" Type="http://schemas.openxmlformats.org/officeDocument/2006/relationships/hyperlink" Target="http://pbs.twimg.com/profile_images/1252164120503291910/prx5Ea9C_normal.jpg" TargetMode="External"/><Relationship Id="rId344" Type="http://schemas.openxmlformats.org/officeDocument/2006/relationships/hyperlink" Target="http://twitter.com/ruth_humble/statuses/1521066569874432000" TargetMode="External"/><Relationship Id="rId2266" Type="http://schemas.openxmlformats.org/officeDocument/2006/relationships/hyperlink" Target="http://twitter.com/HusseyMartin/statuses/1521032808449331202" TargetMode="External"/><Relationship Id="rId3596" Type="http://schemas.openxmlformats.org/officeDocument/2006/relationships/hyperlink" Target="http://twitter.com/Evilgenius222/statuses/1521009657946546182" TargetMode="External"/><Relationship Id="rId343" Type="http://schemas.openxmlformats.org/officeDocument/2006/relationships/hyperlink" Target="http://pbs.twimg.com/profile_images/3191631804/b21b85e9c4238a1f29bec75c167df6af_normal.jpeg" TargetMode="External"/><Relationship Id="rId2267" Type="http://schemas.openxmlformats.org/officeDocument/2006/relationships/hyperlink" Target="http://pbs.twimg.com/profile_images/1305827051555954692/Km_PEfZV_normal.jpg" TargetMode="External"/><Relationship Id="rId3599" Type="http://schemas.openxmlformats.org/officeDocument/2006/relationships/hyperlink" Target="http://pbs.twimg.com/profile_images/2597096317/image_normal.jpg" TargetMode="External"/><Relationship Id="rId342" Type="http://schemas.openxmlformats.org/officeDocument/2006/relationships/hyperlink" Target="http://twitter.com/M1JSS/statuses/1521066580414808064" TargetMode="External"/><Relationship Id="rId2268" Type="http://schemas.openxmlformats.org/officeDocument/2006/relationships/hyperlink" Target="http://twitter.com/JueChi1/statuses/1521032769660407809" TargetMode="External"/><Relationship Id="rId3598" Type="http://schemas.openxmlformats.org/officeDocument/2006/relationships/hyperlink" Target="http://twitter.com/Bryan_K1/statuses/1521009643904028673" TargetMode="External"/><Relationship Id="rId2258" Type="http://schemas.openxmlformats.org/officeDocument/2006/relationships/hyperlink" Target="http://twitter.com/farquar/statuses/1521032975428853760" TargetMode="External"/><Relationship Id="rId2259" Type="http://schemas.openxmlformats.org/officeDocument/2006/relationships/hyperlink" Target="http://pbs.twimg.com/profile_images/418030184143388672/JHmnboD0_normal.png" TargetMode="External"/><Relationship Id="rId3589" Type="http://schemas.openxmlformats.org/officeDocument/2006/relationships/hyperlink" Target="http://pbs.twimg.com/profile_images/1513276166068740105/WWeHKiGQ_normal.jpg" TargetMode="External"/><Relationship Id="rId338" Type="http://schemas.openxmlformats.org/officeDocument/2006/relationships/hyperlink" Target="http://twitter.com/socialmissfit3/statuses/1521066661138382848" TargetMode="External"/><Relationship Id="rId337" Type="http://schemas.openxmlformats.org/officeDocument/2006/relationships/hyperlink" Target="http://pbs.twimg.com/profile_images/1345133353725554688/5-PBwd7A_normal.jpg" TargetMode="External"/><Relationship Id="rId336" Type="http://schemas.openxmlformats.org/officeDocument/2006/relationships/hyperlink" Target="http://twitter.com/ruth_humble/statuses/1521066671846350848" TargetMode="External"/><Relationship Id="rId335" Type="http://schemas.openxmlformats.org/officeDocument/2006/relationships/hyperlink" Target="http://pbs.twimg.com/profile_images/3191631804/b21b85e9c4238a1f29bec75c167df6af_normal.jpeg" TargetMode="External"/><Relationship Id="rId3580" Type="http://schemas.openxmlformats.org/officeDocument/2006/relationships/hyperlink" Target="http://twitter.com/davidtphillips/statuses/1521009783494565889" TargetMode="External"/><Relationship Id="rId339" Type="http://schemas.openxmlformats.org/officeDocument/2006/relationships/hyperlink" Target="http://pbs.twimg.com/profile_images/880747679751573504/hOAsQ1yS_normal.jpg" TargetMode="External"/><Relationship Id="rId330" Type="http://schemas.openxmlformats.org/officeDocument/2006/relationships/hyperlink" Target="http://twitter.com/paolobolzoni/statuses/1521066764909559811" TargetMode="External"/><Relationship Id="rId2250" Type="http://schemas.openxmlformats.org/officeDocument/2006/relationships/hyperlink" Target="http://twitter.com/JillWhisker/statuses/1521033063559483392" TargetMode="External"/><Relationship Id="rId3582" Type="http://schemas.openxmlformats.org/officeDocument/2006/relationships/hyperlink" Target="http://twitter.com/Biberbach/statuses/1521009771490549761" TargetMode="External"/><Relationship Id="rId2251" Type="http://schemas.openxmlformats.org/officeDocument/2006/relationships/hyperlink" Target="http://pbs.twimg.com/profile_images/681458255546155008/sMhVGe61_normal.jpg" TargetMode="External"/><Relationship Id="rId3581" Type="http://schemas.openxmlformats.org/officeDocument/2006/relationships/hyperlink" Target="http://pbs.twimg.com/profile_images/839845901820694532/7z3C_FDp_normal.jpg" TargetMode="External"/><Relationship Id="rId2252" Type="http://schemas.openxmlformats.org/officeDocument/2006/relationships/hyperlink" Target="http://twitter.com/commonsenseden/statuses/1521033055414243328" TargetMode="External"/><Relationship Id="rId3584" Type="http://schemas.openxmlformats.org/officeDocument/2006/relationships/hyperlink" Target="http://twitter.com/Bazbike/statuses/1521009744248545281" TargetMode="External"/><Relationship Id="rId2253" Type="http://schemas.openxmlformats.org/officeDocument/2006/relationships/hyperlink" Target="http://pbs.twimg.com/profile_images/1480157726974038016/tssgMPqP_normal.jpg" TargetMode="External"/><Relationship Id="rId3583" Type="http://schemas.openxmlformats.org/officeDocument/2006/relationships/hyperlink" Target="http://pbs.twimg.com/profile_images/1420004169491091483/ZUiS4Dxc_normal.jpg" TargetMode="External"/><Relationship Id="rId334" Type="http://schemas.openxmlformats.org/officeDocument/2006/relationships/hyperlink" Target="http://twitter.com/FranNantongwe/statuses/1521066715907567616" TargetMode="External"/><Relationship Id="rId2254" Type="http://schemas.openxmlformats.org/officeDocument/2006/relationships/hyperlink" Target="http://twitter.com/JimCam73/statuses/1521033008194756609" TargetMode="External"/><Relationship Id="rId3586" Type="http://schemas.openxmlformats.org/officeDocument/2006/relationships/hyperlink" Target="http://twitter.com/L_Western/statuses/1521009742931533825" TargetMode="External"/><Relationship Id="rId333" Type="http://schemas.openxmlformats.org/officeDocument/2006/relationships/hyperlink" Target="http://pbs.twimg.com/profile_images/1482397110733611018/aGjG6aHB_normal.jpg" TargetMode="External"/><Relationship Id="rId2255" Type="http://schemas.openxmlformats.org/officeDocument/2006/relationships/hyperlink" Target="http://pbs.twimg.com/profile_images/1497860817852772353/gszflyW2_normal.jpg" TargetMode="External"/><Relationship Id="rId3585" Type="http://schemas.openxmlformats.org/officeDocument/2006/relationships/hyperlink" Target="http://pbs.twimg.com/profile_images/1352715926534291457/s9mXLmNB_normal.jpg" TargetMode="External"/><Relationship Id="rId332" Type="http://schemas.openxmlformats.org/officeDocument/2006/relationships/hyperlink" Target="http://twitter.com/Gwentforeurope/statuses/1521066759511588865" TargetMode="External"/><Relationship Id="rId2256" Type="http://schemas.openxmlformats.org/officeDocument/2006/relationships/hyperlink" Target="http://twitter.com/SandraDunn1955/statuses/1521033007397842947" TargetMode="External"/><Relationship Id="rId3588" Type="http://schemas.openxmlformats.org/officeDocument/2006/relationships/hyperlink" Target="http://twitter.com/SallyAnneWalker/statuses/1521009719980273666" TargetMode="External"/><Relationship Id="rId331" Type="http://schemas.openxmlformats.org/officeDocument/2006/relationships/hyperlink" Target="http://pbs.twimg.com/profile_images/1352979252254277635/rNahKhYy_normal.jpg" TargetMode="External"/><Relationship Id="rId2257" Type="http://schemas.openxmlformats.org/officeDocument/2006/relationships/hyperlink" Target="http://pbs.twimg.com/profile_images/1012404377/iFrog_normal.png" TargetMode="External"/><Relationship Id="rId3587" Type="http://schemas.openxmlformats.org/officeDocument/2006/relationships/hyperlink" Target="http://pbs.twimg.com/profile_images/1046458519057297408/aKPWkC33_normal.jpg" TargetMode="External"/><Relationship Id="rId5318" Type="http://schemas.openxmlformats.org/officeDocument/2006/relationships/hyperlink" Target="http://twitter.com/NBowsie999/statuses/1520896763888123904" TargetMode="External"/><Relationship Id="rId5319" Type="http://schemas.openxmlformats.org/officeDocument/2006/relationships/hyperlink" Target="http://pbs.twimg.com/profile_images/1437106002315329549/6EFrmaR3_normal.jpg" TargetMode="External"/><Relationship Id="rId5316" Type="http://schemas.openxmlformats.org/officeDocument/2006/relationships/hyperlink" Target="http://twitter.com/BanditoSjp/statuses/1520896820284735492" TargetMode="External"/><Relationship Id="rId5317" Type="http://schemas.openxmlformats.org/officeDocument/2006/relationships/hyperlink" Target="http://pbs.twimg.com/profile_images/993505302044606464/e58avoFD_normal.jpg" TargetMode="External"/><Relationship Id="rId370" Type="http://schemas.openxmlformats.org/officeDocument/2006/relationships/hyperlink" Target="http://twitter.com/jagxjr40/statuses/1521066265590345728" TargetMode="External"/><Relationship Id="rId369" Type="http://schemas.openxmlformats.org/officeDocument/2006/relationships/hyperlink" Target="http://abs.twimg.com/sticky/default_profile_images/default_profile_normal.png" TargetMode="External"/><Relationship Id="rId368" Type="http://schemas.openxmlformats.org/officeDocument/2006/relationships/hyperlink" Target="http://twitter.com/isofarro/statuses/1521066293016809472" TargetMode="External"/><Relationship Id="rId2280" Type="http://schemas.openxmlformats.org/officeDocument/2006/relationships/hyperlink" Target="http://twitter.com/art_iculate/statuses/1521032568124157952" TargetMode="External"/><Relationship Id="rId2281" Type="http://schemas.openxmlformats.org/officeDocument/2006/relationships/hyperlink" Target="http://pbs.twimg.com/profile_images/1003971217345347584/Zm-tVepf_normal.jpg" TargetMode="External"/><Relationship Id="rId2282" Type="http://schemas.openxmlformats.org/officeDocument/2006/relationships/hyperlink" Target="http://twitter.com/welshwitch57/statuses/1521032524268462083" TargetMode="External"/><Relationship Id="rId363" Type="http://schemas.openxmlformats.org/officeDocument/2006/relationships/hyperlink" Target="http://pbs.twimg.com/profile_images/1497692711977209859/Gb9y-KGx_normal.jpg" TargetMode="External"/><Relationship Id="rId2283" Type="http://schemas.openxmlformats.org/officeDocument/2006/relationships/hyperlink" Target="http://pbs.twimg.com/profile_images/1003971217345347584/Zm-tVepf_normal.jpg" TargetMode="External"/><Relationship Id="rId5310" Type="http://schemas.openxmlformats.org/officeDocument/2006/relationships/hyperlink" Target="http://twitter.com/SSabelus/statuses/1520896966003200000" TargetMode="External"/><Relationship Id="rId362" Type="http://schemas.openxmlformats.org/officeDocument/2006/relationships/hyperlink" Target="http://twitter.com/JoPeacock16/statuses/1521066338088853504" TargetMode="External"/><Relationship Id="rId2284" Type="http://schemas.openxmlformats.org/officeDocument/2006/relationships/hyperlink" Target="http://twitter.com/welshwitch57/statuses/1521032483671789568" TargetMode="External"/><Relationship Id="rId5311" Type="http://schemas.openxmlformats.org/officeDocument/2006/relationships/hyperlink" Target="http://abs.twimg.com/sticky/default_profile_images/default_profile_normal.png" TargetMode="External"/><Relationship Id="rId361" Type="http://schemas.openxmlformats.org/officeDocument/2006/relationships/hyperlink" Target="http://pbs.twimg.com/profile_images/1501462007710724101/1xj_Qtve_normal.jpg" TargetMode="External"/><Relationship Id="rId2285" Type="http://schemas.openxmlformats.org/officeDocument/2006/relationships/hyperlink" Target="http://pbs.twimg.com/profile_images/1448704230244630534/Q2k-GKgw_normal.jpg" TargetMode="External"/><Relationship Id="rId360" Type="http://schemas.openxmlformats.org/officeDocument/2006/relationships/hyperlink" Target="http://twitter.com/ajgreen62/statuses/1521066406636314626" TargetMode="External"/><Relationship Id="rId2286" Type="http://schemas.openxmlformats.org/officeDocument/2006/relationships/hyperlink" Target="http://twitter.com/joanna_nicolson/statuses/1521032397185245185" TargetMode="External"/><Relationship Id="rId367" Type="http://schemas.openxmlformats.org/officeDocument/2006/relationships/hyperlink" Target="http://pbs.twimg.com/profile_images/883012441239678976/0NGq1mpE_normal.jpg" TargetMode="External"/><Relationship Id="rId2287" Type="http://schemas.openxmlformats.org/officeDocument/2006/relationships/hyperlink" Target="http://pbs.twimg.com/profile_images/1448704230244630534/Q2k-GKgw_normal.jpg" TargetMode="External"/><Relationship Id="rId5314" Type="http://schemas.openxmlformats.org/officeDocument/2006/relationships/hyperlink" Target="http://twitter.com/nearspaceman/statuses/1520896831185731585" TargetMode="External"/><Relationship Id="rId366" Type="http://schemas.openxmlformats.org/officeDocument/2006/relationships/hyperlink" Target="http://twitter.com/markpougatch/statuses/1521066318274908160" TargetMode="External"/><Relationship Id="rId2288" Type="http://schemas.openxmlformats.org/officeDocument/2006/relationships/hyperlink" Target="http://twitter.com/joanna_nicolson/statuses/1521032374015991809" TargetMode="External"/><Relationship Id="rId5315" Type="http://schemas.openxmlformats.org/officeDocument/2006/relationships/hyperlink" Target="http://abs.twimg.com/sticky/default_profile_images/default_profile_normal.png" TargetMode="External"/><Relationship Id="rId365" Type="http://schemas.openxmlformats.org/officeDocument/2006/relationships/hyperlink" Target="http://pbs.twimg.com/profile_images/1519299043133956096/UvVm8wiA_normal.jpg" TargetMode="External"/><Relationship Id="rId2289" Type="http://schemas.openxmlformats.org/officeDocument/2006/relationships/hyperlink" Target="http://pbs.twimg.com/profile_images/1413997364/richardg2_normal.png" TargetMode="External"/><Relationship Id="rId5312" Type="http://schemas.openxmlformats.org/officeDocument/2006/relationships/hyperlink" Target="http://twitter.com/BanditoSjp/statuses/1520896874416414721" TargetMode="External"/><Relationship Id="rId364" Type="http://schemas.openxmlformats.org/officeDocument/2006/relationships/hyperlink" Target="http://twitter.com/RichardBentall/statuses/1521066319973605376" TargetMode="External"/><Relationship Id="rId5313" Type="http://schemas.openxmlformats.org/officeDocument/2006/relationships/hyperlink" Target="http://pbs.twimg.com/profile_images/1505650315848204305/FwvI9knd_normal.jpg" TargetMode="External"/><Relationship Id="rId95" Type="http://schemas.openxmlformats.org/officeDocument/2006/relationships/hyperlink" Target="http://pbs.twimg.com/profile_images/922031958057725952/Sk9Q3eCX_normal.jpg" TargetMode="External"/><Relationship Id="rId5307" Type="http://schemas.openxmlformats.org/officeDocument/2006/relationships/hyperlink" Target="http://pbs.twimg.com/profile_images/1066135829746196480/jrjqsZ07_normal.jpg" TargetMode="External"/><Relationship Id="rId94" Type="http://schemas.openxmlformats.org/officeDocument/2006/relationships/hyperlink" Target="http://twitter.com/hic334/statuses/1521069699647295490" TargetMode="External"/><Relationship Id="rId5308" Type="http://schemas.openxmlformats.org/officeDocument/2006/relationships/hyperlink" Target="http://twitter.com/lowesusan155/statuses/1520896978649075712" TargetMode="External"/><Relationship Id="rId97" Type="http://schemas.openxmlformats.org/officeDocument/2006/relationships/hyperlink" Target="http://abs.twimg.com/sticky/default_profile_images/default_profile_normal.png" TargetMode="External"/><Relationship Id="rId5305" Type="http://schemas.openxmlformats.org/officeDocument/2006/relationships/hyperlink" Target="http://pbs.twimg.com/profile_images/1193485050693767168/afDlOByN_normal.jpg" TargetMode="External"/><Relationship Id="rId96" Type="http://schemas.openxmlformats.org/officeDocument/2006/relationships/hyperlink" Target="http://twitter.com/hic334/statuses/1521069645347926016" TargetMode="External"/><Relationship Id="rId5306" Type="http://schemas.openxmlformats.org/officeDocument/2006/relationships/hyperlink" Target="http://twitter.com/CoggleMaggie/statuses/1520897075944304640" TargetMode="External"/><Relationship Id="rId99" Type="http://schemas.openxmlformats.org/officeDocument/2006/relationships/hyperlink" Target="http://pbs.twimg.com/profile_images/2331707272/image_normal.jpg" TargetMode="External"/><Relationship Id="rId98" Type="http://schemas.openxmlformats.org/officeDocument/2006/relationships/hyperlink" Target="http://twitter.com/Swingkatz/statuses/1521069631229865985" TargetMode="External"/><Relationship Id="rId5309" Type="http://schemas.openxmlformats.org/officeDocument/2006/relationships/hyperlink" Target="http://pbs.twimg.com/profile_images/1227558660584419328/K_9N56QZ_normal.jpg" TargetMode="External"/><Relationship Id="rId91" Type="http://schemas.openxmlformats.org/officeDocument/2006/relationships/hyperlink" Target="http://pbs.twimg.com/profile_images/1347099929165049858/H80ux06N_normal.jpg" TargetMode="External"/><Relationship Id="rId90" Type="http://schemas.openxmlformats.org/officeDocument/2006/relationships/hyperlink" Target="http://twitter.com/Swingkatz/statuses/1521069716407738368" TargetMode="External"/><Relationship Id="rId93" Type="http://schemas.openxmlformats.org/officeDocument/2006/relationships/hyperlink" Target="http://pbs.twimg.com/profile_images/922031958057725952/Sk9Q3eCX_normal.jpg" TargetMode="External"/><Relationship Id="rId92" Type="http://schemas.openxmlformats.org/officeDocument/2006/relationships/hyperlink" Target="http://twitter.com/bedfordyid/statuses/1521069711823364097" TargetMode="External"/><Relationship Id="rId359" Type="http://schemas.openxmlformats.org/officeDocument/2006/relationships/hyperlink" Target="http://pbs.twimg.com/profile_images/1513171071176003585/MNFBOtZB_normal.jpg" TargetMode="External"/><Relationship Id="rId358" Type="http://schemas.openxmlformats.org/officeDocument/2006/relationships/hyperlink" Target="http://twitter.com/DbAshby/statuses/1521066416874700801" TargetMode="External"/><Relationship Id="rId357" Type="http://schemas.openxmlformats.org/officeDocument/2006/relationships/hyperlink" Target="http://pbs.twimg.com/profile_images/1352192992149446662/BscT_CmY_normal.jpg" TargetMode="External"/><Relationship Id="rId2270" Type="http://schemas.openxmlformats.org/officeDocument/2006/relationships/hyperlink" Target="http://twitter.com/welshwitch57/statuses/1521032696964788224" TargetMode="External"/><Relationship Id="rId2271" Type="http://schemas.openxmlformats.org/officeDocument/2006/relationships/hyperlink" Target="http://pbs.twimg.com/profile_images/450616103253721088/ZGOYEWQm_normal.jpeg" TargetMode="External"/><Relationship Id="rId352" Type="http://schemas.openxmlformats.org/officeDocument/2006/relationships/hyperlink" Target="http://twitter.com/McParlinStephen/statuses/1521066498869149697" TargetMode="External"/><Relationship Id="rId2272" Type="http://schemas.openxmlformats.org/officeDocument/2006/relationships/hyperlink" Target="http://twitter.com/stitwit/statuses/1521032663972392960" TargetMode="External"/><Relationship Id="rId351" Type="http://schemas.openxmlformats.org/officeDocument/2006/relationships/hyperlink" Target="http://pbs.twimg.com/profile_images/789185377462423552/jXHxf4T9_normal.jpg" TargetMode="External"/><Relationship Id="rId2273" Type="http://schemas.openxmlformats.org/officeDocument/2006/relationships/hyperlink" Target="http://pbs.twimg.com/profile_images/1003971217345347584/Zm-tVepf_normal.jpg" TargetMode="External"/><Relationship Id="rId5300" Type="http://schemas.openxmlformats.org/officeDocument/2006/relationships/hyperlink" Target="http://twitter.com/pvsassone/statuses/1520897155598331906" TargetMode="External"/><Relationship Id="rId350" Type="http://schemas.openxmlformats.org/officeDocument/2006/relationships/hyperlink" Target="http://twitter.com/ajgreen62/statuses/1521066513696018432" TargetMode="External"/><Relationship Id="rId2274" Type="http://schemas.openxmlformats.org/officeDocument/2006/relationships/hyperlink" Target="http://twitter.com/welshwitch57/statuses/1521032630740865025" TargetMode="External"/><Relationship Id="rId2275" Type="http://schemas.openxmlformats.org/officeDocument/2006/relationships/hyperlink" Target="http://abs.twimg.com/sticky/default_profile_images/default_profile_normal.png" TargetMode="External"/><Relationship Id="rId356" Type="http://schemas.openxmlformats.org/officeDocument/2006/relationships/hyperlink" Target="http://twitter.com/ajgreen62/statuses/1521066449586077697" TargetMode="External"/><Relationship Id="rId2276" Type="http://schemas.openxmlformats.org/officeDocument/2006/relationships/hyperlink" Target="http://twitter.com/GusLogic/statuses/1521032610792845312" TargetMode="External"/><Relationship Id="rId5303" Type="http://schemas.openxmlformats.org/officeDocument/2006/relationships/hyperlink" Target="http://pbs.twimg.com/profile_images/1411635639595024388/yVtDsX3f_normal.jpg" TargetMode="External"/><Relationship Id="rId355" Type="http://schemas.openxmlformats.org/officeDocument/2006/relationships/hyperlink" Target="http://pbs.twimg.com/profile_images/1513171071176003585/MNFBOtZB_normal.jpg" TargetMode="External"/><Relationship Id="rId2277" Type="http://schemas.openxmlformats.org/officeDocument/2006/relationships/hyperlink" Target="http://pbs.twimg.com/profile_images/1003971217345347584/Zm-tVepf_normal.jpg" TargetMode="External"/><Relationship Id="rId5304" Type="http://schemas.openxmlformats.org/officeDocument/2006/relationships/hyperlink" Target="http://twitter.com/floater1985/statuses/1520897089550655489" TargetMode="External"/><Relationship Id="rId354" Type="http://schemas.openxmlformats.org/officeDocument/2006/relationships/hyperlink" Target="http://twitter.com/41below/statuses/1521066498277662721" TargetMode="External"/><Relationship Id="rId2278" Type="http://schemas.openxmlformats.org/officeDocument/2006/relationships/hyperlink" Target="http://twitter.com/welshwitch57/statuses/1521032578672775170" TargetMode="External"/><Relationship Id="rId5301" Type="http://schemas.openxmlformats.org/officeDocument/2006/relationships/hyperlink" Target="http://pbs.twimg.com/profile_images/647165806367887360/9Q4Brx1R_normal.jpg" TargetMode="External"/><Relationship Id="rId353" Type="http://schemas.openxmlformats.org/officeDocument/2006/relationships/hyperlink" Target="http://pbs.twimg.com/profile_images/1479108425/evil_muppets_normal.jpg" TargetMode="External"/><Relationship Id="rId2279" Type="http://schemas.openxmlformats.org/officeDocument/2006/relationships/hyperlink" Target="http://pbs.twimg.com/profile_images/1289871377139404800/-aTnYHGQ_normal.jpg" TargetMode="External"/><Relationship Id="rId5302" Type="http://schemas.openxmlformats.org/officeDocument/2006/relationships/hyperlink" Target="http://twitter.com/tonybwlch/statuses/1520897128725458944" TargetMode="External"/><Relationship Id="rId2225" Type="http://schemas.openxmlformats.org/officeDocument/2006/relationships/hyperlink" Target="http://pbs.twimg.com/profile_images/423908882/si4small_normal.JPG" TargetMode="External"/><Relationship Id="rId3557" Type="http://schemas.openxmlformats.org/officeDocument/2006/relationships/hyperlink" Target="http://pbs.twimg.com/profile_images/1520297848998449152/-g8rCBRp_normal.jpg" TargetMode="External"/><Relationship Id="rId4888" Type="http://schemas.openxmlformats.org/officeDocument/2006/relationships/hyperlink" Target="http://twitter.com/SimonTurkas/statuses/1520915346257027074" TargetMode="External"/><Relationship Id="rId2226" Type="http://schemas.openxmlformats.org/officeDocument/2006/relationships/hyperlink" Target="http://twitter.com/SimonFoxWriter/statuses/1521033547649363969" TargetMode="External"/><Relationship Id="rId3556" Type="http://schemas.openxmlformats.org/officeDocument/2006/relationships/hyperlink" Target="http://twitter.com/healthyopinion/statuses/1521010162043138049" TargetMode="External"/><Relationship Id="rId4887" Type="http://schemas.openxmlformats.org/officeDocument/2006/relationships/hyperlink" Target="http://pbs.twimg.com/profile_images/1513272222357590016/PsJ1vHjg_normal.jpg" TargetMode="External"/><Relationship Id="rId2227" Type="http://schemas.openxmlformats.org/officeDocument/2006/relationships/hyperlink" Target="http://pbs.twimg.com/profile_images/1414943764049715206/loowOrMt_normal.jpg" TargetMode="External"/><Relationship Id="rId3559" Type="http://schemas.openxmlformats.org/officeDocument/2006/relationships/hyperlink" Target="http://pbs.twimg.com/profile_images/1498231052321660929/-C_DeN8k_normal.jpg" TargetMode="External"/><Relationship Id="rId2228" Type="http://schemas.openxmlformats.org/officeDocument/2006/relationships/hyperlink" Target="http://twitter.com/art__bart/statuses/1521033511511154689" TargetMode="External"/><Relationship Id="rId3558" Type="http://schemas.openxmlformats.org/officeDocument/2006/relationships/hyperlink" Target="http://twitter.com/abi1005/statuses/1521010132204806144" TargetMode="External"/><Relationship Id="rId4889" Type="http://schemas.openxmlformats.org/officeDocument/2006/relationships/hyperlink" Target="http://pbs.twimg.com/profile_images/640219904147374080/vGISC050_normal.jpg" TargetMode="External"/><Relationship Id="rId2229" Type="http://schemas.openxmlformats.org/officeDocument/2006/relationships/hyperlink" Target="http://pbs.twimg.com/profile_images/1500265126968057858/A95WKa7B_normal.jpg" TargetMode="External"/><Relationship Id="rId305" Type="http://schemas.openxmlformats.org/officeDocument/2006/relationships/hyperlink" Target="http://pbs.twimg.com/profile_images/3191631804/b21b85e9c4238a1f29bec75c167df6af_normal.jpeg" TargetMode="External"/><Relationship Id="rId304" Type="http://schemas.openxmlformats.org/officeDocument/2006/relationships/hyperlink" Target="http://twitter.com/thelastaerie/statuses/1521067058603212801" TargetMode="External"/><Relationship Id="rId303" Type="http://schemas.openxmlformats.org/officeDocument/2006/relationships/hyperlink" Target="http://pbs.twimg.com/profile_images/1285927369702768640/CR-gWGuB_normal.jpg" TargetMode="External"/><Relationship Id="rId302" Type="http://schemas.openxmlformats.org/officeDocument/2006/relationships/hyperlink" Target="http://twitter.com/JohnHurr/statuses/1521067060356333568" TargetMode="External"/><Relationship Id="rId309" Type="http://schemas.openxmlformats.org/officeDocument/2006/relationships/hyperlink" Target="http://pbs.twimg.com/profile_images/1352979252254277635/rNahKhYy_normal.jpg" TargetMode="External"/><Relationship Id="rId308" Type="http://schemas.openxmlformats.org/officeDocument/2006/relationships/hyperlink" Target="http://twitter.com/scotlandbest/statuses/1521066986314346496" TargetMode="External"/><Relationship Id="rId307" Type="http://schemas.openxmlformats.org/officeDocument/2006/relationships/hyperlink" Target="http://pbs.twimg.com/profile_images/1026365377813643264/aBUYewY__normal.jpg" TargetMode="External"/><Relationship Id="rId306" Type="http://schemas.openxmlformats.org/officeDocument/2006/relationships/hyperlink" Target="http://twitter.com/ruth_humble/statuses/1521067053796495361" TargetMode="External"/><Relationship Id="rId4880" Type="http://schemas.openxmlformats.org/officeDocument/2006/relationships/hyperlink" Target="http://twitter.com/kohenzoller/statuses/1520916031799283715" TargetMode="External"/><Relationship Id="rId3551" Type="http://schemas.openxmlformats.org/officeDocument/2006/relationships/hyperlink" Target="http://pbs.twimg.com/profile_images/1498231052321660929/-C_DeN8k_normal.jpg" TargetMode="External"/><Relationship Id="rId4882" Type="http://schemas.openxmlformats.org/officeDocument/2006/relationships/hyperlink" Target="http://twitter.com/dgmicro/statuses/1520915849959325698" TargetMode="External"/><Relationship Id="rId2220" Type="http://schemas.openxmlformats.org/officeDocument/2006/relationships/hyperlink" Target="http://twitter.com/wh500w/statuses/1521033654625054720" TargetMode="External"/><Relationship Id="rId3550" Type="http://schemas.openxmlformats.org/officeDocument/2006/relationships/hyperlink" Target="http://twitter.com/GM_RayKeene/statuses/1521010227965014016" TargetMode="External"/><Relationship Id="rId4881" Type="http://schemas.openxmlformats.org/officeDocument/2006/relationships/hyperlink" Target="http://pbs.twimg.com/profile_images/788050570594619392/mQBlxNN4_normal.jpg" TargetMode="External"/><Relationship Id="rId301" Type="http://schemas.openxmlformats.org/officeDocument/2006/relationships/hyperlink" Target="http://pbs.twimg.com/profile_images/1501935222312505357/kRgjj7xi_normal.jpg" TargetMode="External"/><Relationship Id="rId2221" Type="http://schemas.openxmlformats.org/officeDocument/2006/relationships/hyperlink" Target="http://abs.twimg.com/sticky/default_profile_images/default_profile_normal.png" TargetMode="External"/><Relationship Id="rId3553" Type="http://schemas.openxmlformats.org/officeDocument/2006/relationships/hyperlink" Target="http://pbs.twimg.com/profile_images/2889686410/224599243618deaa05f2f999a1b7821e_normal.jpeg" TargetMode="External"/><Relationship Id="rId4884" Type="http://schemas.openxmlformats.org/officeDocument/2006/relationships/hyperlink" Target="http://twitter.com/Andrade1357/statuses/1520915819928117250" TargetMode="External"/><Relationship Id="rId300" Type="http://schemas.openxmlformats.org/officeDocument/2006/relationships/hyperlink" Target="http://twitter.com/dcpardoe/statuses/1521067064798199810" TargetMode="External"/><Relationship Id="rId2222" Type="http://schemas.openxmlformats.org/officeDocument/2006/relationships/hyperlink" Target="http://twitter.com/JulianHarvey17/statuses/1521033612266811392" TargetMode="External"/><Relationship Id="rId3552" Type="http://schemas.openxmlformats.org/officeDocument/2006/relationships/hyperlink" Target="http://twitter.com/martin97903661/statuses/1521010215176577024" TargetMode="External"/><Relationship Id="rId4883" Type="http://schemas.openxmlformats.org/officeDocument/2006/relationships/hyperlink" Target="http://pbs.twimg.com/profile_images/1511402383909310466/hUGmg9Jr_normal.jpg" TargetMode="External"/><Relationship Id="rId2223" Type="http://schemas.openxmlformats.org/officeDocument/2006/relationships/hyperlink" Target="http://pbs.twimg.com/profile_images/599527660398620672/skZ-cEoT_normal.jpg" TargetMode="External"/><Relationship Id="rId3555" Type="http://schemas.openxmlformats.org/officeDocument/2006/relationships/hyperlink" Target="http://pbs.twimg.com/profile_images/1517880738011664384/h82xkx0N_normal.jpg" TargetMode="External"/><Relationship Id="rId4886" Type="http://schemas.openxmlformats.org/officeDocument/2006/relationships/hyperlink" Target="http://twitter.com/SimonTurkas/statuses/1520915801070579718" TargetMode="External"/><Relationship Id="rId2224" Type="http://schemas.openxmlformats.org/officeDocument/2006/relationships/hyperlink" Target="http://twitter.com/flora_heather/statuses/1521033598744285184" TargetMode="External"/><Relationship Id="rId3554" Type="http://schemas.openxmlformats.org/officeDocument/2006/relationships/hyperlink" Target="http://twitter.com/newmeadowsgap/statuses/1521010178031767552" TargetMode="External"/><Relationship Id="rId4885" Type="http://schemas.openxmlformats.org/officeDocument/2006/relationships/hyperlink" Target="http://pbs.twimg.com/profile_images/1513272222357590016/PsJ1vHjg_normal.jpg" TargetMode="External"/><Relationship Id="rId2214" Type="http://schemas.openxmlformats.org/officeDocument/2006/relationships/hyperlink" Target="http://twitter.com/BarbaraHunter07/statuses/1521033755397349377" TargetMode="External"/><Relationship Id="rId3546" Type="http://schemas.openxmlformats.org/officeDocument/2006/relationships/hyperlink" Target="http://twitter.com/martin97903661/statuses/1521010286114844674" TargetMode="External"/><Relationship Id="rId4877" Type="http://schemas.openxmlformats.org/officeDocument/2006/relationships/hyperlink" Target="http://pbs.twimg.com/profile_images/1147807747745955841/lValyphl_normal.jpg" TargetMode="External"/><Relationship Id="rId2215" Type="http://schemas.openxmlformats.org/officeDocument/2006/relationships/hyperlink" Target="http://pbs.twimg.com/profile_images/672706218281074689/3-e4p7PL_normal.jpg" TargetMode="External"/><Relationship Id="rId3545" Type="http://schemas.openxmlformats.org/officeDocument/2006/relationships/hyperlink" Target="http://pbs.twimg.com/profile_images/1498231052321660929/-C_DeN8k_normal.jpg" TargetMode="External"/><Relationship Id="rId4876" Type="http://schemas.openxmlformats.org/officeDocument/2006/relationships/hyperlink" Target="http://twitter.com/dennbarr44/statuses/1520916169452052482" TargetMode="External"/><Relationship Id="rId2216" Type="http://schemas.openxmlformats.org/officeDocument/2006/relationships/hyperlink" Target="http://twitter.com/jmkorhonen/statuses/1521033740390129670" TargetMode="External"/><Relationship Id="rId3548" Type="http://schemas.openxmlformats.org/officeDocument/2006/relationships/hyperlink" Target="http://twitter.com/janetm50723412/statuses/1521010279366148096" TargetMode="External"/><Relationship Id="rId4879" Type="http://schemas.openxmlformats.org/officeDocument/2006/relationships/hyperlink" Target="http://pbs.twimg.com/profile_images/844064912263602178/TRCh0cHL_normal.jpg" TargetMode="External"/><Relationship Id="rId2217" Type="http://schemas.openxmlformats.org/officeDocument/2006/relationships/hyperlink" Target="http://pbs.twimg.com/profile_images/892468026276278272/voaMGdVM_normal.jpg" TargetMode="External"/><Relationship Id="rId3547" Type="http://schemas.openxmlformats.org/officeDocument/2006/relationships/hyperlink" Target="http://pbs.twimg.com/profile_images/1120081238058991616/HwLDju0F_normal.jpg" TargetMode="External"/><Relationship Id="rId4878" Type="http://schemas.openxmlformats.org/officeDocument/2006/relationships/hyperlink" Target="http://twitter.com/Hyperion_PSN/statuses/1520916101965750273" TargetMode="External"/><Relationship Id="rId2218" Type="http://schemas.openxmlformats.org/officeDocument/2006/relationships/hyperlink" Target="http://twitter.com/MrCarl_RLFan/statuses/1521033740125978624" TargetMode="External"/><Relationship Id="rId2219" Type="http://schemas.openxmlformats.org/officeDocument/2006/relationships/hyperlink" Target="http://pbs.twimg.com/profile_images/608264423174762497/hv8R7vCc_normal.jpg" TargetMode="External"/><Relationship Id="rId3549" Type="http://schemas.openxmlformats.org/officeDocument/2006/relationships/hyperlink" Target="http://pbs.twimg.com/profile_images/1198981412877193217/K29PeUph_normal.jpg" TargetMode="External"/><Relationship Id="rId3540" Type="http://schemas.openxmlformats.org/officeDocument/2006/relationships/hyperlink" Target="http://twitter.com/ChrisHam0912/statuses/1521010403018514432" TargetMode="External"/><Relationship Id="rId4871" Type="http://schemas.openxmlformats.org/officeDocument/2006/relationships/hyperlink" Target="http://pbs.twimg.com/profile_images/1513272222357590016/PsJ1vHjg_normal.jpg" TargetMode="External"/><Relationship Id="rId4870" Type="http://schemas.openxmlformats.org/officeDocument/2006/relationships/hyperlink" Target="http://twitter.com/cllr_nardelli/statuses/1520916695346470913" TargetMode="External"/><Relationship Id="rId2210" Type="http://schemas.openxmlformats.org/officeDocument/2006/relationships/hyperlink" Target="http://twitter.com/jezrandall/statuses/1521033803459960834" TargetMode="External"/><Relationship Id="rId3542" Type="http://schemas.openxmlformats.org/officeDocument/2006/relationships/hyperlink" Target="http://twitter.com/lalaloopsie74/statuses/1521010364300906498" TargetMode="External"/><Relationship Id="rId4873" Type="http://schemas.openxmlformats.org/officeDocument/2006/relationships/hyperlink" Target="http://abs.twimg.com/sticky/default_profile_images/default_profile_normal.png" TargetMode="External"/><Relationship Id="rId2211" Type="http://schemas.openxmlformats.org/officeDocument/2006/relationships/hyperlink" Target="http://pbs.twimg.com/profile_images/1369223794984947712/jwfKBCRj_normal.jpg" TargetMode="External"/><Relationship Id="rId3541" Type="http://schemas.openxmlformats.org/officeDocument/2006/relationships/hyperlink" Target="http://pbs.twimg.com/profile_images/1264603653064798209/ct4GdW8V_normal.jpg" TargetMode="External"/><Relationship Id="rId4872" Type="http://schemas.openxmlformats.org/officeDocument/2006/relationships/hyperlink" Target="http://twitter.com/SimonTurkas/statuses/1520916669341839363" TargetMode="External"/><Relationship Id="rId2212" Type="http://schemas.openxmlformats.org/officeDocument/2006/relationships/hyperlink" Target="http://twitter.com/Roadwarrior29/statuses/1521033760359292928" TargetMode="External"/><Relationship Id="rId3544" Type="http://schemas.openxmlformats.org/officeDocument/2006/relationships/hyperlink" Target="http://twitter.com/NeilJamesWeekes/statuses/1521010300027351042" TargetMode="External"/><Relationship Id="rId4875" Type="http://schemas.openxmlformats.org/officeDocument/2006/relationships/hyperlink" Target="http://pbs.twimg.com/profile_images/761644318276915200/TwrZLhJ__normal.jpg" TargetMode="External"/><Relationship Id="rId2213" Type="http://schemas.openxmlformats.org/officeDocument/2006/relationships/hyperlink" Target="http://pbs.twimg.com/profile_images/1342407595991191553/0A47VSKW_normal.jpg" TargetMode="External"/><Relationship Id="rId3543" Type="http://schemas.openxmlformats.org/officeDocument/2006/relationships/hyperlink" Target="http://pbs.twimg.com/profile_images/1512182188602712068/Uw_lh_0x_normal.jpg" TargetMode="External"/><Relationship Id="rId4874" Type="http://schemas.openxmlformats.org/officeDocument/2006/relationships/hyperlink" Target="http://twitter.com/nick_0971/statuses/1520916187521069058" TargetMode="External"/><Relationship Id="rId2247" Type="http://schemas.openxmlformats.org/officeDocument/2006/relationships/hyperlink" Target="http://pbs.twimg.com/profile_images/1466448946906157067/t7S_P4vx_normal.jpg" TargetMode="External"/><Relationship Id="rId3579" Type="http://schemas.openxmlformats.org/officeDocument/2006/relationships/hyperlink" Target="http://pbs.twimg.com/profile_images/2897808156/6863a68b50215479a62fc2c747295396_normal.jpeg" TargetMode="External"/><Relationship Id="rId2248" Type="http://schemas.openxmlformats.org/officeDocument/2006/relationships/hyperlink" Target="http://twitter.com/CatherineHedle2/statuses/1521033067099471872" TargetMode="External"/><Relationship Id="rId3578" Type="http://schemas.openxmlformats.org/officeDocument/2006/relationships/hyperlink" Target="http://twitter.com/rolandbullivant/statuses/1521009812925992960" TargetMode="External"/><Relationship Id="rId2249" Type="http://schemas.openxmlformats.org/officeDocument/2006/relationships/hyperlink" Target="http://abs.twimg.com/sticky/default_profile_images/default_profile_normal.png" TargetMode="External"/><Relationship Id="rId327" Type="http://schemas.openxmlformats.org/officeDocument/2006/relationships/hyperlink" Target="http://pbs.twimg.com/profile_images/118794790/SI_logo_only_normal.jpg" TargetMode="External"/><Relationship Id="rId326" Type="http://schemas.openxmlformats.org/officeDocument/2006/relationships/hyperlink" Target="http://twitter.com/Gwentforeurope/statuses/1521066896900112385" TargetMode="External"/><Relationship Id="rId325" Type="http://schemas.openxmlformats.org/officeDocument/2006/relationships/hyperlink" Target="http://pbs.twimg.com/profile_images/1352979252254277635/rNahKhYy_normal.jpg" TargetMode="External"/><Relationship Id="rId324" Type="http://schemas.openxmlformats.org/officeDocument/2006/relationships/hyperlink" Target="http://twitter.com/blucienwilliams/statuses/1521066905385291776" TargetMode="External"/><Relationship Id="rId329" Type="http://schemas.openxmlformats.org/officeDocument/2006/relationships/hyperlink" Target="http://pbs.twimg.com/profile_images/1339892929209446400/HbT9t4iU_normal.jpg" TargetMode="External"/><Relationship Id="rId328" Type="http://schemas.openxmlformats.org/officeDocument/2006/relationships/hyperlink" Target="http://twitter.com/SportIntegrity/statuses/1521066837131337731" TargetMode="External"/><Relationship Id="rId3571" Type="http://schemas.openxmlformats.org/officeDocument/2006/relationships/hyperlink" Target="http://pbs.twimg.com/profile_images/980937061086781441/isfep4Fs_normal.jpg" TargetMode="External"/><Relationship Id="rId2240" Type="http://schemas.openxmlformats.org/officeDocument/2006/relationships/hyperlink" Target="http://twitter.com/IanGreenwood6/statuses/1521033208405630976" TargetMode="External"/><Relationship Id="rId3570" Type="http://schemas.openxmlformats.org/officeDocument/2006/relationships/hyperlink" Target="http://twitter.com/GM_RayKeene/statuses/1521009886015938560" TargetMode="External"/><Relationship Id="rId2241" Type="http://schemas.openxmlformats.org/officeDocument/2006/relationships/hyperlink" Target="http://pbs.twimg.com/profile_images/1360317845255634951/d8kseJQQ_normal.jpg" TargetMode="External"/><Relationship Id="rId3573" Type="http://schemas.openxmlformats.org/officeDocument/2006/relationships/hyperlink" Target="http://pbs.twimg.com/profile_images/1352715926534291457/s9mXLmNB_normal.jpg" TargetMode="External"/><Relationship Id="rId2242" Type="http://schemas.openxmlformats.org/officeDocument/2006/relationships/hyperlink" Target="http://twitter.com/AnnetteSilvest3/statuses/1521033144572563462" TargetMode="External"/><Relationship Id="rId3572" Type="http://schemas.openxmlformats.org/officeDocument/2006/relationships/hyperlink" Target="http://twitter.com/WizBish/statuses/1521009880030662656" TargetMode="External"/><Relationship Id="rId323" Type="http://schemas.openxmlformats.org/officeDocument/2006/relationships/hyperlink" Target="http://pbs.twimg.com/profile_images/1486039934049964040/xjd3T12I_normal.jpg" TargetMode="External"/><Relationship Id="rId2243" Type="http://schemas.openxmlformats.org/officeDocument/2006/relationships/hyperlink" Target="http://pbs.twimg.com/profile_images/1494256073280208898/gic9IqKt_normal.jpg" TargetMode="External"/><Relationship Id="rId3575" Type="http://schemas.openxmlformats.org/officeDocument/2006/relationships/hyperlink" Target="http://pbs.twimg.com/profile_images/1352715926534291457/s9mXLmNB_normal.jpg" TargetMode="External"/><Relationship Id="rId322" Type="http://schemas.openxmlformats.org/officeDocument/2006/relationships/hyperlink" Target="http://twitter.com/DrGLonergan/statuses/1521066912888860673" TargetMode="External"/><Relationship Id="rId2244" Type="http://schemas.openxmlformats.org/officeDocument/2006/relationships/hyperlink" Target="http://twitter.com/RTomDavies1/statuses/1521033110003011584" TargetMode="External"/><Relationship Id="rId3574" Type="http://schemas.openxmlformats.org/officeDocument/2006/relationships/hyperlink" Target="http://twitter.com/L_Western/statuses/1521009861416431617" TargetMode="External"/><Relationship Id="rId321" Type="http://schemas.openxmlformats.org/officeDocument/2006/relationships/hyperlink" Target="http://pbs.twimg.com/profile_images/851555325283098624/ZE-pSsXo_normal.jpg" TargetMode="External"/><Relationship Id="rId2245" Type="http://schemas.openxmlformats.org/officeDocument/2006/relationships/hyperlink" Target="http://pbs.twimg.com/profile_images/592049282833854464/5TRz97JN_normal.jpg" TargetMode="External"/><Relationship Id="rId3577" Type="http://schemas.openxmlformats.org/officeDocument/2006/relationships/hyperlink" Target="http://pbs.twimg.com/profile_images/1420327902/RB05-170611_normal.jpg" TargetMode="External"/><Relationship Id="rId320" Type="http://schemas.openxmlformats.org/officeDocument/2006/relationships/hyperlink" Target="http://twitter.com/tucker_sharon/statuses/1521066934741213191" TargetMode="External"/><Relationship Id="rId2246" Type="http://schemas.openxmlformats.org/officeDocument/2006/relationships/hyperlink" Target="http://twitter.com/IanGreenwood6/statuses/1521033070022782976" TargetMode="External"/><Relationship Id="rId3576" Type="http://schemas.openxmlformats.org/officeDocument/2006/relationships/hyperlink" Target="http://twitter.com/L_Western/statuses/1521009834912591875" TargetMode="External"/><Relationship Id="rId2236" Type="http://schemas.openxmlformats.org/officeDocument/2006/relationships/hyperlink" Target="http://twitter.com/IanGreenwood6/statuses/1521033242270392326" TargetMode="External"/><Relationship Id="rId3568" Type="http://schemas.openxmlformats.org/officeDocument/2006/relationships/hyperlink" Target="http://twitter.com/L_Western/statuses/1521009898145865733" TargetMode="External"/><Relationship Id="rId4899" Type="http://schemas.openxmlformats.org/officeDocument/2006/relationships/hyperlink" Target="http://pbs.twimg.com/profile_images/1482396865521987588/strWt6Ph_normal.jpg" TargetMode="External"/><Relationship Id="rId2237" Type="http://schemas.openxmlformats.org/officeDocument/2006/relationships/hyperlink" Target="http://pbs.twimg.com/profile_images/1244604227923652608/izgDy0-H_normal.jpg" TargetMode="External"/><Relationship Id="rId3567" Type="http://schemas.openxmlformats.org/officeDocument/2006/relationships/hyperlink" Target="http://pbs.twimg.com/profile_images/1352715926534291457/s9mXLmNB_normal.jpg" TargetMode="External"/><Relationship Id="rId4898" Type="http://schemas.openxmlformats.org/officeDocument/2006/relationships/hyperlink" Target="http://twitter.com/SimonTurkas/statuses/1520914385161621510" TargetMode="External"/><Relationship Id="rId2238" Type="http://schemas.openxmlformats.org/officeDocument/2006/relationships/hyperlink" Target="http://twitter.com/ARobinova/statuses/1521033226973761536" TargetMode="External"/><Relationship Id="rId2239" Type="http://schemas.openxmlformats.org/officeDocument/2006/relationships/hyperlink" Target="http://pbs.twimg.com/profile_images/592049282833854464/5TRz97JN_normal.jpg" TargetMode="External"/><Relationship Id="rId3569" Type="http://schemas.openxmlformats.org/officeDocument/2006/relationships/hyperlink" Target="http://pbs.twimg.com/profile_images/1198981412877193217/K29PeUph_normal.jpg" TargetMode="External"/><Relationship Id="rId316" Type="http://schemas.openxmlformats.org/officeDocument/2006/relationships/hyperlink" Target="http://twitter.com/cook_ythink/statuses/1521066955586867203" TargetMode="External"/><Relationship Id="rId315" Type="http://schemas.openxmlformats.org/officeDocument/2006/relationships/hyperlink" Target="http://pbs.twimg.com/profile_images/1253029507767906304/4iPbKjMF_normal.jpg" TargetMode="External"/><Relationship Id="rId314" Type="http://schemas.openxmlformats.org/officeDocument/2006/relationships/hyperlink" Target="http://twitter.com/tucker_sharon/statuses/1521066968664743941" TargetMode="External"/><Relationship Id="rId313" Type="http://schemas.openxmlformats.org/officeDocument/2006/relationships/hyperlink" Target="http://pbs.twimg.com/profile_images/1457987399955386370/M4YkJVvr_normal.jpg" TargetMode="External"/><Relationship Id="rId319" Type="http://schemas.openxmlformats.org/officeDocument/2006/relationships/hyperlink" Target="http://pbs.twimg.com/profile_images/1457987399955386370/M4YkJVvr_normal.jpg" TargetMode="External"/><Relationship Id="rId318" Type="http://schemas.openxmlformats.org/officeDocument/2006/relationships/hyperlink" Target="http://twitter.com/ruth_humble/statuses/1521066950046138368" TargetMode="External"/><Relationship Id="rId317" Type="http://schemas.openxmlformats.org/officeDocument/2006/relationships/hyperlink" Target="http://pbs.twimg.com/profile_images/3191631804/b21b85e9c4238a1f29bec75c167df6af_normal.jpeg" TargetMode="External"/><Relationship Id="rId3560" Type="http://schemas.openxmlformats.org/officeDocument/2006/relationships/hyperlink" Target="http://twitter.com/martin97903661/statuses/1521010126869700608" TargetMode="External"/><Relationship Id="rId4891" Type="http://schemas.openxmlformats.org/officeDocument/2006/relationships/hyperlink" Target="http://abs.twimg.com/sticky/default_profile_images/default_profile_normal.png" TargetMode="External"/><Relationship Id="rId4890" Type="http://schemas.openxmlformats.org/officeDocument/2006/relationships/hyperlink" Target="http://twitter.com/jeremysmith98/statuses/1520915264040312834" TargetMode="External"/><Relationship Id="rId2230" Type="http://schemas.openxmlformats.org/officeDocument/2006/relationships/hyperlink" Target="http://twitter.com/joao_kay/statuses/1521033501889507328" TargetMode="External"/><Relationship Id="rId3562" Type="http://schemas.openxmlformats.org/officeDocument/2006/relationships/hyperlink" Target="http://twitter.com/fatchaz61/statuses/1521010004840570882" TargetMode="External"/><Relationship Id="rId4893" Type="http://schemas.openxmlformats.org/officeDocument/2006/relationships/hyperlink" Target="http://pbs.twimg.com/profile_images/1024397459471122432/zUA9-eJg_normal.jpg" TargetMode="External"/><Relationship Id="rId2231" Type="http://schemas.openxmlformats.org/officeDocument/2006/relationships/hyperlink" Target="http://pbs.twimg.com/profile_images/929696103884144640/-NogAn3x_normal.jpg" TargetMode="External"/><Relationship Id="rId3561" Type="http://schemas.openxmlformats.org/officeDocument/2006/relationships/hyperlink" Target="http://pbs.twimg.com/profile_images/1507286962469847065/G4GeQiAJ_normal.jpg" TargetMode="External"/><Relationship Id="rId4892" Type="http://schemas.openxmlformats.org/officeDocument/2006/relationships/hyperlink" Target="http://twitter.com/JulianC2412/statuses/1520915031134769153" TargetMode="External"/><Relationship Id="rId312" Type="http://schemas.openxmlformats.org/officeDocument/2006/relationships/hyperlink" Target="http://twitter.com/VishaPhullah/statuses/1521066971600769025" TargetMode="External"/><Relationship Id="rId2232" Type="http://schemas.openxmlformats.org/officeDocument/2006/relationships/hyperlink" Target="http://twitter.com/richardcalhoun/statuses/1521033361128579073" TargetMode="External"/><Relationship Id="rId3564" Type="http://schemas.openxmlformats.org/officeDocument/2006/relationships/hyperlink" Target="http://twitter.com/BelgiumDip/statuses/1521009994300334080" TargetMode="External"/><Relationship Id="rId4895" Type="http://schemas.openxmlformats.org/officeDocument/2006/relationships/hyperlink" Target="http://pbs.twimg.com/profile_images/1024397459471122432/zUA9-eJg_normal.jpg" TargetMode="External"/><Relationship Id="rId311" Type="http://schemas.openxmlformats.org/officeDocument/2006/relationships/hyperlink" Target="http://pbs.twimg.com/profile_images/907504552974458880/khDu3PLN_normal.jpg" TargetMode="External"/><Relationship Id="rId2233" Type="http://schemas.openxmlformats.org/officeDocument/2006/relationships/hyperlink" Target="http://pbs.twimg.com/profile_images/1515070357706792960/WdLZhi6x_normal.jpg" TargetMode="External"/><Relationship Id="rId3563" Type="http://schemas.openxmlformats.org/officeDocument/2006/relationships/hyperlink" Target="http://pbs.twimg.com/profile_images/1371816650815778817/X15yDSEK_normal.jpg" TargetMode="External"/><Relationship Id="rId4894" Type="http://schemas.openxmlformats.org/officeDocument/2006/relationships/hyperlink" Target="http://twitter.com/EMSouthCheshire/statuses/1520915007009181698" TargetMode="External"/><Relationship Id="rId310" Type="http://schemas.openxmlformats.org/officeDocument/2006/relationships/hyperlink" Target="http://twitter.com/Gwentforeurope/statuses/1521066971948855296" TargetMode="External"/><Relationship Id="rId2234" Type="http://schemas.openxmlformats.org/officeDocument/2006/relationships/hyperlink" Target="http://twitter.com/danohagan/statuses/1521033255423778816" TargetMode="External"/><Relationship Id="rId3566" Type="http://schemas.openxmlformats.org/officeDocument/2006/relationships/hyperlink" Target="http://twitter.com/neighbour_kx/statuses/1521009952260775938" TargetMode="External"/><Relationship Id="rId4897" Type="http://schemas.openxmlformats.org/officeDocument/2006/relationships/hyperlink" Target="http://pbs.twimg.com/profile_images/1513272222357590016/PsJ1vHjg_normal.jpg" TargetMode="External"/><Relationship Id="rId2235" Type="http://schemas.openxmlformats.org/officeDocument/2006/relationships/hyperlink" Target="http://pbs.twimg.com/profile_images/592049282833854464/5TRz97JN_normal.jpg" TargetMode="External"/><Relationship Id="rId3565" Type="http://schemas.openxmlformats.org/officeDocument/2006/relationships/hyperlink" Target="http://pbs.twimg.com/profile_images/596769950620057603/7BEP0t8e_normal.jpg" TargetMode="External"/><Relationship Id="rId4896" Type="http://schemas.openxmlformats.org/officeDocument/2006/relationships/hyperlink" Target="http://twitter.com/EMSouthCheshire/statuses/1520914979494453248" TargetMode="External"/><Relationship Id="rId4040" Type="http://schemas.openxmlformats.org/officeDocument/2006/relationships/hyperlink" Target="http://twitter.com/MrESGrey/statuses/1520997427997777920" TargetMode="External"/><Relationship Id="rId5372" Type="http://schemas.openxmlformats.org/officeDocument/2006/relationships/hyperlink" Target="http://twitter.com/Roughbird/statuses/1520895298746335232" TargetMode="External"/><Relationship Id="rId5373" Type="http://schemas.openxmlformats.org/officeDocument/2006/relationships/hyperlink" Target="http://pbs.twimg.com/profile_images/1379309894495567873/0bND7Ya__normal.jpg" TargetMode="External"/><Relationship Id="rId4042" Type="http://schemas.openxmlformats.org/officeDocument/2006/relationships/hyperlink" Target="http://twitter.com/Meltarps75Mel/statuses/1520997306912448513" TargetMode="External"/><Relationship Id="rId5370" Type="http://schemas.openxmlformats.org/officeDocument/2006/relationships/hyperlink" Target="http://twitter.com/whnlaws/statuses/1520895310545174528" TargetMode="External"/><Relationship Id="rId4041" Type="http://schemas.openxmlformats.org/officeDocument/2006/relationships/hyperlink" Target="http://pbs.twimg.com/profile_images/1354083875513905154/HRqjxaUW_normal.jpg" TargetMode="External"/><Relationship Id="rId5371" Type="http://schemas.openxmlformats.org/officeDocument/2006/relationships/hyperlink" Target="http://pbs.twimg.com/profile_images/1497110347991465986/O1BlUICG_normal.jpg" TargetMode="External"/><Relationship Id="rId4044" Type="http://schemas.openxmlformats.org/officeDocument/2006/relationships/hyperlink" Target="http://twitter.com/Claire57139829/statuses/1520997224787984384" TargetMode="External"/><Relationship Id="rId5376" Type="http://schemas.openxmlformats.org/officeDocument/2006/relationships/hyperlink" Target="http://twitter.com/whnlaws/statuses/1520895212209713154" TargetMode="External"/><Relationship Id="rId4043" Type="http://schemas.openxmlformats.org/officeDocument/2006/relationships/hyperlink" Target="http://pbs.twimg.com/profile_images/1487304190099607556/9YlK0KEK_normal.jpg" TargetMode="External"/><Relationship Id="rId5377" Type="http://schemas.openxmlformats.org/officeDocument/2006/relationships/hyperlink" Target="http://abs.twimg.com/sticky/default_profile_images/default_profile_normal.png" TargetMode="External"/><Relationship Id="rId4046" Type="http://schemas.openxmlformats.org/officeDocument/2006/relationships/hyperlink" Target="http://twitter.com/StecEng22/statuses/1520997112787386375" TargetMode="External"/><Relationship Id="rId5374" Type="http://schemas.openxmlformats.org/officeDocument/2006/relationships/hyperlink" Target="http://twitter.com/pru_eu/statuses/1520895270573199360" TargetMode="External"/><Relationship Id="rId4045" Type="http://schemas.openxmlformats.org/officeDocument/2006/relationships/hyperlink" Target="http://abs.twimg.com/sticky/default_profile_images/default_profile_normal.png" TargetMode="External"/><Relationship Id="rId5375" Type="http://schemas.openxmlformats.org/officeDocument/2006/relationships/hyperlink" Target="http://pbs.twimg.com/profile_images/1477229581643894787/ObYUEoML_normal.jpg" TargetMode="External"/><Relationship Id="rId4048" Type="http://schemas.openxmlformats.org/officeDocument/2006/relationships/hyperlink" Target="http://twitter.com/valvebender/statuses/1520997043858198528" TargetMode="External"/><Relationship Id="rId4047" Type="http://schemas.openxmlformats.org/officeDocument/2006/relationships/hyperlink" Target="http://pbs.twimg.com/profile_images/749605528150704128/jN98kjNt_normal.jpg" TargetMode="External"/><Relationship Id="rId5378" Type="http://schemas.openxmlformats.org/officeDocument/2006/relationships/hyperlink" Target="http://twitter.com/JBKilpatrick/statuses/1520895160829325312" TargetMode="External"/><Relationship Id="rId4049" Type="http://schemas.openxmlformats.org/officeDocument/2006/relationships/hyperlink" Target="http://pbs.twimg.com/profile_images/1496845812491505666/jG42TsZb_normal.jpg" TargetMode="External"/><Relationship Id="rId5379" Type="http://schemas.openxmlformats.org/officeDocument/2006/relationships/hyperlink" Target="http://pbs.twimg.com/profile_images/1345146977391169536/KLJSLJiM_normal.jpg" TargetMode="External"/><Relationship Id="rId5361" Type="http://schemas.openxmlformats.org/officeDocument/2006/relationships/hyperlink" Target="http://pbs.twimg.com/profile_images/1497558085803687939/snPC2Zea_normal.jpg" TargetMode="External"/><Relationship Id="rId5362" Type="http://schemas.openxmlformats.org/officeDocument/2006/relationships/hyperlink" Target="http://twitter.com/Bournemouth4EU/statuses/1520895457186258947" TargetMode="External"/><Relationship Id="rId4031" Type="http://schemas.openxmlformats.org/officeDocument/2006/relationships/hyperlink" Target="http://pbs.twimg.com/profile_images/1412788261500735502/LTOwq8QG_normal.jpg" TargetMode="External"/><Relationship Id="rId4030" Type="http://schemas.openxmlformats.org/officeDocument/2006/relationships/hyperlink" Target="http://twitter.com/margarance/statuses/1520998030538850307" TargetMode="External"/><Relationship Id="rId5360" Type="http://schemas.openxmlformats.org/officeDocument/2006/relationships/hyperlink" Target="http://twitter.com/pbh100/statuses/1520895467990786053" TargetMode="External"/><Relationship Id="rId297" Type="http://schemas.openxmlformats.org/officeDocument/2006/relationships/hyperlink" Target="http://abs.twimg.com/sticky/default_profile_images/default_profile_normal.png" TargetMode="External"/><Relationship Id="rId4033" Type="http://schemas.openxmlformats.org/officeDocument/2006/relationships/hyperlink" Target="http://pbs.twimg.com/profile_images/1488448358100393988/tfsrBlbT_normal.jpg" TargetMode="External"/><Relationship Id="rId5365" Type="http://schemas.openxmlformats.org/officeDocument/2006/relationships/hyperlink" Target="http://pbs.twimg.com/profile_images/1024655260999184384/8V7n9pch_normal.jpg" TargetMode="External"/><Relationship Id="rId296" Type="http://schemas.openxmlformats.org/officeDocument/2006/relationships/hyperlink" Target="http://twitter.com/dickayl/statuses/1521067076357701639" TargetMode="External"/><Relationship Id="rId4032" Type="http://schemas.openxmlformats.org/officeDocument/2006/relationships/hyperlink" Target="http://twitter.com/WendyStringer17/statuses/1520997738829262848" TargetMode="External"/><Relationship Id="rId5366" Type="http://schemas.openxmlformats.org/officeDocument/2006/relationships/hyperlink" Target="http://twitter.com/FBM_MidStaffs/statuses/1520895403901829122" TargetMode="External"/><Relationship Id="rId295" Type="http://schemas.openxmlformats.org/officeDocument/2006/relationships/hyperlink" Target="http://pbs.twimg.com/profile_images/1268946860934340609/ehh6juVn_normal.jpg" TargetMode="External"/><Relationship Id="rId4035" Type="http://schemas.openxmlformats.org/officeDocument/2006/relationships/hyperlink" Target="http://pbs.twimg.com/profile_images/831875282512519170/nyeuDIK4_normal.jpg" TargetMode="External"/><Relationship Id="rId5363" Type="http://schemas.openxmlformats.org/officeDocument/2006/relationships/hyperlink" Target="http://pbs.twimg.com/profile_images/1513104972623265793/Qg6EeOfU_normal.jpg" TargetMode="External"/><Relationship Id="rId294" Type="http://schemas.openxmlformats.org/officeDocument/2006/relationships/hyperlink" Target="http://twitter.com/kipperc50/statuses/1521067087778795520" TargetMode="External"/><Relationship Id="rId4034" Type="http://schemas.openxmlformats.org/officeDocument/2006/relationships/hyperlink" Target="http://twitter.com/WH1959/statuses/1520997680545210369" TargetMode="External"/><Relationship Id="rId5364" Type="http://schemas.openxmlformats.org/officeDocument/2006/relationships/hyperlink" Target="http://twitter.com/jngraphs/statuses/1520895431429038083" TargetMode="External"/><Relationship Id="rId4037" Type="http://schemas.openxmlformats.org/officeDocument/2006/relationships/hyperlink" Target="http://pbs.twimg.com/profile_images/514024838504005632/YQWS9u2a_normal.png" TargetMode="External"/><Relationship Id="rId5369" Type="http://schemas.openxmlformats.org/officeDocument/2006/relationships/hyperlink" Target="http://pbs.twimg.com/profile_images/1477229581643894787/ObYUEoML_normal.jpg" TargetMode="External"/><Relationship Id="rId4036" Type="http://schemas.openxmlformats.org/officeDocument/2006/relationships/hyperlink" Target="http://twitter.com/micklayhe/statuses/1520997503751106560" TargetMode="External"/><Relationship Id="rId299" Type="http://schemas.openxmlformats.org/officeDocument/2006/relationships/hyperlink" Target="http://pbs.twimg.com/profile_images/1076875303107133442/B3BH8Re0_normal.jpg" TargetMode="External"/><Relationship Id="rId4039" Type="http://schemas.openxmlformats.org/officeDocument/2006/relationships/hyperlink" Target="http://pbs.twimg.com/profile_images/1487502010727518209/hxzbJcWR_normal.jpg" TargetMode="External"/><Relationship Id="rId5367" Type="http://schemas.openxmlformats.org/officeDocument/2006/relationships/hyperlink" Target="http://pbs.twimg.com/profile_images/1011498662848073728/y92RkQML_normal.jpg" TargetMode="External"/><Relationship Id="rId298" Type="http://schemas.openxmlformats.org/officeDocument/2006/relationships/hyperlink" Target="http://twitter.com/Shaukat786786/statuses/1521067067067322369" TargetMode="External"/><Relationship Id="rId4038" Type="http://schemas.openxmlformats.org/officeDocument/2006/relationships/hyperlink" Target="http://twitter.com/ellenwhiteworld/statuses/1520997451133562880" TargetMode="External"/><Relationship Id="rId5368" Type="http://schemas.openxmlformats.org/officeDocument/2006/relationships/hyperlink" Target="http://twitter.com/KelsallDaniel/statuses/1520895384071155714" TargetMode="External"/><Relationship Id="rId5390" Type="http://schemas.openxmlformats.org/officeDocument/2006/relationships/hyperlink" Target="http://twitter.com/chrysha22/statuses/1520894861070807040" TargetMode="External"/><Relationship Id="rId5391" Type="http://schemas.openxmlformats.org/officeDocument/2006/relationships/hyperlink" Target="http://pbs.twimg.com/profile_images/1421945416422203394/E9sTlmky_normal.jpg" TargetMode="External"/><Relationship Id="rId4060" Type="http://schemas.openxmlformats.org/officeDocument/2006/relationships/hyperlink" Target="http://twitter.com/Ewa70327182/statuses/1520996261024911360" TargetMode="External"/><Relationship Id="rId4062" Type="http://schemas.openxmlformats.org/officeDocument/2006/relationships/hyperlink" Target="http://twitter.com/Ewa70327182/statuses/1520996159522758657" TargetMode="External"/><Relationship Id="rId5394" Type="http://schemas.openxmlformats.org/officeDocument/2006/relationships/hyperlink" Target="http://twitter.com/JohnKLDN/statuses/1520894852950642690" TargetMode="External"/><Relationship Id="rId4061" Type="http://schemas.openxmlformats.org/officeDocument/2006/relationships/hyperlink" Target="http://pbs.twimg.com/profile_images/1344566137011503104/4TT6cB-5_normal.jpg" TargetMode="External"/><Relationship Id="rId5395" Type="http://schemas.openxmlformats.org/officeDocument/2006/relationships/hyperlink" Target="http://pbs.twimg.com/profile_images/1110883721958383616/lcJ8qzed_normal.jpg" TargetMode="External"/><Relationship Id="rId4064" Type="http://schemas.openxmlformats.org/officeDocument/2006/relationships/hyperlink" Target="http://twitter.com/Ewa70327182/statuses/1520996104724267008" TargetMode="External"/><Relationship Id="rId5392" Type="http://schemas.openxmlformats.org/officeDocument/2006/relationships/hyperlink" Target="http://twitter.com/corinna_gregory/statuses/1520894860156416001" TargetMode="External"/><Relationship Id="rId4063" Type="http://schemas.openxmlformats.org/officeDocument/2006/relationships/hyperlink" Target="http://pbs.twimg.com/profile_images/1344566137011503104/4TT6cB-5_normal.jpg" TargetMode="External"/><Relationship Id="rId5393" Type="http://schemas.openxmlformats.org/officeDocument/2006/relationships/hyperlink" Target="http://pbs.twimg.com/profile_images/1224491997030907904/ijyV4Dwh_normal.jpg" TargetMode="External"/><Relationship Id="rId4066" Type="http://schemas.openxmlformats.org/officeDocument/2006/relationships/hyperlink" Target="http://twitter.com/RatherBeAfloat/statuses/1520995966727426048" TargetMode="External"/><Relationship Id="rId5398" Type="http://schemas.openxmlformats.org/officeDocument/2006/relationships/hyperlink" Target="http://twitter.com/cardiff_martian/statuses/1520894816057442305" TargetMode="External"/><Relationship Id="rId4065" Type="http://schemas.openxmlformats.org/officeDocument/2006/relationships/hyperlink" Target="http://pbs.twimg.com/profile_images/419501578538610688/5Lp1k9Md_normal.jpeg" TargetMode="External"/><Relationship Id="rId5399" Type="http://schemas.openxmlformats.org/officeDocument/2006/relationships/hyperlink" Target="http://pbs.twimg.com/profile_images/649704744177520640/JoGy7UBL_normal.jpg" TargetMode="External"/><Relationship Id="rId4068" Type="http://schemas.openxmlformats.org/officeDocument/2006/relationships/hyperlink" Target="http://twitter.com/Therese32449599/statuses/1520995939611254785" TargetMode="External"/><Relationship Id="rId5396" Type="http://schemas.openxmlformats.org/officeDocument/2006/relationships/hyperlink" Target="http://twitter.com/AndrewRemainEU/statuses/1520894851604267009" TargetMode="External"/><Relationship Id="rId4067" Type="http://schemas.openxmlformats.org/officeDocument/2006/relationships/hyperlink" Target="http://pbs.twimg.com/profile_images/1397803703973908480/--c4HO78_normal.jpg" TargetMode="External"/><Relationship Id="rId5397" Type="http://schemas.openxmlformats.org/officeDocument/2006/relationships/hyperlink" Target="http://pbs.twimg.com/profile_images/1029000573834731523/UP46oBLb_normal.jpg" TargetMode="External"/><Relationship Id="rId4069" Type="http://schemas.openxmlformats.org/officeDocument/2006/relationships/hyperlink" Target="http://pbs.twimg.com/profile_images/1456558729462231042/4ynG4Ku__normal.jpg" TargetMode="External"/><Relationship Id="rId5380" Type="http://schemas.openxmlformats.org/officeDocument/2006/relationships/hyperlink" Target="http://twitter.com/jccharnock/statuses/1520895134891712512" TargetMode="External"/><Relationship Id="rId4051" Type="http://schemas.openxmlformats.org/officeDocument/2006/relationships/hyperlink" Target="http://pbs.twimg.com/profile_images/1157271631196278784/t_OTp3kA_normal.jpg" TargetMode="External"/><Relationship Id="rId5383" Type="http://schemas.openxmlformats.org/officeDocument/2006/relationships/hyperlink" Target="http://pbs.twimg.com/profile_images/1520054705937866752/2N08Fe6-_normal.jpg" TargetMode="External"/><Relationship Id="rId4050" Type="http://schemas.openxmlformats.org/officeDocument/2006/relationships/hyperlink" Target="http://twitter.com/Bewlboy/statuses/1520996993291722754" TargetMode="External"/><Relationship Id="rId5384" Type="http://schemas.openxmlformats.org/officeDocument/2006/relationships/hyperlink" Target="http://twitter.com/MsTweets17/statuses/1520894966637203456" TargetMode="External"/><Relationship Id="rId4053" Type="http://schemas.openxmlformats.org/officeDocument/2006/relationships/hyperlink" Target="http://pbs.twimg.com/profile_images/1455487436096745478/YeqNkOnK_normal.jpg" TargetMode="External"/><Relationship Id="rId5381" Type="http://schemas.openxmlformats.org/officeDocument/2006/relationships/hyperlink" Target="http://pbs.twimg.com/profile_images/2438429891/km2617q5w7ok0kng9qxp_normal.jpeg" TargetMode="External"/><Relationship Id="rId4052" Type="http://schemas.openxmlformats.org/officeDocument/2006/relationships/hyperlink" Target="http://twitter.com/DutchNewchurch/statuses/1520996781949083648" TargetMode="External"/><Relationship Id="rId5382" Type="http://schemas.openxmlformats.org/officeDocument/2006/relationships/hyperlink" Target="http://twitter.com/Andymorgantwit/statuses/1520895043573329922" TargetMode="External"/><Relationship Id="rId4055" Type="http://schemas.openxmlformats.org/officeDocument/2006/relationships/hyperlink" Target="http://pbs.twimg.com/profile_images/2215956789/Cornwall-20120406-00080_normal.jpg" TargetMode="External"/><Relationship Id="rId5387" Type="http://schemas.openxmlformats.org/officeDocument/2006/relationships/hyperlink" Target="http://abs.twimg.com/sticky/default_profile_images/default_profile_normal.png" TargetMode="External"/><Relationship Id="rId4054" Type="http://schemas.openxmlformats.org/officeDocument/2006/relationships/hyperlink" Target="http://twitter.com/sammwittings/statuses/1520996444106379266" TargetMode="External"/><Relationship Id="rId5388" Type="http://schemas.openxmlformats.org/officeDocument/2006/relationships/hyperlink" Target="http://twitter.com/Wantage991/statuses/1520894864942157825" TargetMode="External"/><Relationship Id="rId4057" Type="http://schemas.openxmlformats.org/officeDocument/2006/relationships/hyperlink" Target="http://pbs.twimg.com/profile_images/1479370838398930944/peHPbnbM_normal.jpg" TargetMode="External"/><Relationship Id="rId5385" Type="http://schemas.openxmlformats.org/officeDocument/2006/relationships/hyperlink" Target="http://pbs.twimg.com/profile_images/1353690551804178433/Gw_dO7U6_normal.jpg" TargetMode="External"/><Relationship Id="rId4056" Type="http://schemas.openxmlformats.org/officeDocument/2006/relationships/hyperlink" Target="http://twitter.com/ScottBIngram/statuses/1520996361822478336" TargetMode="External"/><Relationship Id="rId5386" Type="http://schemas.openxmlformats.org/officeDocument/2006/relationships/hyperlink" Target="http://twitter.com/donaldstavert/statuses/1520894892838428678" TargetMode="External"/><Relationship Id="rId4059" Type="http://schemas.openxmlformats.org/officeDocument/2006/relationships/hyperlink" Target="http://pbs.twimg.com/profile_images/1344566137011503104/4TT6cB-5_normal.jpg" TargetMode="External"/><Relationship Id="rId4058" Type="http://schemas.openxmlformats.org/officeDocument/2006/relationships/hyperlink" Target="http://twitter.com/Bumbo13355293/statuses/1520996305509785601" TargetMode="External"/><Relationship Id="rId5389" Type="http://schemas.openxmlformats.org/officeDocument/2006/relationships/hyperlink" Target="http://pbs.twimg.com/profile_images/1497376597426454528/tWzKjivo_normal.jpg" TargetMode="External"/><Relationship Id="rId4008" Type="http://schemas.openxmlformats.org/officeDocument/2006/relationships/hyperlink" Target="http://twitter.com/DudleydeBeau/statuses/1520998405522300932" TargetMode="External"/><Relationship Id="rId4007" Type="http://schemas.openxmlformats.org/officeDocument/2006/relationships/hyperlink" Target="http://pbs.twimg.com/profile_images/1447598761962786826/KkgrAoeh_normal.jpg" TargetMode="External"/><Relationship Id="rId5338" Type="http://schemas.openxmlformats.org/officeDocument/2006/relationships/hyperlink" Target="http://twitter.com/notjustpensions/statuses/1520896254691225600" TargetMode="External"/><Relationship Id="rId4009" Type="http://schemas.openxmlformats.org/officeDocument/2006/relationships/hyperlink" Target="http://pbs.twimg.com/profile_images/1473024269202436106/6FCHfEXi_normal.jpg" TargetMode="External"/><Relationship Id="rId5339" Type="http://schemas.openxmlformats.org/officeDocument/2006/relationships/hyperlink" Target="http://pbs.twimg.com/profile_images/1512872188885745667/wst3zDfR_normal.png" TargetMode="External"/><Relationship Id="rId271" Type="http://schemas.openxmlformats.org/officeDocument/2006/relationships/hyperlink" Target="http://pbs.twimg.com/profile_images/460754227371851776/_w3qOZWi_normal.jpeg" TargetMode="External"/><Relationship Id="rId270" Type="http://schemas.openxmlformats.org/officeDocument/2006/relationships/hyperlink" Target="http://twitter.com/Shaukat786786/statuses/1521067261892730880" TargetMode="External"/><Relationship Id="rId269" Type="http://schemas.openxmlformats.org/officeDocument/2006/relationships/hyperlink" Target="http://abs.twimg.com/sticky/default_profile_images/default_profile_normal.png" TargetMode="External"/><Relationship Id="rId264" Type="http://schemas.openxmlformats.org/officeDocument/2006/relationships/hyperlink" Target="http://twitter.com/G123Kenny/statuses/1521067353676595201" TargetMode="External"/><Relationship Id="rId4000" Type="http://schemas.openxmlformats.org/officeDocument/2006/relationships/hyperlink" Target="http://twitter.com/anonHaak/statuses/1520999233758801921" TargetMode="External"/><Relationship Id="rId5332" Type="http://schemas.openxmlformats.org/officeDocument/2006/relationships/hyperlink" Target="http://twitter.com/CarpyGwilliam/statuses/1520896400208371717" TargetMode="External"/><Relationship Id="rId263" Type="http://schemas.openxmlformats.org/officeDocument/2006/relationships/hyperlink" Target="http://pbs.twimg.com/profile_images/1342387515341287424/bzq-p9E5_normal.jpg" TargetMode="External"/><Relationship Id="rId5333" Type="http://schemas.openxmlformats.org/officeDocument/2006/relationships/hyperlink" Target="http://pbs.twimg.com/profile_images/789231800136691712/4QmS7nyr_normal.jpg" TargetMode="External"/><Relationship Id="rId262" Type="http://schemas.openxmlformats.org/officeDocument/2006/relationships/hyperlink" Target="http://twitter.com/M1JSS/statuses/1521067365286490112" TargetMode="External"/><Relationship Id="rId4002" Type="http://schemas.openxmlformats.org/officeDocument/2006/relationships/hyperlink" Target="http://twitter.com/RolandCPowell/statuses/1520998831223099392" TargetMode="External"/><Relationship Id="rId5330" Type="http://schemas.openxmlformats.org/officeDocument/2006/relationships/hyperlink" Target="http://twitter.com/kieranhegarty12/statuses/1520896438376579072" TargetMode="External"/><Relationship Id="rId261" Type="http://schemas.openxmlformats.org/officeDocument/2006/relationships/hyperlink" Target="http://pbs.twimg.com/profile_images/1163418348845195264/Pvsrj_27_normal.jpg" TargetMode="External"/><Relationship Id="rId4001" Type="http://schemas.openxmlformats.org/officeDocument/2006/relationships/hyperlink" Target="http://pbs.twimg.com/profile_images/1494004557604704256/2KdVxnHx_normal.jpg" TargetMode="External"/><Relationship Id="rId5331" Type="http://schemas.openxmlformats.org/officeDocument/2006/relationships/hyperlink" Target="http://pbs.twimg.com/profile_images/907948816627888128/pG1B6x9I_normal.jpg" TargetMode="External"/><Relationship Id="rId268" Type="http://schemas.openxmlformats.org/officeDocument/2006/relationships/hyperlink" Target="http://twitter.com/M1JSS/statuses/1521067304930496512" TargetMode="External"/><Relationship Id="rId4004" Type="http://schemas.openxmlformats.org/officeDocument/2006/relationships/hyperlink" Target="http://twitter.com/007dnf/statuses/1520998502838734848" TargetMode="External"/><Relationship Id="rId5336" Type="http://schemas.openxmlformats.org/officeDocument/2006/relationships/hyperlink" Target="http://twitter.com/MobilityCooper/statuses/1520896255714549769" TargetMode="External"/><Relationship Id="rId267" Type="http://schemas.openxmlformats.org/officeDocument/2006/relationships/hyperlink" Target="http://pbs.twimg.com/profile_images/1163418348845195264/Pvsrj_27_normal.jpg" TargetMode="External"/><Relationship Id="rId4003" Type="http://schemas.openxmlformats.org/officeDocument/2006/relationships/hyperlink" Target="http://pbs.twimg.com/profile_images/1475485522978127878/WNsdfax5_normal.jpg" TargetMode="External"/><Relationship Id="rId5337" Type="http://schemas.openxmlformats.org/officeDocument/2006/relationships/hyperlink" Target="http://pbs.twimg.com/profile_images/1457302667466838016/Gqo28Lrq_normal.jpg" TargetMode="External"/><Relationship Id="rId266" Type="http://schemas.openxmlformats.org/officeDocument/2006/relationships/hyperlink" Target="http://twitter.com/M1JSS/statuses/1521067332214431744" TargetMode="External"/><Relationship Id="rId4006" Type="http://schemas.openxmlformats.org/officeDocument/2006/relationships/hyperlink" Target="http://twitter.com/JimPybus/statuses/1520998444177006592" TargetMode="External"/><Relationship Id="rId5334" Type="http://schemas.openxmlformats.org/officeDocument/2006/relationships/hyperlink" Target="http://twitter.com/bhuddagosa/statuses/1520896389722562567" TargetMode="External"/><Relationship Id="rId265" Type="http://schemas.openxmlformats.org/officeDocument/2006/relationships/hyperlink" Target="http://pbs.twimg.com/profile_images/1163418348845195264/Pvsrj_27_normal.jpg" TargetMode="External"/><Relationship Id="rId4005" Type="http://schemas.openxmlformats.org/officeDocument/2006/relationships/hyperlink" Target="http://pbs.twimg.com/profile_images/552956206629679104/XyINPF7W_normal.jpeg" TargetMode="External"/><Relationship Id="rId5335" Type="http://schemas.openxmlformats.org/officeDocument/2006/relationships/hyperlink" Target="http://pbs.twimg.com/profile_images/1848505237/Coops_in_Dolomites_normal.JPG" TargetMode="External"/><Relationship Id="rId5329" Type="http://schemas.openxmlformats.org/officeDocument/2006/relationships/hyperlink" Target="http://pbs.twimg.com/profile_images/1497133750085468166/Hu-zR1Po_normal.jpg" TargetMode="External"/><Relationship Id="rId5327" Type="http://schemas.openxmlformats.org/officeDocument/2006/relationships/hyperlink" Target="http://pbs.twimg.com/profile_images/1514681910706024449/ZosEN6GW_normal.jpg" TargetMode="External"/><Relationship Id="rId5328" Type="http://schemas.openxmlformats.org/officeDocument/2006/relationships/hyperlink" Target="http://twitter.com/TrevorWAllman/statuses/1520896496748613633" TargetMode="External"/><Relationship Id="rId260" Type="http://schemas.openxmlformats.org/officeDocument/2006/relationships/hyperlink" Target="http://twitter.com/stephelle50/statuses/1521067373251502080" TargetMode="External"/><Relationship Id="rId259" Type="http://schemas.openxmlformats.org/officeDocument/2006/relationships/hyperlink" Target="http://pbs.twimg.com/profile_images/1490318687718543362/SsYqUmH1_normal.jpg" TargetMode="External"/><Relationship Id="rId258" Type="http://schemas.openxmlformats.org/officeDocument/2006/relationships/hyperlink" Target="http://twitter.com/Exiled_B/statuses/1521067430512148481" TargetMode="External"/><Relationship Id="rId2290" Type="http://schemas.openxmlformats.org/officeDocument/2006/relationships/hyperlink" Target="http://twitter.com/rickglyn/statuses/1521032365979713536" TargetMode="External"/><Relationship Id="rId2291" Type="http://schemas.openxmlformats.org/officeDocument/2006/relationships/hyperlink" Target="http://pbs.twimg.com/profile_images/1448704230244630534/Q2k-GKgw_normal.jpg" TargetMode="External"/><Relationship Id="rId2292" Type="http://schemas.openxmlformats.org/officeDocument/2006/relationships/hyperlink" Target="http://twitter.com/joanna_nicolson/statuses/1521032363488256001" TargetMode="External"/><Relationship Id="rId2293" Type="http://schemas.openxmlformats.org/officeDocument/2006/relationships/hyperlink" Target="http://pbs.twimg.com/profile_images/1460170972791820292/56yXuhu0_normal.jpg" TargetMode="External"/><Relationship Id="rId253" Type="http://schemas.openxmlformats.org/officeDocument/2006/relationships/hyperlink" Target="http://pbs.twimg.com/profile_images/1300675257238511622/_Hc1rCNR_normal.jpg" TargetMode="External"/><Relationship Id="rId2294" Type="http://schemas.openxmlformats.org/officeDocument/2006/relationships/hyperlink" Target="http://twitter.com/SurreyHeathLDs/statuses/1521032331536048129" TargetMode="External"/><Relationship Id="rId5321" Type="http://schemas.openxmlformats.org/officeDocument/2006/relationships/hyperlink" Target="http://pbs.twimg.com/profile_images/1157573977046470656/WGJ743R6_normal.jpg" TargetMode="External"/><Relationship Id="rId252" Type="http://schemas.openxmlformats.org/officeDocument/2006/relationships/hyperlink" Target="http://twitter.com/AlacantPeter/statuses/1521067577082093568" TargetMode="External"/><Relationship Id="rId2295" Type="http://schemas.openxmlformats.org/officeDocument/2006/relationships/hyperlink" Target="http://pbs.twimg.com/profile_images/1035203835734773760/gGDgrVpd_normal.jpg" TargetMode="External"/><Relationship Id="rId5322" Type="http://schemas.openxmlformats.org/officeDocument/2006/relationships/hyperlink" Target="http://twitter.com/boblister_poole/statuses/1520896615493550080" TargetMode="External"/><Relationship Id="rId251" Type="http://schemas.openxmlformats.org/officeDocument/2006/relationships/hyperlink" Target="http://pbs.twimg.com/profile_images/1498282373439537152/WzaSsWyB_normal.jpg" TargetMode="External"/><Relationship Id="rId2296" Type="http://schemas.openxmlformats.org/officeDocument/2006/relationships/hyperlink" Target="http://twitter.com/DavidHeadViews/statuses/1521032329430507523" TargetMode="External"/><Relationship Id="rId250" Type="http://schemas.openxmlformats.org/officeDocument/2006/relationships/hyperlink" Target="http://twitter.com/DavidHeadViews/statuses/1521067607943782400" TargetMode="External"/><Relationship Id="rId2297" Type="http://schemas.openxmlformats.org/officeDocument/2006/relationships/hyperlink" Target="http://pbs.twimg.com/profile_images/1267865826209792000/F3PQCunp_normal.jpg" TargetMode="External"/><Relationship Id="rId5320" Type="http://schemas.openxmlformats.org/officeDocument/2006/relationships/hyperlink" Target="http://twitter.com/LucaTon42167012/statuses/1520896736079892491" TargetMode="External"/><Relationship Id="rId257" Type="http://schemas.openxmlformats.org/officeDocument/2006/relationships/hyperlink" Target="http://pbs.twimg.com/profile_images/1469631071088218118/gSde5JlV_normal.jpg" TargetMode="External"/><Relationship Id="rId2298" Type="http://schemas.openxmlformats.org/officeDocument/2006/relationships/hyperlink" Target="http://twitter.com/vickijohnson151/statuses/1521032290461261824" TargetMode="External"/><Relationship Id="rId5325" Type="http://schemas.openxmlformats.org/officeDocument/2006/relationships/hyperlink" Target="http://pbs.twimg.com/profile_images/656774694893408256/tIQJ6sBn_normal.jpg" TargetMode="External"/><Relationship Id="rId256" Type="http://schemas.openxmlformats.org/officeDocument/2006/relationships/hyperlink" Target="http://twitter.com/NeilsCub/statuses/1521067441450897410" TargetMode="External"/><Relationship Id="rId2299" Type="http://schemas.openxmlformats.org/officeDocument/2006/relationships/hyperlink" Target="http://pbs.twimg.com/profile_images/1413997364/richardg2_normal.png" TargetMode="External"/><Relationship Id="rId5326" Type="http://schemas.openxmlformats.org/officeDocument/2006/relationships/hyperlink" Target="http://twitter.com/bootleian/statuses/1520896497650663424" TargetMode="External"/><Relationship Id="rId255" Type="http://schemas.openxmlformats.org/officeDocument/2006/relationships/hyperlink" Target="http://pbs.twimg.com/profile_images/874043652867313664/aoJIyE4B_normal.jpg" TargetMode="External"/><Relationship Id="rId5323" Type="http://schemas.openxmlformats.org/officeDocument/2006/relationships/hyperlink" Target="http://pbs.twimg.com/profile_images/875819971762376704/EH-CtcBK_normal.jpg" TargetMode="External"/><Relationship Id="rId254" Type="http://schemas.openxmlformats.org/officeDocument/2006/relationships/hyperlink" Target="http://twitter.com/UKandEU/statuses/1521067472991969281" TargetMode="External"/><Relationship Id="rId5324" Type="http://schemas.openxmlformats.org/officeDocument/2006/relationships/hyperlink" Target="http://twitter.com/dammitjanice/statuses/1520896606702534657" TargetMode="External"/><Relationship Id="rId4029" Type="http://schemas.openxmlformats.org/officeDocument/2006/relationships/hyperlink" Target="http://pbs.twimg.com/profile_images/1497223426456567847/XEl14Yir_normal.jpg" TargetMode="External"/><Relationship Id="rId293" Type="http://schemas.openxmlformats.org/officeDocument/2006/relationships/hyperlink" Target="http://pbs.twimg.com/profile_images/1729444805/Craigavon_bridbe_normal.jpg" TargetMode="External"/><Relationship Id="rId292" Type="http://schemas.openxmlformats.org/officeDocument/2006/relationships/hyperlink" Target="http://twitter.com/VishaPhullah/statuses/1521067107475148800" TargetMode="External"/><Relationship Id="rId291" Type="http://schemas.openxmlformats.org/officeDocument/2006/relationships/hyperlink" Target="http://pbs.twimg.com/profile_images/907504552974458880/khDu3PLN_normal.jpg" TargetMode="External"/><Relationship Id="rId290" Type="http://schemas.openxmlformats.org/officeDocument/2006/relationships/hyperlink" Target="http://twitter.com/ruth_humble/statuses/1521067114886488067" TargetMode="External"/><Relationship Id="rId5350" Type="http://schemas.openxmlformats.org/officeDocument/2006/relationships/hyperlink" Target="http://twitter.com/JolandaGjoni/statuses/1520895887748345860" TargetMode="External"/><Relationship Id="rId5351" Type="http://schemas.openxmlformats.org/officeDocument/2006/relationships/hyperlink" Target="http://pbs.twimg.com/profile_images/1497892375154380812/oRCJEtMR_normal.jpg" TargetMode="External"/><Relationship Id="rId4020" Type="http://schemas.openxmlformats.org/officeDocument/2006/relationships/hyperlink" Target="http://twitter.com/anonHaak/statuses/1520998149216563200" TargetMode="External"/><Relationship Id="rId286" Type="http://schemas.openxmlformats.org/officeDocument/2006/relationships/hyperlink" Target="http://twitter.com/VishaPhullah/statuses/1521067135560212482" TargetMode="External"/><Relationship Id="rId4022" Type="http://schemas.openxmlformats.org/officeDocument/2006/relationships/hyperlink" Target="http://twitter.com/Meltarps75Mel/statuses/1520998147891339264" TargetMode="External"/><Relationship Id="rId5354" Type="http://schemas.openxmlformats.org/officeDocument/2006/relationships/hyperlink" Target="http://twitter.com/deescattered/statuses/1520895738254958593" TargetMode="External"/><Relationship Id="rId285" Type="http://schemas.openxmlformats.org/officeDocument/2006/relationships/hyperlink" Target="http://pbs.twimg.com/profile_images/907504552974458880/khDu3PLN_normal.jpg" TargetMode="External"/><Relationship Id="rId4021" Type="http://schemas.openxmlformats.org/officeDocument/2006/relationships/hyperlink" Target="http://pbs.twimg.com/profile_images/1354083875513905154/HRqjxaUW_normal.jpg" TargetMode="External"/><Relationship Id="rId5355" Type="http://schemas.openxmlformats.org/officeDocument/2006/relationships/hyperlink" Target="http://pbs.twimg.com/profile_images/1479616325899239428/tu0sk9GI_normal.jpg" TargetMode="External"/><Relationship Id="rId284" Type="http://schemas.openxmlformats.org/officeDocument/2006/relationships/hyperlink" Target="http://twitter.com/Shaukat786786/statuses/1521067175360057345" TargetMode="External"/><Relationship Id="rId4024" Type="http://schemas.openxmlformats.org/officeDocument/2006/relationships/hyperlink" Target="http://twitter.com/Meltarps75Mel/statuses/1520998122369044480" TargetMode="External"/><Relationship Id="rId5352" Type="http://schemas.openxmlformats.org/officeDocument/2006/relationships/hyperlink" Target="http://twitter.com/castervaria/statuses/1520895842663686144" TargetMode="External"/><Relationship Id="rId283" Type="http://schemas.openxmlformats.org/officeDocument/2006/relationships/hyperlink" Target="http://abs.twimg.com/sticky/default_profile_images/default_profile_normal.png" TargetMode="External"/><Relationship Id="rId4023" Type="http://schemas.openxmlformats.org/officeDocument/2006/relationships/hyperlink" Target="http://pbs.twimg.com/profile_images/1354083875513905154/HRqjxaUW_normal.jpg" TargetMode="External"/><Relationship Id="rId5353" Type="http://schemas.openxmlformats.org/officeDocument/2006/relationships/hyperlink" Target="http://pbs.twimg.com/profile_images/1499202239344386048/Jjk0J6xK_normal.jpg" TargetMode="External"/><Relationship Id="rId4026" Type="http://schemas.openxmlformats.org/officeDocument/2006/relationships/hyperlink" Target="http://twitter.com/Meltarps75Mel/statuses/1520998056610652160" TargetMode="External"/><Relationship Id="rId5358" Type="http://schemas.openxmlformats.org/officeDocument/2006/relationships/hyperlink" Target="http://twitter.com/TheLynch10/statuses/1520895663059488769" TargetMode="External"/><Relationship Id="rId289" Type="http://schemas.openxmlformats.org/officeDocument/2006/relationships/hyperlink" Target="http://pbs.twimg.com/profile_images/3191631804/b21b85e9c4238a1f29bec75c167df6af_normal.jpeg" TargetMode="External"/><Relationship Id="rId4025" Type="http://schemas.openxmlformats.org/officeDocument/2006/relationships/hyperlink" Target="http://pbs.twimg.com/profile_images/1354083875513905154/HRqjxaUW_normal.jpg" TargetMode="External"/><Relationship Id="rId5359" Type="http://schemas.openxmlformats.org/officeDocument/2006/relationships/hyperlink" Target="http://pbs.twimg.com/profile_images/1486361079555010566/_qekSVtl_normal.jpg" TargetMode="External"/><Relationship Id="rId288" Type="http://schemas.openxmlformats.org/officeDocument/2006/relationships/hyperlink" Target="http://twitter.com/Shaukat786786/statuses/1521067122318786562" TargetMode="External"/><Relationship Id="rId4028" Type="http://schemas.openxmlformats.org/officeDocument/2006/relationships/hyperlink" Target="http://twitter.com/VogonScout/statuses/1520998055805394944" TargetMode="External"/><Relationship Id="rId5356" Type="http://schemas.openxmlformats.org/officeDocument/2006/relationships/hyperlink" Target="http://twitter.com/TheLynch10/statuses/1520895716385869824" TargetMode="External"/><Relationship Id="rId287" Type="http://schemas.openxmlformats.org/officeDocument/2006/relationships/hyperlink" Target="http://abs.twimg.com/sticky/default_profile_images/default_profile_normal.png" TargetMode="External"/><Relationship Id="rId4027" Type="http://schemas.openxmlformats.org/officeDocument/2006/relationships/hyperlink" Target="http://pbs.twimg.com/profile_images/1517047698892992513/X1_98sqc_normal.jpg" TargetMode="External"/><Relationship Id="rId5357" Type="http://schemas.openxmlformats.org/officeDocument/2006/relationships/hyperlink" Target="http://pbs.twimg.com/profile_images/1479616325899239428/tu0sk9GI_normal.jpg" TargetMode="External"/><Relationship Id="rId4019" Type="http://schemas.openxmlformats.org/officeDocument/2006/relationships/hyperlink" Target="http://pbs.twimg.com/profile_images/1520686847373893633/ZD3kgKs9_normal.jpg" TargetMode="External"/><Relationship Id="rId4018" Type="http://schemas.openxmlformats.org/officeDocument/2006/relationships/hyperlink" Target="http://twitter.com/Meltarps75Mel/statuses/1520998175368261633" TargetMode="External"/><Relationship Id="rId5349" Type="http://schemas.openxmlformats.org/officeDocument/2006/relationships/hyperlink" Target="http://pbs.twimg.com/profile_images/1857443867/image_normal.jpg" TargetMode="External"/><Relationship Id="rId282" Type="http://schemas.openxmlformats.org/officeDocument/2006/relationships/hyperlink" Target="http://twitter.com/VishaPhullah/statuses/1521067181324353537" TargetMode="External"/><Relationship Id="rId281" Type="http://schemas.openxmlformats.org/officeDocument/2006/relationships/hyperlink" Target="http://pbs.twimg.com/profile_images/907504552974458880/khDu3PLN_normal.jpg" TargetMode="External"/><Relationship Id="rId280" Type="http://schemas.openxmlformats.org/officeDocument/2006/relationships/hyperlink" Target="http://twitter.com/Mehdi_sh2020/statuses/1521067192934092804" TargetMode="External"/><Relationship Id="rId5340" Type="http://schemas.openxmlformats.org/officeDocument/2006/relationships/hyperlink" Target="http://twitter.com/AnExiledScot/statuses/1520896228686499840" TargetMode="External"/><Relationship Id="rId275" Type="http://schemas.openxmlformats.org/officeDocument/2006/relationships/hyperlink" Target="http://abs.twimg.com/sticky/default_profile_images/default_profile_normal.png" TargetMode="External"/><Relationship Id="rId4011" Type="http://schemas.openxmlformats.org/officeDocument/2006/relationships/hyperlink" Target="http://pbs.twimg.com/profile_images/1354083875513905154/HRqjxaUW_normal.jpg" TargetMode="External"/><Relationship Id="rId5343" Type="http://schemas.openxmlformats.org/officeDocument/2006/relationships/hyperlink" Target="http://pbs.twimg.com/profile_images/1335362826936999938/a0xbZZqq_normal.jpg" TargetMode="External"/><Relationship Id="rId274" Type="http://schemas.openxmlformats.org/officeDocument/2006/relationships/hyperlink" Target="http://twitter.com/dcpardoe/statuses/1521067232184479744" TargetMode="External"/><Relationship Id="rId4010" Type="http://schemas.openxmlformats.org/officeDocument/2006/relationships/hyperlink" Target="http://twitter.com/Tomster72/statuses/1520998368222363648" TargetMode="External"/><Relationship Id="rId5344" Type="http://schemas.openxmlformats.org/officeDocument/2006/relationships/hyperlink" Target="http://twitter.com/PaulCary/statuses/1520896122604113920" TargetMode="External"/><Relationship Id="rId273" Type="http://schemas.openxmlformats.org/officeDocument/2006/relationships/hyperlink" Target="http://pbs.twimg.com/profile_images/1076875303107133442/B3BH8Re0_normal.jpg" TargetMode="External"/><Relationship Id="rId4013" Type="http://schemas.openxmlformats.org/officeDocument/2006/relationships/hyperlink" Target="http://pbs.twimg.com/profile_images/1520686847373893633/ZD3kgKs9_normal.jpg" TargetMode="External"/><Relationship Id="rId5341" Type="http://schemas.openxmlformats.org/officeDocument/2006/relationships/hyperlink" Target="http://pbs.twimg.com/profile_images/1057016915623739392/HVPpgrh8_normal.jpg" TargetMode="External"/><Relationship Id="rId272" Type="http://schemas.openxmlformats.org/officeDocument/2006/relationships/hyperlink" Target="http://twitter.com/jonathansnorman/statuses/1521067256570159104" TargetMode="External"/><Relationship Id="rId4012" Type="http://schemas.openxmlformats.org/officeDocument/2006/relationships/hyperlink" Target="http://twitter.com/Meltarps75Mel/statuses/1520998332872679426" TargetMode="External"/><Relationship Id="rId5342" Type="http://schemas.openxmlformats.org/officeDocument/2006/relationships/hyperlink" Target="http://twitter.com/fullcirclefibre/statuses/1520896150437777408" TargetMode="External"/><Relationship Id="rId279" Type="http://schemas.openxmlformats.org/officeDocument/2006/relationships/hyperlink" Target="http://pbs.twimg.com/profile_images/1341147257647886342/y1qnQhKa_normal.jpg" TargetMode="External"/><Relationship Id="rId4015" Type="http://schemas.openxmlformats.org/officeDocument/2006/relationships/hyperlink" Target="http://pbs.twimg.com/profile_images/1015496930175127552/74Xx89ln_normal.jpg" TargetMode="External"/><Relationship Id="rId5347" Type="http://schemas.openxmlformats.org/officeDocument/2006/relationships/hyperlink" Target="http://pbs.twimg.com/profile_images/831184585383956481/tk6qQb9q_normal.jpg" TargetMode="External"/><Relationship Id="rId278" Type="http://schemas.openxmlformats.org/officeDocument/2006/relationships/hyperlink" Target="http://twitter.com/VishaPhullah/statuses/1521067202807488512" TargetMode="External"/><Relationship Id="rId4014" Type="http://schemas.openxmlformats.org/officeDocument/2006/relationships/hyperlink" Target="http://twitter.com/anonHaak/statuses/1520998271895834624" TargetMode="External"/><Relationship Id="rId5348" Type="http://schemas.openxmlformats.org/officeDocument/2006/relationships/hyperlink" Target="http://twitter.com/jenkt1/statuses/1520896033487790080" TargetMode="External"/><Relationship Id="rId277" Type="http://schemas.openxmlformats.org/officeDocument/2006/relationships/hyperlink" Target="http://pbs.twimg.com/profile_images/907504552974458880/khDu3PLN_normal.jpg" TargetMode="External"/><Relationship Id="rId4017" Type="http://schemas.openxmlformats.org/officeDocument/2006/relationships/hyperlink" Target="http://pbs.twimg.com/profile_images/1354083875513905154/HRqjxaUW_normal.jpg" TargetMode="External"/><Relationship Id="rId5345" Type="http://schemas.openxmlformats.org/officeDocument/2006/relationships/hyperlink" Target="http://pbs.twimg.com/profile_images/1471813116291911684/kCxgxx-p_normal.jpg" TargetMode="External"/><Relationship Id="rId276" Type="http://schemas.openxmlformats.org/officeDocument/2006/relationships/hyperlink" Target="http://twitter.com/Shaukat786786/statuses/1521067218309730304" TargetMode="External"/><Relationship Id="rId4016" Type="http://schemas.openxmlformats.org/officeDocument/2006/relationships/hyperlink" Target="http://twitter.com/harding0764/statuses/1520998231882276865" TargetMode="External"/><Relationship Id="rId5346" Type="http://schemas.openxmlformats.org/officeDocument/2006/relationships/hyperlink" Target="http://twitter.com/Poodlewrestler/statuses/1520896077364355072" TargetMode="External"/><Relationship Id="rId1851" Type="http://schemas.openxmlformats.org/officeDocument/2006/relationships/hyperlink" Target="http://pbs.twimg.com/profile_images/1314802345394528256/X4mfgWFP_normal.jpg" TargetMode="External"/><Relationship Id="rId1852" Type="http://schemas.openxmlformats.org/officeDocument/2006/relationships/hyperlink" Target="http://twitter.com/kr31133/statuses/1521039341790932992" TargetMode="External"/><Relationship Id="rId1853" Type="http://schemas.openxmlformats.org/officeDocument/2006/relationships/hyperlink" Target="http://pbs.twimg.com/profile_images/1314802345394528256/X4mfgWFP_normal.jpg" TargetMode="External"/><Relationship Id="rId1854" Type="http://schemas.openxmlformats.org/officeDocument/2006/relationships/hyperlink" Target="http://twitter.com/kr31133/statuses/1521039334501228544" TargetMode="External"/><Relationship Id="rId1855" Type="http://schemas.openxmlformats.org/officeDocument/2006/relationships/hyperlink" Target="http://pbs.twimg.com/profile_images/890146201412284416/D3edrHlV_normal.jpg" TargetMode="External"/><Relationship Id="rId1856" Type="http://schemas.openxmlformats.org/officeDocument/2006/relationships/hyperlink" Target="http://twitter.com/PaulWyatt2/statuses/1521039328331370503" TargetMode="External"/><Relationship Id="rId1857" Type="http://schemas.openxmlformats.org/officeDocument/2006/relationships/hyperlink" Target="http://pbs.twimg.com/profile_images/1497677929798582275/m9TkRKL1_normal.jpg" TargetMode="External"/><Relationship Id="rId1858" Type="http://schemas.openxmlformats.org/officeDocument/2006/relationships/hyperlink" Target="http://twitter.com/LindaPe65733897/statuses/1521039324409700352" TargetMode="External"/><Relationship Id="rId1859" Type="http://schemas.openxmlformats.org/officeDocument/2006/relationships/hyperlink" Target="http://pbs.twimg.com/profile_images/688997128270663681/3AV2-uFl_normal.jpg" TargetMode="External"/><Relationship Id="rId1850" Type="http://schemas.openxmlformats.org/officeDocument/2006/relationships/hyperlink" Target="http://twitter.com/kr31133/statuses/1521039349713932289" TargetMode="External"/><Relationship Id="rId1840" Type="http://schemas.openxmlformats.org/officeDocument/2006/relationships/hyperlink" Target="http://twitter.com/yasmina_ss/statuses/1521039668715958272" TargetMode="External"/><Relationship Id="rId1841" Type="http://schemas.openxmlformats.org/officeDocument/2006/relationships/hyperlink" Target="http://pbs.twimg.com/profile_images/1417756462022021123/uEn_cGhx_normal.jpg" TargetMode="External"/><Relationship Id="rId1842" Type="http://schemas.openxmlformats.org/officeDocument/2006/relationships/hyperlink" Target="http://twitter.com/JoBail5/statuses/1521039637610967041" TargetMode="External"/><Relationship Id="rId1843" Type="http://schemas.openxmlformats.org/officeDocument/2006/relationships/hyperlink" Target="http://abs.twimg.com/sticky/default_profile_images/default_profile_normal.png" TargetMode="External"/><Relationship Id="rId1844" Type="http://schemas.openxmlformats.org/officeDocument/2006/relationships/hyperlink" Target="http://twitter.com/WynEdwards/statuses/1521039609333002242" TargetMode="External"/><Relationship Id="rId1845" Type="http://schemas.openxmlformats.org/officeDocument/2006/relationships/hyperlink" Target="http://pbs.twimg.com/profile_images/1275804805190082561/RPG0LuGl_normal.jpg" TargetMode="External"/><Relationship Id="rId1846" Type="http://schemas.openxmlformats.org/officeDocument/2006/relationships/hyperlink" Target="http://twitter.com/LukeWar73493682/statuses/1521039531197321216" TargetMode="External"/><Relationship Id="rId1847" Type="http://schemas.openxmlformats.org/officeDocument/2006/relationships/hyperlink" Target="http://pbs.twimg.com/profile_images/1315004411215777792/yMpBvVBe_normal.jpg" TargetMode="External"/><Relationship Id="rId1848" Type="http://schemas.openxmlformats.org/officeDocument/2006/relationships/hyperlink" Target="http://twitter.com/adcp4/statuses/1521039413807038464" TargetMode="External"/><Relationship Id="rId1849" Type="http://schemas.openxmlformats.org/officeDocument/2006/relationships/hyperlink" Target="http://pbs.twimg.com/profile_images/1314802345394528256/X4mfgWFP_normal.jpg" TargetMode="External"/><Relationship Id="rId1873" Type="http://schemas.openxmlformats.org/officeDocument/2006/relationships/hyperlink" Target="http://pbs.twimg.com/profile_images/1458085712050413581/eh8FFs0U_normal.jpg" TargetMode="External"/><Relationship Id="rId1874" Type="http://schemas.openxmlformats.org/officeDocument/2006/relationships/hyperlink" Target="http://twitter.com/Wallwin80/statuses/1521039057630937088" TargetMode="External"/><Relationship Id="rId1875" Type="http://schemas.openxmlformats.org/officeDocument/2006/relationships/hyperlink" Target="http://pbs.twimg.com/profile_images/1282400597120094225/1cCepl8I_normal.jpg" TargetMode="External"/><Relationship Id="rId4901" Type="http://schemas.openxmlformats.org/officeDocument/2006/relationships/hyperlink" Target="http://pbs.twimg.com/profile_images/1337388386743619585/cr6BsVO__normal.jpg" TargetMode="External"/><Relationship Id="rId1876" Type="http://schemas.openxmlformats.org/officeDocument/2006/relationships/hyperlink" Target="http://twitter.com/StevenHeywood/statuses/1521039038056177664" TargetMode="External"/><Relationship Id="rId4900" Type="http://schemas.openxmlformats.org/officeDocument/2006/relationships/hyperlink" Target="http://twitter.com/VeraVeritas3/statuses/1520914382166929409" TargetMode="External"/><Relationship Id="rId1877" Type="http://schemas.openxmlformats.org/officeDocument/2006/relationships/hyperlink" Target="http://pbs.twimg.com/profile_images/499122239208308736/0gLSThE5_normal.jpeg" TargetMode="External"/><Relationship Id="rId4903" Type="http://schemas.openxmlformats.org/officeDocument/2006/relationships/hyperlink" Target="http://pbs.twimg.com/profile_images/1482396865521987588/strWt6Ph_normal.jpg" TargetMode="External"/><Relationship Id="rId1878" Type="http://schemas.openxmlformats.org/officeDocument/2006/relationships/hyperlink" Target="http://twitter.com/dot50dowling/statuses/1521038876332240896" TargetMode="External"/><Relationship Id="rId4902" Type="http://schemas.openxmlformats.org/officeDocument/2006/relationships/hyperlink" Target="http://twitter.com/Chump3z/statuses/1520914368153767936" TargetMode="External"/><Relationship Id="rId1879" Type="http://schemas.openxmlformats.org/officeDocument/2006/relationships/hyperlink" Target="http://pbs.twimg.com/profile_images/779081996756721664/RBEKPq0A_normal.jpg" TargetMode="External"/><Relationship Id="rId4905" Type="http://schemas.openxmlformats.org/officeDocument/2006/relationships/hyperlink" Target="http://pbs.twimg.com/profile_images/1460030494716874756/ebRnaTD9_normal.jpg" TargetMode="External"/><Relationship Id="rId4904" Type="http://schemas.openxmlformats.org/officeDocument/2006/relationships/hyperlink" Target="http://twitter.com/VeraVeritas3/statuses/1520914351443619842" TargetMode="External"/><Relationship Id="rId4907" Type="http://schemas.openxmlformats.org/officeDocument/2006/relationships/hyperlink" Target="http://pbs.twimg.com/profile_images/1513272222357590016/PsJ1vHjg_normal.jpg" TargetMode="External"/><Relationship Id="rId4906" Type="http://schemas.openxmlformats.org/officeDocument/2006/relationships/hyperlink" Target="http://twitter.com/simondebrux/statuses/1520914263598149634" TargetMode="External"/><Relationship Id="rId4909" Type="http://schemas.openxmlformats.org/officeDocument/2006/relationships/hyperlink" Target="http://pbs.twimg.com/profile_images/1482396865521987588/strWt6Ph_normal.jpg" TargetMode="External"/><Relationship Id="rId4908" Type="http://schemas.openxmlformats.org/officeDocument/2006/relationships/hyperlink" Target="http://twitter.com/SimonTurkas/statuses/1520914230362488832" TargetMode="External"/><Relationship Id="rId1870" Type="http://schemas.openxmlformats.org/officeDocument/2006/relationships/hyperlink" Target="http://twitter.com/TaraOCo38612075/statuses/1521039082394206208" TargetMode="External"/><Relationship Id="rId1871" Type="http://schemas.openxmlformats.org/officeDocument/2006/relationships/hyperlink" Target="http://pbs.twimg.com/profile_images/1459273245396459524/oMqcoS-f_normal.png" TargetMode="External"/><Relationship Id="rId1872" Type="http://schemas.openxmlformats.org/officeDocument/2006/relationships/hyperlink" Target="http://twitter.com/BouldingPeter/statuses/1521039075683315712" TargetMode="External"/><Relationship Id="rId1862" Type="http://schemas.openxmlformats.org/officeDocument/2006/relationships/hyperlink" Target="http://twitter.com/kr31133/statuses/1521039294902767616" TargetMode="External"/><Relationship Id="rId1863" Type="http://schemas.openxmlformats.org/officeDocument/2006/relationships/hyperlink" Target="http://pbs.twimg.com/profile_images/713710555714961408/xeK6Z4mD_normal.jpg" TargetMode="External"/><Relationship Id="rId1864" Type="http://schemas.openxmlformats.org/officeDocument/2006/relationships/hyperlink" Target="http://twitter.com/gkp107/statuses/1521039285109022720" TargetMode="External"/><Relationship Id="rId1865" Type="http://schemas.openxmlformats.org/officeDocument/2006/relationships/hyperlink" Target="http://pbs.twimg.com/profile_images/667986547644473345/4sLzXNjk_normal.jpg" TargetMode="External"/><Relationship Id="rId1866" Type="http://schemas.openxmlformats.org/officeDocument/2006/relationships/hyperlink" Target="http://twitter.com/Dari1974/statuses/1521039157023285248" TargetMode="External"/><Relationship Id="rId1867" Type="http://schemas.openxmlformats.org/officeDocument/2006/relationships/hyperlink" Target="http://pbs.twimg.com/profile_images/1049008883287711744/tjY2gY1f_normal.jpg" TargetMode="External"/><Relationship Id="rId1868" Type="http://schemas.openxmlformats.org/officeDocument/2006/relationships/hyperlink" Target="http://twitter.com/TheScri76057990/statuses/1521039103378272256" TargetMode="External"/><Relationship Id="rId1869" Type="http://schemas.openxmlformats.org/officeDocument/2006/relationships/hyperlink" Target="http://pbs.twimg.com/profile_images/1439300480895758345/SQ5en8D6_normal.jpg" TargetMode="External"/><Relationship Id="rId1860" Type="http://schemas.openxmlformats.org/officeDocument/2006/relationships/hyperlink" Target="http://twitter.com/PaulWhelan745/statuses/1521039296500838403" TargetMode="External"/><Relationship Id="rId1861" Type="http://schemas.openxmlformats.org/officeDocument/2006/relationships/hyperlink" Target="http://pbs.twimg.com/profile_images/1314802345394528256/X4mfgWFP_normal.jpg" TargetMode="External"/><Relationship Id="rId1810" Type="http://schemas.openxmlformats.org/officeDocument/2006/relationships/hyperlink" Target="http://twitter.com/desmonddolan/statuses/1521040262277050370" TargetMode="External"/><Relationship Id="rId1811" Type="http://schemas.openxmlformats.org/officeDocument/2006/relationships/hyperlink" Target="http://pbs.twimg.com/profile_images/1515077907089088521/k3Gen2TE_normal.jpg" TargetMode="External"/><Relationship Id="rId1812" Type="http://schemas.openxmlformats.org/officeDocument/2006/relationships/hyperlink" Target="http://twitter.com/brightonwarren/statuses/1521040200062885888" TargetMode="External"/><Relationship Id="rId1813" Type="http://schemas.openxmlformats.org/officeDocument/2006/relationships/hyperlink" Target="http://pbs.twimg.com/profile_images/1227197061453565952/kz_zKkBE_normal.jpg" TargetMode="External"/><Relationship Id="rId1814" Type="http://schemas.openxmlformats.org/officeDocument/2006/relationships/hyperlink" Target="http://twitter.com/ifsbutsnmaybes/statuses/1521040188880863237" TargetMode="External"/><Relationship Id="rId1815" Type="http://schemas.openxmlformats.org/officeDocument/2006/relationships/hyperlink" Target="http://pbs.twimg.com/profile_images/1451588208412737540/2HAfGslY_normal.jpg" TargetMode="External"/><Relationship Id="rId1816" Type="http://schemas.openxmlformats.org/officeDocument/2006/relationships/hyperlink" Target="http://twitter.com/EH54_Lainey/statuses/1521040185571565568" TargetMode="External"/><Relationship Id="rId1817" Type="http://schemas.openxmlformats.org/officeDocument/2006/relationships/hyperlink" Target="http://pbs.twimg.com/profile_images/1492073431336198161/Pdunf71X_normal.jpg" TargetMode="External"/><Relationship Id="rId1818" Type="http://schemas.openxmlformats.org/officeDocument/2006/relationships/hyperlink" Target="http://twitter.com/taylorkwinship/statuses/1521040162918211585" TargetMode="External"/><Relationship Id="rId1819" Type="http://schemas.openxmlformats.org/officeDocument/2006/relationships/hyperlink" Target="http://pbs.twimg.com/profile_images/1221496867785256960/_aIcAkir_normal.jpg" TargetMode="External"/><Relationship Id="rId4080" Type="http://schemas.openxmlformats.org/officeDocument/2006/relationships/hyperlink" Target="http://twitter.com/endless_europe/statuses/1520995428380073985" TargetMode="External"/><Relationship Id="rId4082" Type="http://schemas.openxmlformats.org/officeDocument/2006/relationships/hyperlink" Target="http://twitter.com/StonedBishop1/statuses/1520995376085585922" TargetMode="External"/><Relationship Id="rId4081" Type="http://schemas.openxmlformats.org/officeDocument/2006/relationships/hyperlink" Target="http://pbs.twimg.com/profile_images/1470127834433830920/0zzxpHnm_normal.jpg" TargetMode="External"/><Relationship Id="rId4084" Type="http://schemas.openxmlformats.org/officeDocument/2006/relationships/hyperlink" Target="http://twitter.com/bmf1g10/statuses/1520995351603388418" TargetMode="External"/><Relationship Id="rId4083" Type="http://schemas.openxmlformats.org/officeDocument/2006/relationships/hyperlink" Target="http://pbs.twimg.com/profile_images/1440742988775264265/s66JFuZ2_normal.jpg" TargetMode="External"/><Relationship Id="rId4086" Type="http://schemas.openxmlformats.org/officeDocument/2006/relationships/hyperlink" Target="http://twitter.com/PaulHug16804663/statuses/1520995316673130496" TargetMode="External"/><Relationship Id="rId4085" Type="http://schemas.openxmlformats.org/officeDocument/2006/relationships/hyperlink" Target="http://pbs.twimg.com/profile_images/1511790879085928450/ojyQIk4O_normal.jpg" TargetMode="External"/><Relationship Id="rId4088" Type="http://schemas.openxmlformats.org/officeDocument/2006/relationships/hyperlink" Target="http://twitter.com/Alisonmossy1/statuses/1520994997658689536" TargetMode="External"/><Relationship Id="rId4087" Type="http://schemas.openxmlformats.org/officeDocument/2006/relationships/hyperlink" Target="http://abs.twimg.com/sticky/default_profile_images/default_profile_normal.png" TargetMode="External"/><Relationship Id="rId4089" Type="http://schemas.openxmlformats.org/officeDocument/2006/relationships/hyperlink" Target="http://pbs.twimg.com/profile_images/378800000444149854/ec06c3a8f2cb37b3468d603abbf503ff_normal.jpeg" TargetMode="External"/><Relationship Id="rId1800" Type="http://schemas.openxmlformats.org/officeDocument/2006/relationships/hyperlink" Target="http://twitter.com/HelenLGateley/statuses/1521040328526024704" TargetMode="External"/><Relationship Id="rId1801" Type="http://schemas.openxmlformats.org/officeDocument/2006/relationships/hyperlink" Target="http://pbs.twimg.com/profile_images/1804339476/image_normal.jpg" TargetMode="External"/><Relationship Id="rId1802" Type="http://schemas.openxmlformats.org/officeDocument/2006/relationships/hyperlink" Target="http://twitter.com/mikelly65/statuses/1521040325401358336" TargetMode="External"/><Relationship Id="rId1803" Type="http://schemas.openxmlformats.org/officeDocument/2006/relationships/hyperlink" Target="http://pbs.twimg.com/profile_images/456877773940723712/nZB9IM15_normal.jpeg" TargetMode="External"/><Relationship Id="rId1804" Type="http://schemas.openxmlformats.org/officeDocument/2006/relationships/hyperlink" Target="http://twitter.com/mark_the_god/statuses/1521040315792166913" TargetMode="External"/><Relationship Id="rId1805" Type="http://schemas.openxmlformats.org/officeDocument/2006/relationships/hyperlink" Target="http://pbs.twimg.com/profile_images/1497363227084263424/KH0LYx1m_normal.jpg" TargetMode="External"/><Relationship Id="rId1806" Type="http://schemas.openxmlformats.org/officeDocument/2006/relationships/hyperlink" Target="http://twitter.com/andypic/statuses/1521040302798159875" TargetMode="External"/><Relationship Id="rId1807" Type="http://schemas.openxmlformats.org/officeDocument/2006/relationships/hyperlink" Target="http://pbs.twimg.com/profile_images/1421696563978678278/W09Yusuk_normal.jpg" TargetMode="External"/><Relationship Id="rId1808" Type="http://schemas.openxmlformats.org/officeDocument/2006/relationships/hyperlink" Target="http://twitter.com/brennig/statuses/1521040283768696832" TargetMode="External"/><Relationship Id="rId1809" Type="http://schemas.openxmlformats.org/officeDocument/2006/relationships/hyperlink" Target="http://pbs.twimg.com/profile_images/885959534291943425/GVJw274Y_normal.jpg" TargetMode="External"/><Relationship Id="rId4071" Type="http://schemas.openxmlformats.org/officeDocument/2006/relationships/hyperlink" Target="http://pbs.twimg.com/profile_images/1015496930175127552/74Xx89ln_normal.jpg" TargetMode="External"/><Relationship Id="rId4070" Type="http://schemas.openxmlformats.org/officeDocument/2006/relationships/hyperlink" Target="http://twitter.com/pixieglas/statuses/1520995667463876609" TargetMode="External"/><Relationship Id="rId4073" Type="http://schemas.openxmlformats.org/officeDocument/2006/relationships/hyperlink" Target="http://pbs.twimg.com/profile_images/2539069517/image_normal.jpg" TargetMode="External"/><Relationship Id="rId4072" Type="http://schemas.openxmlformats.org/officeDocument/2006/relationships/hyperlink" Target="http://twitter.com/harding0764/statuses/1520995545153687555" TargetMode="External"/><Relationship Id="rId4075" Type="http://schemas.openxmlformats.org/officeDocument/2006/relationships/hyperlink" Target="http://pbs.twimg.com/profile_images/673231109413539840/NhkZt8AH_normal.jpg" TargetMode="External"/><Relationship Id="rId4074" Type="http://schemas.openxmlformats.org/officeDocument/2006/relationships/hyperlink" Target="http://twitter.com/ammacj/statuses/1520995541580189697" TargetMode="External"/><Relationship Id="rId4077" Type="http://schemas.openxmlformats.org/officeDocument/2006/relationships/hyperlink" Target="http://pbs.twimg.com/profile_images/1188048406561918981/MHEPajYL_normal.jpg" TargetMode="External"/><Relationship Id="rId4076" Type="http://schemas.openxmlformats.org/officeDocument/2006/relationships/hyperlink" Target="http://twitter.com/mirandinhasteva/statuses/1520995536890957825" TargetMode="External"/><Relationship Id="rId4079" Type="http://schemas.openxmlformats.org/officeDocument/2006/relationships/hyperlink" Target="http://pbs.twimg.com/profile_images/778911478900486144/APoNGlO7_normal.jpg" TargetMode="External"/><Relationship Id="rId4078" Type="http://schemas.openxmlformats.org/officeDocument/2006/relationships/hyperlink" Target="http://twitter.com/botanic_my/statuses/1520995464547557377" TargetMode="External"/><Relationship Id="rId1830" Type="http://schemas.openxmlformats.org/officeDocument/2006/relationships/hyperlink" Target="http://twitter.com/ilmomento/statuses/1521039811414482946" TargetMode="External"/><Relationship Id="rId1831" Type="http://schemas.openxmlformats.org/officeDocument/2006/relationships/hyperlink" Target="http://pbs.twimg.com/profile_images/1232612324906881025/OOXMi6BH_normal.jpg" TargetMode="External"/><Relationship Id="rId1832" Type="http://schemas.openxmlformats.org/officeDocument/2006/relationships/hyperlink" Target="http://twitter.com/MarkHazard2020/statuses/1521039781177827329" TargetMode="External"/><Relationship Id="rId1833" Type="http://schemas.openxmlformats.org/officeDocument/2006/relationships/hyperlink" Target="http://pbs.twimg.com/profile_images/1500071920796008449/yflFbUUM_normal.jpg" TargetMode="External"/><Relationship Id="rId1834" Type="http://schemas.openxmlformats.org/officeDocument/2006/relationships/hyperlink" Target="http://twitter.com/InLeaving/statuses/1521039767445647360" TargetMode="External"/><Relationship Id="rId1835" Type="http://schemas.openxmlformats.org/officeDocument/2006/relationships/hyperlink" Target="http://pbs.twimg.com/profile_images/1293097373716054016/DkvH9lZi_normal.jpg" TargetMode="External"/><Relationship Id="rId1836" Type="http://schemas.openxmlformats.org/officeDocument/2006/relationships/hyperlink" Target="http://twitter.com/mrundkvist/statuses/1521039760281772032" TargetMode="External"/><Relationship Id="rId1837" Type="http://schemas.openxmlformats.org/officeDocument/2006/relationships/hyperlink" Target="http://pbs.twimg.com/profile_images/3288764010/c6b3f973b29f6ba4f992f9799e358cf2_normal.jpeg" TargetMode="External"/><Relationship Id="rId1838" Type="http://schemas.openxmlformats.org/officeDocument/2006/relationships/hyperlink" Target="http://twitter.com/UncleBobW/statuses/1521039759115751425" TargetMode="External"/><Relationship Id="rId1839" Type="http://schemas.openxmlformats.org/officeDocument/2006/relationships/hyperlink" Target="http://pbs.twimg.com/profile_images/1340992351469223936/t2gZciUM_normal.jpg" TargetMode="External"/><Relationship Id="rId1820" Type="http://schemas.openxmlformats.org/officeDocument/2006/relationships/hyperlink" Target="http://twitter.com/dr__amanda_/statuses/1521040136183717889" TargetMode="External"/><Relationship Id="rId1821" Type="http://schemas.openxmlformats.org/officeDocument/2006/relationships/hyperlink" Target="http://pbs.twimg.com/profile_images/1368846449635639297/Q2WCpRok_normal.jpg" TargetMode="External"/><Relationship Id="rId1822" Type="http://schemas.openxmlformats.org/officeDocument/2006/relationships/hyperlink" Target="http://twitter.com/susyJack123/statuses/1521040089039753217" TargetMode="External"/><Relationship Id="rId1823" Type="http://schemas.openxmlformats.org/officeDocument/2006/relationships/hyperlink" Target="http://pbs.twimg.com/profile_images/1320807571477962753/AWuLF508_normal.jpg" TargetMode="External"/><Relationship Id="rId1824" Type="http://schemas.openxmlformats.org/officeDocument/2006/relationships/hyperlink" Target="http://twitter.com/alison_born/statuses/1521040015882604544" TargetMode="External"/><Relationship Id="rId1825" Type="http://schemas.openxmlformats.org/officeDocument/2006/relationships/hyperlink" Target="http://pbs.twimg.com/profile_images/1416887010892165127/J5jaKNGH_normal.jpg" TargetMode="External"/><Relationship Id="rId1826" Type="http://schemas.openxmlformats.org/officeDocument/2006/relationships/hyperlink" Target="http://twitter.com/BrexitPhobe/statuses/1521039942750769152" TargetMode="External"/><Relationship Id="rId1827" Type="http://schemas.openxmlformats.org/officeDocument/2006/relationships/hyperlink" Target="http://pbs.twimg.com/profile_images/431177639953715200/9qKNbjEc_normal.jpeg" TargetMode="External"/><Relationship Id="rId1828" Type="http://schemas.openxmlformats.org/officeDocument/2006/relationships/hyperlink" Target="http://twitter.com/10_000BC/statuses/1521039931564515328" TargetMode="External"/><Relationship Id="rId1829" Type="http://schemas.openxmlformats.org/officeDocument/2006/relationships/hyperlink" Target="http://pbs.twimg.com/profile_images/1260520096667238401/fVc132p-_normal.jpg" TargetMode="External"/><Relationship Id="rId4091" Type="http://schemas.openxmlformats.org/officeDocument/2006/relationships/hyperlink" Target="http://pbs.twimg.com/profile_images/1288575312662532096/_C8xJYeS_normal.jpg" TargetMode="External"/><Relationship Id="rId4090" Type="http://schemas.openxmlformats.org/officeDocument/2006/relationships/hyperlink" Target="http://twitter.com/nippa1212/statuses/1520994994835841024" TargetMode="External"/><Relationship Id="rId4093" Type="http://schemas.openxmlformats.org/officeDocument/2006/relationships/hyperlink" Target="http://pbs.twimg.com/profile_images/1288575312662532096/_C8xJYeS_normal.jpg" TargetMode="External"/><Relationship Id="rId4092" Type="http://schemas.openxmlformats.org/officeDocument/2006/relationships/hyperlink" Target="http://twitter.com/BigDollarRich/statuses/1520994987797798917" TargetMode="External"/><Relationship Id="rId4095" Type="http://schemas.openxmlformats.org/officeDocument/2006/relationships/hyperlink" Target="http://pbs.twimg.com/profile_images/378800000444149854/ec06c3a8f2cb37b3468d603abbf503ff_normal.jpeg" TargetMode="External"/><Relationship Id="rId4094" Type="http://schemas.openxmlformats.org/officeDocument/2006/relationships/hyperlink" Target="http://twitter.com/BigDollarRich/statuses/1520994940108611585" TargetMode="External"/><Relationship Id="rId4097" Type="http://schemas.openxmlformats.org/officeDocument/2006/relationships/hyperlink" Target="http://pbs.twimg.com/profile_images/1445319850612641798/k00a9u1A_normal.jpg" TargetMode="External"/><Relationship Id="rId4096" Type="http://schemas.openxmlformats.org/officeDocument/2006/relationships/hyperlink" Target="http://twitter.com/nippa1212/statuses/1520994931602599936" TargetMode="External"/><Relationship Id="rId4099" Type="http://schemas.openxmlformats.org/officeDocument/2006/relationships/hyperlink" Target="http://pbs.twimg.com/profile_images/1519549952082563072/3SBIwh-q_normal.jpg" TargetMode="External"/><Relationship Id="rId4098" Type="http://schemas.openxmlformats.org/officeDocument/2006/relationships/hyperlink" Target="http://twitter.com/willtherebal/statuses/1520994889764327424" TargetMode="External"/><Relationship Id="rId2302" Type="http://schemas.openxmlformats.org/officeDocument/2006/relationships/hyperlink" Target="http://twitter.com/Permanentcuriou/statuses/1521032268705415168" TargetMode="External"/><Relationship Id="rId3634" Type="http://schemas.openxmlformats.org/officeDocument/2006/relationships/hyperlink" Target="http://twitter.com/Architarist/statuses/1521008866133221376" TargetMode="External"/><Relationship Id="rId4965" Type="http://schemas.openxmlformats.org/officeDocument/2006/relationships/hyperlink" Target="http://pbs.twimg.com/profile_images/497772371374125056/Tbtb3AjK_normal.jpeg" TargetMode="External"/><Relationship Id="rId2303" Type="http://schemas.openxmlformats.org/officeDocument/2006/relationships/hyperlink" Target="http://pbs.twimg.com/profile_images/1202711713394692101/hzQRvbys_normal.jpg" TargetMode="External"/><Relationship Id="rId3633" Type="http://schemas.openxmlformats.org/officeDocument/2006/relationships/hyperlink" Target="http://pbs.twimg.com/profile_images/1355085958320893953/i6xIYUI-_normal.jpg" TargetMode="External"/><Relationship Id="rId4964" Type="http://schemas.openxmlformats.org/officeDocument/2006/relationships/hyperlink" Target="http://twitter.com/WalshC129/statuses/1520911884312092673" TargetMode="External"/><Relationship Id="rId2304" Type="http://schemas.openxmlformats.org/officeDocument/2006/relationships/hyperlink" Target="http://twitter.com/mihali_ileana/statuses/1521032239521411072" TargetMode="External"/><Relationship Id="rId3636" Type="http://schemas.openxmlformats.org/officeDocument/2006/relationships/hyperlink" Target="http://twitter.com/tomski_hiscox/statuses/1521008791373942785" TargetMode="External"/><Relationship Id="rId4967" Type="http://schemas.openxmlformats.org/officeDocument/2006/relationships/hyperlink" Target="http://pbs.twimg.com/profile_images/497772371374125056/Tbtb3AjK_normal.jpeg" TargetMode="External"/><Relationship Id="rId2305" Type="http://schemas.openxmlformats.org/officeDocument/2006/relationships/hyperlink" Target="http://pbs.twimg.com/profile_images/1413997364/richardg2_normal.png" TargetMode="External"/><Relationship Id="rId3635" Type="http://schemas.openxmlformats.org/officeDocument/2006/relationships/hyperlink" Target="http://pbs.twimg.com/profile_images/713588049700106240/qH6ds_W__normal.jpg" TargetMode="External"/><Relationship Id="rId4966" Type="http://schemas.openxmlformats.org/officeDocument/2006/relationships/hyperlink" Target="http://twitter.com/WalshC129/statuses/1520911832826925060" TargetMode="External"/><Relationship Id="rId2306" Type="http://schemas.openxmlformats.org/officeDocument/2006/relationships/hyperlink" Target="http://twitter.com/rickglyn/statuses/1521032191341436929" TargetMode="External"/><Relationship Id="rId3638" Type="http://schemas.openxmlformats.org/officeDocument/2006/relationships/hyperlink" Target="http://twitter.com/RoadRun18571613/statuses/1521008782117150722" TargetMode="External"/><Relationship Id="rId4969" Type="http://schemas.openxmlformats.org/officeDocument/2006/relationships/hyperlink" Target="http://pbs.twimg.com/profile_images/1263510353092251648/vCdk9PZN_normal.jpg" TargetMode="External"/><Relationship Id="rId2307" Type="http://schemas.openxmlformats.org/officeDocument/2006/relationships/hyperlink" Target="http://pbs.twimg.com/profile_images/1264544735533903873/GooqCZV-_normal.jpg" TargetMode="External"/><Relationship Id="rId3637" Type="http://schemas.openxmlformats.org/officeDocument/2006/relationships/hyperlink" Target="http://pbs.twimg.com/profile_images/1518563400334417920/h6ZzBJsC_normal.jpg" TargetMode="External"/><Relationship Id="rId4968" Type="http://schemas.openxmlformats.org/officeDocument/2006/relationships/hyperlink" Target="http://twitter.com/WalshC129/statuses/1520911774505127936" TargetMode="External"/><Relationship Id="rId2308" Type="http://schemas.openxmlformats.org/officeDocument/2006/relationships/hyperlink" Target="http://twitter.com/RTaylor_LibDem/statuses/1521032190900985856" TargetMode="External"/><Relationship Id="rId2309" Type="http://schemas.openxmlformats.org/officeDocument/2006/relationships/hyperlink" Target="http://pbs.twimg.com/profile_images/661939916822200320/u42kDERp_normal.jpg" TargetMode="External"/><Relationship Id="rId3639" Type="http://schemas.openxmlformats.org/officeDocument/2006/relationships/hyperlink" Target="http://pbs.twimg.com/profile_images/227938108/jules_normal.bmp" TargetMode="External"/><Relationship Id="rId3630" Type="http://schemas.openxmlformats.org/officeDocument/2006/relationships/hyperlink" Target="http://twitter.com/itchingseason/statuses/1521008879152283648" TargetMode="External"/><Relationship Id="rId4961" Type="http://schemas.openxmlformats.org/officeDocument/2006/relationships/hyperlink" Target="http://pbs.twimg.com/profile_images/497772371374125056/Tbtb3AjK_normal.jpeg" TargetMode="External"/><Relationship Id="rId4960" Type="http://schemas.openxmlformats.org/officeDocument/2006/relationships/hyperlink" Target="http://twitter.com/bronzearethusa/statuses/1520911914309763074" TargetMode="External"/><Relationship Id="rId2300" Type="http://schemas.openxmlformats.org/officeDocument/2006/relationships/hyperlink" Target="http://twitter.com/rickglyn/statuses/1521032284232683520" TargetMode="External"/><Relationship Id="rId3632" Type="http://schemas.openxmlformats.org/officeDocument/2006/relationships/hyperlink" Target="http://twitter.com/davidjmyershot2/statuses/1521008867517292544" TargetMode="External"/><Relationship Id="rId4963" Type="http://schemas.openxmlformats.org/officeDocument/2006/relationships/hyperlink" Target="http://pbs.twimg.com/profile_images/497772371374125056/Tbtb3AjK_normal.jpeg" TargetMode="External"/><Relationship Id="rId2301" Type="http://schemas.openxmlformats.org/officeDocument/2006/relationships/hyperlink" Target="http://pbs.twimg.com/profile_images/834355616596496384/1H93LKCY_normal.jpg" TargetMode="External"/><Relationship Id="rId3631" Type="http://schemas.openxmlformats.org/officeDocument/2006/relationships/hyperlink" Target="http://pbs.twimg.com/profile_images/1520442184369065984/K5TfX9Hl_normal.jpg" TargetMode="External"/><Relationship Id="rId4962" Type="http://schemas.openxmlformats.org/officeDocument/2006/relationships/hyperlink" Target="http://twitter.com/WalshC129/statuses/1520911908366430209" TargetMode="External"/><Relationship Id="rId3623" Type="http://schemas.openxmlformats.org/officeDocument/2006/relationships/hyperlink" Target="http://pbs.twimg.com/profile_images/719139941574385665/o0Az2s6I_normal.jpg" TargetMode="External"/><Relationship Id="rId4954" Type="http://schemas.openxmlformats.org/officeDocument/2006/relationships/hyperlink" Target="http://twitter.com/DariaGrimaldi/statuses/1520911955061575681" TargetMode="External"/><Relationship Id="rId3622" Type="http://schemas.openxmlformats.org/officeDocument/2006/relationships/hyperlink" Target="http://twitter.com/Northum65478582/statuses/1521009084992045056" TargetMode="External"/><Relationship Id="rId4953" Type="http://schemas.openxmlformats.org/officeDocument/2006/relationships/hyperlink" Target="http://pbs.twimg.com/profile_images/1278949302644158469/3xgtC0sr_normal.jpg" TargetMode="External"/><Relationship Id="rId3625" Type="http://schemas.openxmlformats.org/officeDocument/2006/relationships/hyperlink" Target="http://pbs.twimg.com/profile_images/1508400544246906882/rZnvkUzU_normal.jpg" TargetMode="External"/><Relationship Id="rId4956" Type="http://schemas.openxmlformats.org/officeDocument/2006/relationships/hyperlink" Target="http://twitter.com/h1llbillies/statuses/1520911943158177792" TargetMode="External"/><Relationship Id="rId3624" Type="http://schemas.openxmlformats.org/officeDocument/2006/relationships/hyperlink" Target="http://twitter.com/spencerh06/statuses/1521008987264753665" TargetMode="External"/><Relationship Id="rId4955" Type="http://schemas.openxmlformats.org/officeDocument/2006/relationships/hyperlink" Target="http://pbs.twimg.com/profile_images/1496784796864987137/ORjxUSVQ_normal.jpg" TargetMode="External"/><Relationship Id="rId3627" Type="http://schemas.openxmlformats.org/officeDocument/2006/relationships/hyperlink" Target="http://pbs.twimg.com/profile_images/1515220540235079685/snrxLtR1_normal.jpg" TargetMode="External"/><Relationship Id="rId4958" Type="http://schemas.openxmlformats.org/officeDocument/2006/relationships/hyperlink" Target="http://twitter.com/redflame1960/statuses/1520911934354341896" TargetMode="External"/><Relationship Id="rId3626" Type="http://schemas.openxmlformats.org/officeDocument/2006/relationships/hyperlink" Target="http://twitter.com/TrowsdaleGary/statuses/1521008930519982080" TargetMode="External"/><Relationship Id="rId4957" Type="http://schemas.openxmlformats.org/officeDocument/2006/relationships/hyperlink" Target="http://pbs.twimg.com/profile_images/1323270086174646277/2zVDZ4cL_normal.jpg" TargetMode="External"/><Relationship Id="rId3629" Type="http://schemas.openxmlformats.org/officeDocument/2006/relationships/hyperlink" Target="http://pbs.twimg.com/profile_images/1448888414753939469/E_BGW7CA_normal.jpg" TargetMode="External"/><Relationship Id="rId3628" Type="http://schemas.openxmlformats.org/officeDocument/2006/relationships/hyperlink" Target="http://twitter.com/BovineWisdom/statuses/1521008902904725504" TargetMode="External"/><Relationship Id="rId4959" Type="http://schemas.openxmlformats.org/officeDocument/2006/relationships/hyperlink" Target="http://pbs.twimg.com/profile_images/2729994091/45c6834e1c8b2e64973de5ec2c86430e_normal.jpeg" TargetMode="External"/><Relationship Id="rId4950" Type="http://schemas.openxmlformats.org/officeDocument/2006/relationships/hyperlink" Target="http://twitter.com/inabster/statuses/1520912028378050560" TargetMode="External"/><Relationship Id="rId3621" Type="http://schemas.openxmlformats.org/officeDocument/2006/relationships/hyperlink" Target="http://pbs.twimg.com/profile_images/1497510073379262465/wnfUDU7e_normal.jpg" TargetMode="External"/><Relationship Id="rId4952" Type="http://schemas.openxmlformats.org/officeDocument/2006/relationships/hyperlink" Target="http://twitter.com/thedragonaunt/statuses/1520912015258267648" TargetMode="External"/><Relationship Id="rId3620" Type="http://schemas.openxmlformats.org/officeDocument/2006/relationships/hyperlink" Target="http://twitter.com/TBHonestlizz/statuses/1521009103245611008" TargetMode="External"/><Relationship Id="rId4951" Type="http://schemas.openxmlformats.org/officeDocument/2006/relationships/hyperlink" Target="http://pbs.twimg.com/profile_images/1497336306057326599/l1PemIZK_normal.jpg" TargetMode="External"/><Relationship Id="rId2324" Type="http://schemas.openxmlformats.org/officeDocument/2006/relationships/hyperlink" Target="http://twitter.com/juliadolan1/statuses/1521032048810549249" TargetMode="External"/><Relationship Id="rId3656" Type="http://schemas.openxmlformats.org/officeDocument/2006/relationships/hyperlink" Target="http://twitter.com/apcousins/statuses/1521008384740409344" TargetMode="External"/><Relationship Id="rId4987" Type="http://schemas.openxmlformats.org/officeDocument/2006/relationships/hyperlink" Target="http://pbs.twimg.com/profile_images/1166788810241400833/qFMPyXMh_normal.jpg" TargetMode="External"/><Relationship Id="rId2325" Type="http://schemas.openxmlformats.org/officeDocument/2006/relationships/hyperlink" Target="http://pbs.twimg.com/profile_images/1418457134568722432/oM0Ug-as_normal.jpg" TargetMode="External"/><Relationship Id="rId3655" Type="http://schemas.openxmlformats.org/officeDocument/2006/relationships/hyperlink" Target="http://pbs.twimg.com/profile_images/1346950330085502980/CNzSJX0L_normal.jpg" TargetMode="External"/><Relationship Id="rId4986" Type="http://schemas.openxmlformats.org/officeDocument/2006/relationships/hyperlink" Target="http://twitter.com/Infrared_44/statuses/1520911177651470336" TargetMode="External"/><Relationship Id="rId2326" Type="http://schemas.openxmlformats.org/officeDocument/2006/relationships/hyperlink" Target="http://twitter.com/AndrewJamesMM/statuses/1521032001377214470" TargetMode="External"/><Relationship Id="rId3658" Type="http://schemas.openxmlformats.org/officeDocument/2006/relationships/hyperlink" Target="http://twitter.com/ATVG2k20/statuses/1521008235645489153" TargetMode="External"/><Relationship Id="rId4989" Type="http://schemas.openxmlformats.org/officeDocument/2006/relationships/hyperlink" Target="http://pbs.twimg.com/profile_images/1225538244344938496/16id1r6l_normal.jpg" TargetMode="External"/><Relationship Id="rId2327" Type="http://schemas.openxmlformats.org/officeDocument/2006/relationships/hyperlink" Target="http://pbs.twimg.com/profile_images/1244137814515687425/0Nwg6FJY_normal.jpg" TargetMode="External"/><Relationship Id="rId3657" Type="http://schemas.openxmlformats.org/officeDocument/2006/relationships/hyperlink" Target="http://pbs.twimg.com/profile_images/1484311758604947457/zRzi3fJs_normal.jpg" TargetMode="External"/><Relationship Id="rId4988" Type="http://schemas.openxmlformats.org/officeDocument/2006/relationships/hyperlink" Target="http://twitter.com/sarahgollin/statuses/1520911155123965955" TargetMode="External"/><Relationship Id="rId2328" Type="http://schemas.openxmlformats.org/officeDocument/2006/relationships/hyperlink" Target="http://twitter.com/Horselessjane/statuses/1521031993965879296" TargetMode="External"/><Relationship Id="rId2329" Type="http://schemas.openxmlformats.org/officeDocument/2006/relationships/hyperlink" Target="http://pbs.twimg.com/profile_images/3056688665/a0d76912a652e3cdd5a86d131bbbc8cb_normal.jpeg" TargetMode="External"/><Relationship Id="rId3659" Type="http://schemas.openxmlformats.org/officeDocument/2006/relationships/hyperlink" Target="http://pbs.twimg.com/profile_images/1107346340290445312/VqPFo3YF_normal.png" TargetMode="External"/><Relationship Id="rId3650" Type="http://schemas.openxmlformats.org/officeDocument/2006/relationships/hyperlink" Target="http://twitter.com/isolawilde306/statuses/1521008551329677313" TargetMode="External"/><Relationship Id="rId4981" Type="http://schemas.openxmlformats.org/officeDocument/2006/relationships/hyperlink" Target="http://pbs.twimg.com/profile_images/1251887664887980037/L6o_9AzJ_normal.jpg" TargetMode="External"/><Relationship Id="rId4980" Type="http://schemas.openxmlformats.org/officeDocument/2006/relationships/hyperlink" Target="http://twitter.com/ASfB_UK/statuses/1520911329451819010" TargetMode="External"/><Relationship Id="rId2320" Type="http://schemas.openxmlformats.org/officeDocument/2006/relationships/hyperlink" Target="http://twitter.com/VerityKalcev/statuses/1521032064308547585" TargetMode="External"/><Relationship Id="rId3652" Type="http://schemas.openxmlformats.org/officeDocument/2006/relationships/hyperlink" Target="http://twitter.com/ArtsCombined/statuses/1521008507834839041" TargetMode="External"/><Relationship Id="rId4983" Type="http://schemas.openxmlformats.org/officeDocument/2006/relationships/hyperlink" Target="http://pbs.twimg.com/profile_images/1166788810241400833/qFMPyXMh_normal.jpg" TargetMode="External"/><Relationship Id="rId2321" Type="http://schemas.openxmlformats.org/officeDocument/2006/relationships/hyperlink" Target="http://pbs.twimg.com/profile_images/1413997364/richardg2_normal.png" TargetMode="External"/><Relationship Id="rId3651" Type="http://schemas.openxmlformats.org/officeDocument/2006/relationships/hyperlink" Target="http://pbs.twimg.com/profile_images/1268276415604162562/eQBAjcr1_normal.png" TargetMode="External"/><Relationship Id="rId4982" Type="http://schemas.openxmlformats.org/officeDocument/2006/relationships/hyperlink" Target="http://twitter.com/bestgrandma56/statuses/1520911296648171521" TargetMode="External"/><Relationship Id="rId2322" Type="http://schemas.openxmlformats.org/officeDocument/2006/relationships/hyperlink" Target="http://twitter.com/rickglyn/statuses/1521032062307901440" TargetMode="External"/><Relationship Id="rId3654" Type="http://schemas.openxmlformats.org/officeDocument/2006/relationships/hyperlink" Target="http://twitter.com/verruckte_welt_/statuses/1521008500402491393" TargetMode="External"/><Relationship Id="rId4985" Type="http://schemas.openxmlformats.org/officeDocument/2006/relationships/hyperlink" Target="http://pbs.twimg.com/profile_images/947955462917500928/w4zsWyCz_normal.jpg" TargetMode="External"/><Relationship Id="rId2323" Type="http://schemas.openxmlformats.org/officeDocument/2006/relationships/hyperlink" Target="http://pbs.twimg.com/profile_images/3056688665/a0d76912a652e3cdd5a86d131bbbc8cb_normal.jpeg" TargetMode="External"/><Relationship Id="rId3653" Type="http://schemas.openxmlformats.org/officeDocument/2006/relationships/hyperlink" Target="http://pbs.twimg.com/profile_images/1513876437752852483/g3ChhmHE_normal.jpg" TargetMode="External"/><Relationship Id="rId4984" Type="http://schemas.openxmlformats.org/officeDocument/2006/relationships/hyperlink" Target="http://twitter.com/sarahgollin/statuses/1520911180218384386" TargetMode="External"/><Relationship Id="rId2313" Type="http://schemas.openxmlformats.org/officeDocument/2006/relationships/hyperlink" Target="http://pbs.twimg.com/profile_images/1037424551158792192/2kvxZjKf_normal.jpg" TargetMode="External"/><Relationship Id="rId3645" Type="http://schemas.openxmlformats.org/officeDocument/2006/relationships/hyperlink" Target="http://pbs.twimg.com/profile_images/663854890247147520/YB6SlDMQ_normal.jpg" TargetMode="External"/><Relationship Id="rId4976" Type="http://schemas.openxmlformats.org/officeDocument/2006/relationships/hyperlink" Target="http://twitter.com/helenamayb/statuses/1520911357851410434" TargetMode="External"/><Relationship Id="rId2314" Type="http://schemas.openxmlformats.org/officeDocument/2006/relationships/hyperlink" Target="http://twitter.com/NuncTempus/statuses/1521032140590399490" TargetMode="External"/><Relationship Id="rId3644" Type="http://schemas.openxmlformats.org/officeDocument/2006/relationships/hyperlink" Target="http://twitter.com/JulieCuninghame/statuses/1521008675166556161" TargetMode="External"/><Relationship Id="rId4975" Type="http://schemas.openxmlformats.org/officeDocument/2006/relationships/hyperlink" Target="http://pbs.twimg.com/profile_images/872169700331048963/MQzadWQe_normal.jpg" TargetMode="External"/><Relationship Id="rId2315" Type="http://schemas.openxmlformats.org/officeDocument/2006/relationships/hyperlink" Target="http://pbs.twimg.com/profile_images/725387831951110144/L8EUld-__normal.jpg" TargetMode="External"/><Relationship Id="rId3647" Type="http://schemas.openxmlformats.org/officeDocument/2006/relationships/hyperlink" Target="http://pbs.twimg.com/profile_images/1519317195163058176/mrwfoS7v_normal.jpg" TargetMode="External"/><Relationship Id="rId4978" Type="http://schemas.openxmlformats.org/officeDocument/2006/relationships/hyperlink" Target="http://twitter.com/BunsenAbroad/statuses/1520911346388410368" TargetMode="External"/><Relationship Id="rId2316" Type="http://schemas.openxmlformats.org/officeDocument/2006/relationships/hyperlink" Target="http://twitter.com/HarrisonJan/statuses/1521032111062454272" TargetMode="External"/><Relationship Id="rId3646" Type="http://schemas.openxmlformats.org/officeDocument/2006/relationships/hyperlink" Target="http://twitter.com/jimmyvilla1961/statuses/1521008603196542977" TargetMode="External"/><Relationship Id="rId4977" Type="http://schemas.openxmlformats.org/officeDocument/2006/relationships/hyperlink" Target="http://pbs.twimg.com/profile_images/889406894653231104/ecHtykSd_normal.jpg" TargetMode="External"/><Relationship Id="rId2317" Type="http://schemas.openxmlformats.org/officeDocument/2006/relationships/hyperlink" Target="http://pbs.twimg.com/profile_images/1062715724957806592/RbGWD0X4_normal.jpg" TargetMode="External"/><Relationship Id="rId3649" Type="http://schemas.openxmlformats.org/officeDocument/2006/relationships/hyperlink" Target="http://pbs.twimg.com/profile_images/1499688987618906113/KFUm7TDC_normal.png" TargetMode="External"/><Relationship Id="rId2318" Type="http://schemas.openxmlformats.org/officeDocument/2006/relationships/hyperlink" Target="http://twitter.com/gellilyfdy/statuses/1521032092796297216" TargetMode="External"/><Relationship Id="rId3648" Type="http://schemas.openxmlformats.org/officeDocument/2006/relationships/hyperlink" Target="http://twitter.com/diplomacyxx/statuses/1521008574482329600" TargetMode="External"/><Relationship Id="rId4979" Type="http://schemas.openxmlformats.org/officeDocument/2006/relationships/hyperlink" Target="http://pbs.twimg.com/profile_images/1196174779168051200/iotX3gE7_normal.jpg" TargetMode="External"/><Relationship Id="rId2319" Type="http://schemas.openxmlformats.org/officeDocument/2006/relationships/hyperlink" Target="http://pbs.twimg.com/profile_images/563467930458136577/sHteWM3F_normal.jpeg" TargetMode="External"/><Relationship Id="rId4970" Type="http://schemas.openxmlformats.org/officeDocument/2006/relationships/hyperlink" Target="http://twitter.com/Sandrapeake10/statuses/1520911721849921536" TargetMode="External"/><Relationship Id="rId3641" Type="http://schemas.openxmlformats.org/officeDocument/2006/relationships/hyperlink" Target="http://pbs.twimg.com/profile_images/1118992813121781760/c7_mdY22_normal.jpg" TargetMode="External"/><Relationship Id="rId4972" Type="http://schemas.openxmlformats.org/officeDocument/2006/relationships/hyperlink" Target="http://twitter.com/WalshC129/statuses/1520911703072030720" TargetMode="External"/><Relationship Id="rId2310" Type="http://schemas.openxmlformats.org/officeDocument/2006/relationships/hyperlink" Target="http://twitter.com/Steve_Tomlin/statuses/1521032183615574019" TargetMode="External"/><Relationship Id="rId3640" Type="http://schemas.openxmlformats.org/officeDocument/2006/relationships/hyperlink" Target="http://twitter.com/JulieCuninghame/statuses/1521008762387111936" TargetMode="External"/><Relationship Id="rId4971" Type="http://schemas.openxmlformats.org/officeDocument/2006/relationships/hyperlink" Target="http://pbs.twimg.com/profile_images/497772371374125056/Tbtb3AjK_normal.jpeg" TargetMode="External"/><Relationship Id="rId2311" Type="http://schemas.openxmlformats.org/officeDocument/2006/relationships/hyperlink" Target="http://pbs.twimg.com/profile_images/1358496340603453440/Y9UbmpMV_normal.jpg" TargetMode="External"/><Relationship Id="rId3643" Type="http://schemas.openxmlformats.org/officeDocument/2006/relationships/hyperlink" Target="http://pbs.twimg.com/profile_images/227938108/jules_normal.bmp" TargetMode="External"/><Relationship Id="rId4974" Type="http://schemas.openxmlformats.org/officeDocument/2006/relationships/hyperlink" Target="http://twitter.com/AlanAmoody6161/statuses/1520911521236365313" TargetMode="External"/><Relationship Id="rId2312" Type="http://schemas.openxmlformats.org/officeDocument/2006/relationships/hyperlink" Target="http://twitter.com/SimonWattsHull/statuses/1521032172051836928" TargetMode="External"/><Relationship Id="rId3642" Type="http://schemas.openxmlformats.org/officeDocument/2006/relationships/hyperlink" Target="http://twitter.com/davidnoland71/statuses/1521008747157536768" TargetMode="External"/><Relationship Id="rId4973" Type="http://schemas.openxmlformats.org/officeDocument/2006/relationships/hyperlink" Target="http://abs.twimg.com/sticky/default_profile_images/default_profile_normal.png" TargetMode="External"/><Relationship Id="rId1895" Type="http://schemas.openxmlformats.org/officeDocument/2006/relationships/hyperlink" Target="http://pbs.twimg.com/profile_images/2871330713/ba25dc9dbfa13a52f9793ec5b264f777_normal.jpeg" TargetMode="External"/><Relationship Id="rId4921" Type="http://schemas.openxmlformats.org/officeDocument/2006/relationships/hyperlink" Target="http://pbs.twimg.com/profile_images/1512772410273153024/ihTbrr_t_normal.jpg" TargetMode="External"/><Relationship Id="rId1896" Type="http://schemas.openxmlformats.org/officeDocument/2006/relationships/hyperlink" Target="http://twitter.com/timg33/statuses/1521038576120700928" TargetMode="External"/><Relationship Id="rId4920" Type="http://schemas.openxmlformats.org/officeDocument/2006/relationships/hyperlink" Target="http://twitter.com/PippaLeeuwen/statuses/1520913755349131264" TargetMode="External"/><Relationship Id="rId1897" Type="http://schemas.openxmlformats.org/officeDocument/2006/relationships/hyperlink" Target="http://pbs.twimg.com/profile_images/1131856110766448640/a4e6i01k_normal.jpg" TargetMode="External"/><Relationship Id="rId4923" Type="http://schemas.openxmlformats.org/officeDocument/2006/relationships/hyperlink" Target="http://pbs.twimg.com/profile_images/1344603621925773312/DDdf4X9D_normal.jpg" TargetMode="External"/><Relationship Id="rId1898" Type="http://schemas.openxmlformats.org/officeDocument/2006/relationships/hyperlink" Target="http://twitter.com/franjangle/statuses/1521038522173505536" TargetMode="External"/><Relationship Id="rId4922" Type="http://schemas.openxmlformats.org/officeDocument/2006/relationships/hyperlink" Target="http://twitter.com/HarryJamesBooks/statuses/1520913714291122177" TargetMode="External"/><Relationship Id="rId1899" Type="http://schemas.openxmlformats.org/officeDocument/2006/relationships/hyperlink" Target="http://pbs.twimg.com/profile_images/1354805370909118470/c7JI9tbK_normal.jpg" TargetMode="External"/><Relationship Id="rId4925" Type="http://schemas.openxmlformats.org/officeDocument/2006/relationships/hyperlink" Target="http://pbs.twimg.com/profile_images/1498106961577000964/gG9HhpQB_normal.jpg" TargetMode="External"/><Relationship Id="rId4924" Type="http://schemas.openxmlformats.org/officeDocument/2006/relationships/hyperlink" Target="http://twitter.com/RejoinersRus/statuses/1520913706590289921" TargetMode="External"/><Relationship Id="rId4927" Type="http://schemas.openxmlformats.org/officeDocument/2006/relationships/hyperlink" Target="http://pbs.twimg.com/profile_images/1501127732188655621/uoWUPNCv_normal.jpg" TargetMode="External"/><Relationship Id="rId4926" Type="http://schemas.openxmlformats.org/officeDocument/2006/relationships/hyperlink" Target="http://twitter.com/MatthewJJenkins/statuses/1520913596129189890" TargetMode="External"/><Relationship Id="rId4929" Type="http://schemas.openxmlformats.org/officeDocument/2006/relationships/hyperlink" Target="http://pbs.twimg.com/profile_images/1496650638628900870/ZARkdiLC_normal.jpg" TargetMode="External"/><Relationship Id="rId4928" Type="http://schemas.openxmlformats.org/officeDocument/2006/relationships/hyperlink" Target="http://twitter.com/sen_j59/statuses/1520913454076510215" TargetMode="External"/><Relationship Id="rId1890" Type="http://schemas.openxmlformats.org/officeDocument/2006/relationships/hyperlink" Target="http://twitter.com/hazelbagend/statuses/1521038638146015233" TargetMode="External"/><Relationship Id="rId1891" Type="http://schemas.openxmlformats.org/officeDocument/2006/relationships/hyperlink" Target="http://pbs.twimg.com/profile_images/1383049506313400323/iLDZritp_normal.jpg" TargetMode="External"/><Relationship Id="rId1892" Type="http://schemas.openxmlformats.org/officeDocument/2006/relationships/hyperlink" Target="http://twitter.com/LeniNicholls/statuses/1521038633142308866" TargetMode="External"/><Relationship Id="rId1893" Type="http://schemas.openxmlformats.org/officeDocument/2006/relationships/hyperlink" Target="http://pbs.twimg.com/profile_images/1171374398022017025/ps8zQdRA_normal.jpg" TargetMode="External"/><Relationship Id="rId1894" Type="http://schemas.openxmlformats.org/officeDocument/2006/relationships/hyperlink" Target="http://twitter.com/IslandNumber/statuses/1521038576712093696" TargetMode="External"/><Relationship Id="rId1884" Type="http://schemas.openxmlformats.org/officeDocument/2006/relationships/hyperlink" Target="http://twitter.com/piciniscoceltic/statuses/1521038762704347139" TargetMode="External"/><Relationship Id="rId4910" Type="http://schemas.openxmlformats.org/officeDocument/2006/relationships/hyperlink" Target="http://twitter.com/VeraVeritas3/statuses/1520914214415650816" TargetMode="External"/><Relationship Id="rId1885" Type="http://schemas.openxmlformats.org/officeDocument/2006/relationships/hyperlink" Target="http://abs.twimg.com/sticky/default_profile_images/default_profile_normal.png" TargetMode="External"/><Relationship Id="rId1886" Type="http://schemas.openxmlformats.org/officeDocument/2006/relationships/hyperlink" Target="http://twitter.com/BarondeBrock/statuses/1521038735500001280" TargetMode="External"/><Relationship Id="rId4912" Type="http://schemas.openxmlformats.org/officeDocument/2006/relationships/hyperlink" Target="http://twitter.com/JoeLucking66/statuses/1520914152881074182" TargetMode="External"/><Relationship Id="rId1887" Type="http://schemas.openxmlformats.org/officeDocument/2006/relationships/hyperlink" Target="http://pbs.twimg.com/profile_images/559757883928100864/Q-vM10sS_normal.jpeg" TargetMode="External"/><Relationship Id="rId4911" Type="http://schemas.openxmlformats.org/officeDocument/2006/relationships/hyperlink" Target="http://pbs.twimg.com/profile_images/1399674869420376068/orikgj6w_normal.jpg" TargetMode="External"/><Relationship Id="rId1888" Type="http://schemas.openxmlformats.org/officeDocument/2006/relationships/hyperlink" Target="http://twitter.com/clairerendall1/statuses/1521038660241702913" TargetMode="External"/><Relationship Id="rId4914" Type="http://schemas.openxmlformats.org/officeDocument/2006/relationships/hyperlink" Target="http://twitter.com/filsdelenin/statuses/1520914128843517953" TargetMode="External"/><Relationship Id="rId1889" Type="http://schemas.openxmlformats.org/officeDocument/2006/relationships/hyperlink" Target="http://pbs.twimg.com/profile_images/860289567714181120/78Pk2Tkf_normal.jpg" TargetMode="External"/><Relationship Id="rId4913" Type="http://schemas.openxmlformats.org/officeDocument/2006/relationships/hyperlink" Target="http://pbs.twimg.com/profile_images/780514360443670528/vdpWJG0A_normal.jpg" TargetMode="External"/><Relationship Id="rId4916" Type="http://schemas.openxmlformats.org/officeDocument/2006/relationships/hyperlink" Target="http://twitter.com/PippaLeeuwen/statuses/1520913829932195840" TargetMode="External"/><Relationship Id="rId4915" Type="http://schemas.openxmlformats.org/officeDocument/2006/relationships/hyperlink" Target="http://pbs.twimg.com/profile_images/1309773640007913472/hptd-Y5o_normal.jpg" TargetMode="External"/><Relationship Id="rId4918" Type="http://schemas.openxmlformats.org/officeDocument/2006/relationships/hyperlink" Target="http://twitter.com/SimonTurkas/statuses/1520913765105029121" TargetMode="External"/><Relationship Id="rId4917" Type="http://schemas.openxmlformats.org/officeDocument/2006/relationships/hyperlink" Target="http://pbs.twimg.com/profile_images/1513272222357590016/PsJ1vHjg_normal.jpg" TargetMode="External"/><Relationship Id="rId4919" Type="http://schemas.openxmlformats.org/officeDocument/2006/relationships/hyperlink" Target="http://pbs.twimg.com/profile_images/1309773640007913472/hptd-Y5o_normal.jpg" TargetMode="External"/><Relationship Id="rId1880" Type="http://schemas.openxmlformats.org/officeDocument/2006/relationships/hyperlink" Target="http://twitter.com/daveRessex/statuses/1521038820342484993" TargetMode="External"/><Relationship Id="rId1881" Type="http://schemas.openxmlformats.org/officeDocument/2006/relationships/hyperlink" Target="http://pbs.twimg.com/profile_images/1519693611679588352/ilkOM9su_normal.jpg" TargetMode="External"/><Relationship Id="rId1882" Type="http://schemas.openxmlformats.org/officeDocument/2006/relationships/hyperlink" Target="http://twitter.com/Draculadarkan/statuses/1521038796833316864" TargetMode="External"/><Relationship Id="rId1883" Type="http://schemas.openxmlformats.org/officeDocument/2006/relationships/hyperlink" Target="http://pbs.twimg.com/profile_images/898992071956201473/jqZLnQ2T_normal.jpg" TargetMode="External"/><Relationship Id="rId3612" Type="http://schemas.openxmlformats.org/officeDocument/2006/relationships/hyperlink" Target="http://twitter.com/ASlightReturn1/statuses/1521009289678229506" TargetMode="External"/><Relationship Id="rId4943" Type="http://schemas.openxmlformats.org/officeDocument/2006/relationships/hyperlink" Target="http://pbs.twimg.com/profile_images/843577364000849920/80ylzxSm_normal.jpg" TargetMode="External"/><Relationship Id="rId3611" Type="http://schemas.openxmlformats.org/officeDocument/2006/relationships/hyperlink" Target="http://pbs.twimg.com/profile_images/1217377616316989441/bG55aBJ4_normal.jpg" TargetMode="External"/><Relationship Id="rId4942" Type="http://schemas.openxmlformats.org/officeDocument/2006/relationships/hyperlink" Target="http://twitter.com/LordOfTheNacho/statuses/1520912220959526912" TargetMode="External"/><Relationship Id="rId3614" Type="http://schemas.openxmlformats.org/officeDocument/2006/relationships/hyperlink" Target="http://twitter.com/Revolution354/statuses/1521009251329753088" TargetMode="External"/><Relationship Id="rId4945" Type="http://schemas.openxmlformats.org/officeDocument/2006/relationships/hyperlink" Target="http://pbs.twimg.com/profile_images/843577364000849920/80ylzxSm_normal.jpg" TargetMode="External"/><Relationship Id="rId3613" Type="http://schemas.openxmlformats.org/officeDocument/2006/relationships/hyperlink" Target="http://abs.twimg.com/sticky/default_profile_images/default_profile_normal.png" TargetMode="External"/><Relationship Id="rId4944" Type="http://schemas.openxmlformats.org/officeDocument/2006/relationships/hyperlink" Target="http://twitter.com/inabster/statuses/1520912130345938944" TargetMode="External"/><Relationship Id="rId3616" Type="http://schemas.openxmlformats.org/officeDocument/2006/relationships/hyperlink" Target="http://twitter.com/BrassGun2/statuses/1521009249031278595" TargetMode="External"/><Relationship Id="rId4947" Type="http://schemas.openxmlformats.org/officeDocument/2006/relationships/hyperlink" Target="http://pbs.twimg.com/profile_images/843577364000849920/80ylzxSm_normal.jpg" TargetMode="External"/><Relationship Id="rId3615" Type="http://schemas.openxmlformats.org/officeDocument/2006/relationships/hyperlink" Target="http://abs.twimg.com/sticky/default_profile_images/default_profile_normal.png" TargetMode="External"/><Relationship Id="rId4946" Type="http://schemas.openxmlformats.org/officeDocument/2006/relationships/hyperlink" Target="http://twitter.com/inabster/statuses/1520912118769504256" TargetMode="External"/><Relationship Id="rId3618" Type="http://schemas.openxmlformats.org/officeDocument/2006/relationships/hyperlink" Target="http://twitter.com/DespiteBrexbot/statuses/1521009158769844225" TargetMode="External"/><Relationship Id="rId4949" Type="http://schemas.openxmlformats.org/officeDocument/2006/relationships/hyperlink" Target="http://pbs.twimg.com/profile_images/843577364000849920/80ylzxSm_normal.jpg" TargetMode="External"/><Relationship Id="rId3617" Type="http://schemas.openxmlformats.org/officeDocument/2006/relationships/hyperlink" Target="http://pbs.twimg.com/profile_images/933080856306110465/nK4vz9VF_normal.jpg" TargetMode="External"/><Relationship Id="rId4948" Type="http://schemas.openxmlformats.org/officeDocument/2006/relationships/hyperlink" Target="http://twitter.com/inabster/statuses/1520912107436486661" TargetMode="External"/><Relationship Id="rId3619" Type="http://schemas.openxmlformats.org/officeDocument/2006/relationships/hyperlink" Target="http://pbs.twimg.com/profile_images/1497120570512662534/tYFGnxWU_normal.jpg" TargetMode="External"/><Relationship Id="rId3610" Type="http://schemas.openxmlformats.org/officeDocument/2006/relationships/hyperlink" Target="http://twitter.com/PaulHawes/statuses/1521009356291993600" TargetMode="External"/><Relationship Id="rId4941" Type="http://schemas.openxmlformats.org/officeDocument/2006/relationships/hyperlink" Target="http://pbs.twimg.com/profile_images/2875119158/07b48ffe47c82d461a1ac0f9cd7c3464_normal.png" TargetMode="External"/><Relationship Id="rId4940" Type="http://schemas.openxmlformats.org/officeDocument/2006/relationships/hyperlink" Target="http://twitter.com/brotherguerilla/statuses/1520912556742823937" TargetMode="External"/><Relationship Id="rId3601" Type="http://schemas.openxmlformats.org/officeDocument/2006/relationships/hyperlink" Target="http://pbs.twimg.com/profile_images/1498231052321660929/-C_DeN8k_normal.jpg" TargetMode="External"/><Relationship Id="rId4932" Type="http://schemas.openxmlformats.org/officeDocument/2006/relationships/hyperlink" Target="http://twitter.com/eurightswatch/statuses/1520913107496968193" TargetMode="External"/><Relationship Id="rId3600" Type="http://schemas.openxmlformats.org/officeDocument/2006/relationships/hyperlink" Target="http://twitter.com/cbjhunter/statuses/1521009640456310785" TargetMode="External"/><Relationship Id="rId4931" Type="http://schemas.openxmlformats.org/officeDocument/2006/relationships/hyperlink" Target="http://abs.twimg.com/sticky/default_profile_images/default_profile_normal.png" TargetMode="External"/><Relationship Id="rId3603" Type="http://schemas.openxmlformats.org/officeDocument/2006/relationships/hyperlink" Target="http://pbs.twimg.com/profile_images/1405038837915660290/m64SQr-O_normal.jpg" TargetMode="External"/><Relationship Id="rId4934" Type="http://schemas.openxmlformats.org/officeDocument/2006/relationships/hyperlink" Target="http://twitter.com/nighthawkgeoff/statuses/1520912923371184128" TargetMode="External"/><Relationship Id="rId3602" Type="http://schemas.openxmlformats.org/officeDocument/2006/relationships/hyperlink" Target="http://twitter.com/martin97903661/statuses/1521009535560949763" TargetMode="External"/><Relationship Id="rId4933" Type="http://schemas.openxmlformats.org/officeDocument/2006/relationships/hyperlink" Target="http://pbs.twimg.com/profile_images/1480718875901710337/tzVRboLE_normal.jpg" TargetMode="External"/><Relationship Id="rId3605" Type="http://schemas.openxmlformats.org/officeDocument/2006/relationships/hyperlink" Target="http://pbs.twimg.com/profile_images/1498231052321660929/-C_DeN8k_normal.jpg" TargetMode="External"/><Relationship Id="rId4936" Type="http://schemas.openxmlformats.org/officeDocument/2006/relationships/hyperlink" Target="http://twitter.com/Emmynance/statuses/1520912918124003328" TargetMode="External"/><Relationship Id="rId3604" Type="http://schemas.openxmlformats.org/officeDocument/2006/relationships/hyperlink" Target="http://twitter.com/RosMcM/statuses/1521009503872892928" TargetMode="External"/><Relationship Id="rId4935" Type="http://schemas.openxmlformats.org/officeDocument/2006/relationships/hyperlink" Target="http://pbs.twimg.com/profile_images/1248649161018228736/gWkjgvct_normal.jpg" TargetMode="External"/><Relationship Id="rId3607" Type="http://schemas.openxmlformats.org/officeDocument/2006/relationships/hyperlink" Target="http://pbs.twimg.com/profile_images/537609030513201152/Wt95SZ5N_normal.jpeg" TargetMode="External"/><Relationship Id="rId4938" Type="http://schemas.openxmlformats.org/officeDocument/2006/relationships/hyperlink" Target="http://twitter.com/cheese58chat/statuses/1520912824716996609" TargetMode="External"/><Relationship Id="rId3606" Type="http://schemas.openxmlformats.org/officeDocument/2006/relationships/hyperlink" Target="http://twitter.com/martin97903661/statuses/1521009477964738560" TargetMode="External"/><Relationship Id="rId4937" Type="http://schemas.openxmlformats.org/officeDocument/2006/relationships/hyperlink" Target="http://pbs.twimg.com/profile_images/1181190055123136512/jBW_JYaC_normal.jpg" TargetMode="External"/><Relationship Id="rId3609" Type="http://schemas.openxmlformats.org/officeDocument/2006/relationships/hyperlink" Target="http://pbs.twimg.com/profile_images/1083827008151408641/EGKB9WkS_normal.png" TargetMode="External"/><Relationship Id="rId3608" Type="http://schemas.openxmlformats.org/officeDocument/2006/relationships/hyperlink" Target="http://twitter.com/Deasbad/statuses/1521009456452153344" TargetMode="External"/><Relationship Id="rId4939" Type="http://schemas.openxmlformats.org/officeDocument/2006/relationships/hyperlink" Target="http://pbs.twimg.com/profile_images/1480212567536644096/oGDOs7g-_normal.jpg" TargetMode="External"/><Relationship Id="rId4930" Type="http://schemas.openxmlformats.org/officeDocument/2006/relationships/hyperlink" Target="http://twitter.com/EveryDayTaiChi/statuses/1520913254213640192" TargetMode="External"/><Relationship Id="rId1059" Type="http://schemas.openxmlformats.org/officeDocument/2006/relationships/hyperlink" Target="http://pbs.twimg.com/profile_images/487295042403332096/crovrHKM_normal.jpeg" TargetMode="External"/><Relationship Id="rId5417" Type="http://schemas.openxmlformats.org/officeDocument/2006/relationships/hyperlink" Target="http://pbs.twimg.com/profile_images/381003308/Carolyn2_normal.jpg" TargetMode="External"/><Relationship Id="rId5418" Type="http://schemas.openxmlformats.org/officeDocument/2006/relationships/hyperlink" Target="http://twitter.com/carolyndare/statuses/1520894425894899716" TargetMode="External"/><Relationship Id="rId5415" Type="http://schemas.openxmlformats.org/officeDocument/2006/relationships/hyperlink" Target="http://pbs.twimg.com/profile_images/1230430710781161474/T9U91zom_normal.jpg" TargetMode="External"/><Relationship Id="rId5416" Type="http://schemas.openxmlformats.org/officeDocument/2006/relationships/hyperlink" Target="http://twitter.com/AndreaMatyellow/statuses/1520894476742500352" TargetMode="External"/><Relationship Id="rId5419" Type="http://schemas.openxmlformats.org/officeDocument/2006/relationships/hyperlink" Target="http://abs.twimg.com/sticky/default_profile_images/default_profile_normal.png" TargetMode="External"/><Relationship Id="rId228" Type="http://schemas.openxmlformats.org/officeDocument/2006/relationships/hyperlink" Target="http://twitter.com/detemple/statuses/1521067941810290689" TargetMode="External"/><Relationship Id="rId227" Type="http://schemas.openxmlformats.org/officeDocument/2006/relationships/hyperlink" Target="http://pbs.twimg.com/profile_images/3572281901/9ab9bf4cdb6e37ec2f11de6c852bd60c_normal.jpeg" TargetMode="External"/><Relationship Id="rId226" Type="http://schemas.openxmlformats.org/officeDocument/2006/relationships/hyperlink" Target="http://twitter.com/allanwales2/statuses/1521067952887447552" TargetMode="External"/><Relationship Id="rId225" Type="http://schemas.openxmlformats.org/officeDocument/2006/relationships/hyperlink" Target="http://pbs.twimg.com/profile_images/668426723688476672/iJRLJ0MU_normal.png" TargetMode="External"/><Relationship Id="rId2380" Type="http://schemas.openxmlformats.org/officeDocument/2006/relationships/hyperlink" Target="http://twitter.com/saltyliquorice/statuses/1521031176668033025" TargetMode="External"/><Relationship Id="rId229" Type="http://schemas.openxmlformats.org/officeDocument/2006/relationships/hyperlink" Target="http://pbs.twimg.com/profile_images/1325396569240313856/rQoCJTkh_normal.jpg" TargetMode="External"/><Relationship Id="rId1050" Type="http://schemas.openxmlformats.org/officeDocument/2006/relationships/hyperlink" Target="http://twitter.com/SusiNew1/statuses/1521053743457968128" TargetMode="External"/><Relationship Id="rId2381" Type="http://schemas.openxmlformats.org/officeDocument/2006/relationships/hyperlink" Target="http://pbs.twimg.com/profile_images/1504066643718193153/BOCWafXY_normal.jpg" TargetMode="External"/><Relationship Id="rId220" Type="http://schemas.openxmlformats.org/officeDocument/2006/relationships/hyperlink" Target="http://twitter.com/Jeancol58961620/statuses/1521068080843087873" TargetMode="External"/><Relationship Id="rId1051" Type="http://schemas.openxmlformats.org/officeDocument/2006/relationships/hyperlink" Target="http://pbs.twimg.com/profile_images/1271112541561896960/Mjh8V3lx_normal.jpg" TargetMode="External"/><Relationship Id="rId2382" Type="http://schemas.openxmlformats.org/officeDocument/2006/relationships/hyperlink" Target="http://twitter.com/olynpuss/statuses/1521031061202944002" TargetMode="External"/><Relationship Id="rId1052" Type="http://schemas.openxmlformats.org/officeDocument/2006/relationships/hyperlink" Target="http://twitter.com/RosieBeattie/statuses/1521053684142161921" TargetMode="External"/><Relationship Id="rId2383" Type="http://schemas.openxmlformats.org/officeDocument/2006/relationships/hyperlink" Target="http://pbs.twimg.com/profile_images/1154766346288336896/cCkGJS39_normal.jpg" TargetMode="External"/><Relationship Id="rId5410" Type="http://schemas.openxmlformats.org/officeDocument/2006/relationships/hyperlink" Target="http://twitter.com/remainophile/statuses/1520894594002698240" TargetMode="External"/><Relationship Id="rId1053" Type="http://schemas.openxmlformats.org/officeDocument/2006/relationships/hyperlink" Target="http://pbs.twimg.com/profile_images/1245533070591168512/sP90O1T__normal.jpg" TargetMode="External"/><Relationship Id="rId2384" Type="http://schemas.openxmlformats.org/officeDocument/2006/relationships/hyperlink" Target="http://twitter.com/FloGallien/statuses/1521030985114177541" TargetMode="External"/><Relationship Id="rId1054" Type="http://schemas.openxmlformats.org/officeDocument/2006/relationships/hyperlink" Target="http://twitter.com/TeachganAinm/statuses/1521053669663383552" TargetMode="External"/><Relationship Id="rId2385" Type="http://schemas.openxmlformats.org/officeDocument/2006/relationships/hyperlink" Target="http://pbs.twimg.com/profile_images/1191120478993371136/XXkePZrR_normal.jpg" TargetMode="External"/><Relationship Id="rId224" Type="http://schemas.openxmlformats.org/officeDocument/2006/relationships/hyperlink" Target="http://twitter.com/stardancerMike/statuses/1521068051751477249" TargetMode="External"/><Relationship Id="rId1055" Type="http://schemas.openxmlformats.org/officeDocument/2006/relationships/hyperlink" Target="http://pbs.twimg.com/profile_images/1372293473550876677/JOvFSrtp_normal.jpg" TargetMode="External"/><Relationship Id="rId2386" Type="http://schemas.openxmlformats.org/officeDocument/2006/relationships/hyperlink" Target="http://twitter.com/AlPinkerton/statuses/1521030976041897986" TargetMode="External"/><Relationship Id="rId5413" Type="http://schemas.openxmlformats.org/officeDocument/2006/relationships/hyperlink" Target="http://pbs.twimg.com/profile_images/1480916916034318350/FArn408o_normal.jpg" TargetMode="External"/><Relationship Id="rId223" Type="http://schemas.openxmlformats.org/officeDocument/2006/relationships/hyperlink" Target="http://pbs.twimg.com/profile_images/378800000050855355/2a2146229d0dd6233db98f5af024e89d_normal.jpeg" TargetMode="External"/><Relationship Id="rId1056" Type="http://schemas.openxmlformats.org/officeDocument/2006/relationships/hyperlink" Target="http://twitter.com/CouldBeKel/statuses/1521053611094118400" TargetMode="External"/><Relationship Id="rId2387" Type="http://schemas.openxmlformats.org/officeDocument/2006/relationships/hyperlink" Target="http://pbs.twimg.com/profile_images/641926487336206336/3velFgjZ_normal.jpg" TargetMode="External"/><Relationship Id="rId5414" Type="http://schemas.openxmlformats.org/officeDocument/2006/relationships/hyperlink" Target="http://twitter.com/TheSirFin/statuses/1520894557612920832" TargetMode="External"/><Relationship Id="rId222" Type="http://schemas.openxmlformats.org/officeDocument/2006/relationships/hyperlink" Target="http://twitter.com/CallidusDominus/statuses/1521068079584886790" TargetMode="External"/><Relationship Id="rId1057" Type="http://schemas.openxmlformats.org/officeDocument/2006/relationships/hyperlink" Target="http://pbs.twimg.com/profile_images/902490117100724225/NLww_-xk_normal.jpg" TargetMode="External"/><Relationship Id="rId2388" Type="http://schemas.openxmlformats.org/officeDocument/2006/relationships/hyperlink" Target="http://twitter.com/joe_conere/statuses/1521030896383672321" TargetMode="External"/><Relationship Id="rId5411" Type="http://schemas.openxmlformats.org/officeDocument/2006/relationships/hyperlink" Target="http://pbs.twimg.com/profile_images/1353690551804178433/Gw_dO7U6_normal.jpg" TargetMode="External"/><Relationship Id="rId221" Type="http://schemas.openxmlformats.org/officeDocument/2006/relationships/hyperlink" Target="http://pbs.twimg.com/profile_images/1489022834936532999/MEZLoTY3_normal.jpg" TargetMode="External"/><Relationship Id="rId1058" Type="http://schemas.openxmlformats.org/officeDocument/2006/relationships/hyperlink" Target="http://twitter.com/philipjdoyle/statuses/1521053556471697410" TargetMode="External"/><Relationship Id="rId2389" Type="http://schemas.openxmlformats.org/officeDocument/2006/relationships/hyperlink" Target="http://pbs.twimg.com/profile_images/1514589258450939910/UlyJ4qVT_normal.jpg" TargetMode="External"/><Relationship Id="rId5412" Type="http://schemas.openxmlformats.org/officeDocument/2006/relationships/hyperlink" Target="http://twitter.com/donaldstavert/statuses/1520894563967287296" TargetMode="External"/><Relationship Id="rId1048" Type="http://schemas.openxmlformats.org/officeDocument/2006/relationships/hyperlink" Target="http://twitter.com/ohdaisydog/statuses/1521053783220011008" TargetMode="External"/><Relationship Id="rId2379" Type="http://schemas.openxmlformats.org/officeDocument/2006/relationships/hyperlink" Target="http://pbs.twimg.com/profile_images/1302158341204971520/6WhzniLy_normal.jpg" TargetMode="External"/><Relationship Id="rId5406" Type="http://schemas.openxmlformats.org/officeDocument/2006/relationships/hyperlink" Target="http://twitter.com/choccie_thief/statuses/1520894642044219392" TargetMode="External"/><Relationship Id="rId1049" Type="http://schemas.openxmlformats.org/officeDocument/2006/relationships/hyperlink" Target="http://pbs.twimg.com/profile_images/1246698575347822593/2UeDd3uE_normal.jpg" TargetMode="External"/><Relationship Id="rId5407" Type="http://schemas.openxmlformats.org/officeDocument/2006/relationships/hyperlink" Target="http://pbs.twimg.com/profile_images/1345146977391169536/KLJSLJiM_normal.jpg" TargetMode="External"/><Relationship Id="rId5404" Type="http://schemas.openxmlformats.org/officeDocument/2006/relationships/hyperlink" Target="http://twitter.com/SimmonsKen/statuses/1520894658980810753" TargetMode="External"/><Relationship Id="rId5405" Type="http://schemas.openxmlformats.org/officeDocument/2006/relationships/hyperlink" Target="http://pbs.twimg.com/profile_images/1100315986211811329/PAI-uA7Q_normal.jpg" TargetMode="External"/><Relationship Id="rId5408" Type="http://schemas.openxmlformats.org/officeDocument/2006/relationships/hyperlink" Target="http://twitter.com/jccharnock/statuses/1520894625564839939" TargetMode="External"/><Relationship Id="rId5409" Type="http://schemas.openxmlformats.org/officeDocument/2006/relationships/hyperlink" Target="http://pbs.twimg.com/profile_images/827578527318937606/CwqMCNWx_normal.jpg" TargetMode="External"/><Relationship Id="rId217" Type="http://schemas.openxmlformats.org/officeDocument/2006/relationships/hyperlink" Target="http://pbs.twimg.com/profile_images/1501935222312505357/kRgjj7xi_normal.jpg" TargetMode="External"/><Relationship Id="rId216" Type="http://schemas.openxmlformats.org/officeDocument/2006/relationships/hyperlink" Target="http://twitter.com/stardancerMike/statuses/1521068127001493505" TargetMode="External"/><Relationship Id="rId215" Type="http://schemas.openxmlformats.org/officeDocument/2006/relationships/hyperlink" Target="http://pbs.twimg.com/profile_images/378800000050855355/2a2146229d0dd6233db98f5af024e89d_normal.jpeg" TargetMode="External"/><Relationship Id="rId214" Type="http://schemas.openxmlformats.org/officeDocument/2006/relationships/hyperlink" Target="http://twitter.com/bedfordyid/statuses/1521068140737740801" TargetMode="External"/><Relationship Id="rId219" Type="http://schemas.openxmlformats.org/officeDocument/2006/relationships/hyperlink" Target="http://abs.twimg.com/sticky/default_profile_images/default_profile_normal.png" TargetMode="External"/><Relationship Id="rId218" Type="http://schemas.openxmlformats.org/officeDocument/2006/relationships/hyperlink" Target="http://twitter.com/JohnHurr/statuses/1521068092314554369" TargetMode="External"/><Relationship Id="rId2370" Type="http://schemas.openxmlformats.org/officeDocument/2006/relationships/hyperlink" Target="http://twitter.com/oly_pics/statuses/1521031279273201665" TargetMode="External"/><Relationship Id="rId1040" Type="http://schemas.openxmlformats.org/officeDocument/2006/relationships/hyperlink" Target="http://twitter.com/ArtBear1000/statuses/1521054065731452935" TargetMode="External"/><Relationship Id="rId2371" Type="http://schemas.openxmlformats.org/officeDocument/2006/relationships/hyperlink" Target="http://abs.twimg.com/sticky/default_profile_images/default_profile_normal.png" TargetMode="External"/><Relationship Id="rId1041" Type="http://schemas.openxmlformats.org/officeDocument/2006/relationships/hyperlink" Target="http://pbs.twimg.com/profile_images/1179262787299639296/x3kKPA6B_normal.jpg" TargetMode="External"/><Relationship Id="rId2372" Type="http://schemas.openxmlformats.org/officeDocument/2006/relationships/hyperlink" Target="http://twitter.com/mit1953/statuses/1521031275888488451" TargetMode="External"/><Relationship Id="rId1042" Type="http://schemas.openxmlformats.org/officeDocument/2006/relationships/hyperlink" Target="http://twitter.com/saveyokohama/statuses/1521053997074989057" TargetMode="External"/><Relationship Id="rId2373" Type="http://schemas.openxmlformats.org/officeDocument/2006/relationships/hyperlink" Target="http://pbs.twimg.com/profile_images/1478296974705184773/seTAb9av_normal.jpg" TargetMode="External"/><Relationship Id="rId1043" Type="http://schemas.openxmlformats.org/officeDocument/2006/relationships/hyperlink" Target="http://pbs.twimg.com/profile_images/1055424123831238656/a5cfZDFE_normal.jpg" TargetMode="External"/><Relationship Id="rId2374" Type="http://schemas.openxmlformats.org/officeDocument/2006/relationships/hyperlink" Target="http://twitter.com/farfield79/statuses/1521031249657274369" TargetMode="External"/><Relationship Id="rId213" Type="http://schemas.openxmlformats.org/officeDocument/2006/relationships/hyperlink" Target="http://pbs.twimg.com/profile_images/1347099929165049858/H80ux06N_normal.jpg" TargetMode="External"/><Relationship Id="rId1044" Type="http://schemas.openxmlformats.org/officeDocument/2006/relationships/hyperlink" Target="http://twitter.com/attractaub/statuses/1521053944839081985" TargetMode="External"/><Relationship Id="rId2375" Type="http://schemas.openxmlformats.org/officeDocument/2006/relationships/hyperlink" Target="http://pbs.twimg.com/profile_images/1303383541020078088/8GyrWOSV_normal.jpg" TargetMode="External"/><Relationship Id="rId5402" Type="http://schemas.openxmlformats.org/officeDocument/2006/relationships/hyperlink" Target="http://twitter.com/choccie_thief/statuses/1520894668074102787" TargetMode="External"/><Relationship Id="rId212" Type="http://schemas.openxmlformats.org/officeDocument/2006/relationships/hyperlink" Target="http://twitter.com/lynneba25622829/statuses/1521068158664253441" TargetMode="External"/><Relationship Id="rId1045" Type="http://schemas.openxmlformats.org/officeDocument/2006/relationships/hyperlink" Target="http://pbs.twimg.com/profile_images/1517427902060666881/Vg4x7cNk_normal.jpg" TargetMode="External"/><Relationship Id="rId2376" Type="http://schemas.openxmlformats.org/officeDocument/2006/relationships/hyperlink" Target="http://twitter.com/lucapavel/statuses/1521031243978129409" TargetMode="External"/><Relationship Id="rId5403" Type="http://schemas.openxmlformats.org/officeDocument/2006/relationships/hyperlink" Target="http://pbs.twimg.com/profile_images/1478822496744972290/MbyivwcP_normal.jpg" TargetMode="External"/><Relationship Id="rId211" Type="http://schemas.openxmlformats.org/officeDocument/2006/relationships/hyperlink" Target="http://abs.twimg.com/sticky/default_profile_images/default_profile_normal.png" TargetMode="External"/><Relationship Id="rId1046" Type="http://schemas.openxmlformats.org/officeDocument/2006/relationships/hyperlink" Target="http://twitter.com/tobyh45/statuses/1521053880620138497" TargetMode="External"/><Relationship Id="rId2377" Type="http://schemas.openxmlformats.org/officeDocument/2006/relationships/hyperlink" Target="http://pbs.twimg.com/profile_images/1249192127298404352/x-mBE_2K_normal.jpg" TargetMode="External"/><Relationship Id="rId5400" Type="http://schemas.openxmlformats.org/officeDocument/2006/relationships/hyperlink" Target="http://twitter.com/leo14754/statuses/1520894710029721602" TargetMode="External"/><Relationship Id="rId210" Type="http://schemas.openxmlformats.org/officeDocument/2006/relationships/hyperlink" Target="http://twitter.com/stardancerMike/statuses/1521068206739308544" TargetMode="External"/><Relationship Id="rId1047" Type="http://schemas.openxmlformats.org/officeDocument/2006/relationships/hyperlink" Target="http://pbs.twimg.com/profile_images/1275569619/PICT0269_normal.JPG" TargetMode="External"/><Relationship Id="rId2378" Type="http://schemas.openxmlformats.org/officeDocument/2006/relationships/hyperlink" Target="http://twitter.com/AnnaBatchelor/statuses/1521031192862248962" TargetMode="External"/><Relationship Id="rId5401" Type="http://schemas.openxmlformats.org/officeDocument/2006/relationships/hyperlink" Target="http://pbs.twimg.com/profile_images/1100315986211811329/PAI-uA7Q_normal.jpg" TargetMode="External"/><Relationship Id="rId4107" Type="http://schemas.openxmlformats.org/officeDocument/2006/relationships/hyperlink" Target="http://abs.twimg.com/sticky/default_profile_images/default_profile_normal.png" TargetMode="External"/><Relationship Id="rId5439" Type="http://schemas.openxmlformats.org/officeDocument/2006/relationships/hyperlink" Target="http://pbs.twimg.com/profile_images/1427763712941830147/JTrGKtee_normal.jpg" TargetMode="External"/><Relationship Id="rId4106" Type="http://schemas.openxmlformats.org/officeDocument/2006/relationships/hyperlink" Target="http://twitter.com/etxberria55/statuses/1520994686470606850" TargetMode="External"/><Relationship Id="rId4109" Type="http://schemas.openxmlformats.org/officeDocument/2006/relationships/hyperlink" Target="http://pbs.twimg.com/profile_images/752832038428958720/e2TXlYtH_normal.jpg" TargetMode="External"/><Relationship Id="rId5437" Type="http://schemas.openxmlformats.org/officeDocument/2006/relationships/hyperlink" Target="http://pbs.twimg.com/profile_images/1509113542422802434/gE2dzp7F_normal.jpg" TargetMode="External"/><Relationship Id="rId4108" Type="http://schemas.openxmlformats.org/officeDocument/2006/relationships/hyperlink" Target="http://twitter.com/AntiEU2/statuses/1520994529054277632" TargetMode="External"/><Relationship Id="rId5438" Type="http://schemas.openxmlformats.org/officeDocument/2006/relationships/hyperlink" Target="http://twitter.com/BillyBr56707418/statuses/1520893489071988736" TargetMode="External"/><Relationship Id="rId249" Type="http://schemas.openxmlformats.org/officeDocument/2006/relationships/hyperlink" Target="http://pbs.twimg.com/profile_images/1035203835734773760/gGDgrVpd_normal.jpg" TargetMode="External"/><Relationship Id="rId248" Type="http://schemas.openxmlformats.org/officeDocument/2006/relationships/hyperlink" Target="http://twitter.com/AlacantPeter/statuses/1521067611584356352" TargetMode="External"/><Relationship Id="rId247" Type="http://schemas.openxmlformats.org/officeDocument/2006/relationships/hyperlink" Target="http://pbs.twimg.com/profile_images/1498282373439537152/WzaSsWyB_normal.jpg" TargetMode="External"/><Relationship Id="rId1070" Type="http://schemas.openxmlformats.org/officeDocument/2006/relationships/hyperlink" Target="http://twitter.com/MarkHazard2020/statuses/1521053413349462017" TargetMode="External"/><Relationship Id="rId1071" Type="http://schemas.openxmlformats.org/officeDocument/2006/relationships/hyperlink" Target="http://pbs.twimg.com/profile_images/1517047698892992513/X1_98sqc_normal.jpg" TargetMode="External"/><Relationship Id="rId1072" Type="http://schemas.openxmlformats.org/officeDocument/2006/relationships/hyperlink" Target="http://twitter.com/VogonScout/statuses/1521053392449282048" TargetMode="External"/><Relationship Id="rId242" Type="http://schemas.openxmlformats.org/officeDocument/2006/relationships/hyperlink" Target="http://twitter.com/bardofely/statuses/1521067678873665536" TargetMode="External"/><Relationship Id="rId1073" Type="http://schemas.openxmlformats.org/officeDocument/2006/relationships/hyperlink" Target="http://pbs.twimg.com/profile_images/1349781715816902657/C92Uijqd_normal.png" TargetMode="External"/><Relationship Id="rId5431" Type="http://schemas.openxmlformats.org/officeDocument/2006/relationships/hyperlink" Target="http://pbs.twimg.com/profile_images/473461279512739841/dKawrzy2_normal.jpeg" TargetMode="External"/><Relationship Id="rId241" Type="http://schemas.openxmlformats.org/officeDocument/2006/relationships/hyperlink" Target="http://pbs.twimg.com/profile_images/1505255331907125250/oco4SGup_normal.jpg" TargetMode="External"/><Relationship Id="rId1074" Type="http://schemas.openxmlformats.org/officeDocument/2006/relationships/hyperlink" Target="http://twitter.com/barbaraburdon/statuses/1521053376557027329" TargetMode="External"/><Relationship Id="rId5432" Type="http://schemas.openxmlformats.org/officeDocument/2006/relationships/hyperlink" Target="http://twitter.com/CuttingsQueen/statuses/1520893715090481159" TargetMode="External"/><Relationship Id="rId240" Type="http://schemas.openxmlformats.org/officeDocument/2006/relationships/hyperlink" Target="http://twitter.com/NorthDorset4Eur/statuses/1521067690135326721" TargetMode="External"/><Relationship Id="rId1075" Type="http://schemas.openxmlformats.org/officeDocument/2006/relationships/hyperlink" Target="http://pbs.twimg.com/profile_images/1520369743756152832/cheMdT-P_normal.jpg" TargetMode="External"/><Relationship Id="rId4101" Type="http://schemas.openxmlformats.org/officeDocument/2006/relationships/hyperlink" Target="http://pbs.twimg.com/profile_images/1323210264280502273/Oir0lidj_normal.jpg" TargetMode="External"/><Relationship Id="rId1076" Type="http://schemas.openxmlformats.org/officeDocument/2006/relationships/hyperlink" Target="http://twitter.com/CliveGeorgeHil1/statuses/1521053277244248066" TargetMode="External"/><Relationship Id="rId4100" Type="http://schemas.openxmlformats.org/officeDocument/2006/relationships/hyperlink" Target="http://twitter.com/paulclift01/statuses/1520994843312406537" TargetMode="External"/><Relationship Id="rId5430" Type="http://schemas.openxmlformats.org/officeDocument/2006/relationships/hyperlink" Target="http://twitter.com/Truthmeister01/statuses/1520893723395170304" TargetMode="External"/><Relationship Id="rId246" Type="http://schemas.openxmlformats.org/officeDocument/2006/relationships/hyperlink" Target="http://twitter.com/MaryDoo12255144/statuses/1521067613991940096" TargetMode="External"/><Relationship Id="rId1077" Type="http://schemas.openxmlformats.org/officeDocument/2006/relationships/hyperlink" Target="http://pbs.twimg.com/profile_images/1498927782000308225/2zVMLPc__normal.jpg" TargetMode="External"/><Relationship Id="rId4103" Type="http://schemas.openxmlformats.org/officeDocument/2006/relationships/hyperlink" Target="http://pbs.twimg.com/profile_images/1111850214934151178/UKOSObQj_normal.jpg" TargetMode="External"/><Relationship Id="rId5435" Type="http://schemas.openxmlformats.org/officeDocument/2006/relationships/hyperlink" Target="http://pbs.twimg.com/profile_images/870278651924938752/4CMVAiSq_normal.jpg" TargetMode="External"/><Relationship Id="rId245" Type="http://schemas.openxmlformats.org/officeDocument/2006/relationships/hyperlink" Target="http://pbs.twimg.com/profile_images/859337575521275904/zGcvJjEu_normal.jpg" TargetMode="External"/><Relationship Id="rId1078" Type="http://schemas.openxmlformats.org/officeDocument/2006/relationships/hyperlink" Target="http://twitter.com/alpamea79/statuses/1521053199490236420" TargetMode="External"/><Relationship Id="rId4102" Type="http://schemas.openxmlformats.org/officeDocument/2006/relationships/hyperlink" Target="http://twitter.com/Capt_Kremin/statuses/1520994842540752896" TargetMode="External"/><Relationship Id="rId5436" Type="http://schemas.openxmlformats.org/officeDocument/2006/relationships/hyperlink" Target="http://twitter.com/MatthewBaker8/statuses/1520893647599943680" TargetMode="External"/><Relationship Id="rId244" Type="http://schemas.openxmlformats.org/officeDocument/2006/relationships/hyperlink" Target="http://twitter.com/DrJackMiller/statuses/1521067647936344064" TargetMode="External"/><Relationship Id="rId1079" Type="http://schemas.openxmlformats.org/officeDocument/2006/relationships/hyperlink" Target="http://pbs.twimg.com/profile_images/1186424628769689600/cOy1aaE2_normal.jpg" TargetMode="External"/><Relationship Id="rId4105" Type="http://schemas.openxmlformats.org/officeDocument/2006/relationships/hyperlink" Target="http://pbs.twimg.com/profile_images/1008085368518905858/jkZt9ARv_normal.jpg" TargetMode="External"/><Relationship Id="rId5433" Type="http://schemas.openxmlformats.org/officeDocument/2006/relationships/hyperlink" Target="http://abs.twimg.com/sticky/default_profile_images/default_profile_normal.png" TargetMode="External"/><Relationship Id="rId243" Type="http://schemas.openxmlformats.org/officeDocument/2006/relationships/hyperlink" Target="http://pbs.twimg.com/profile_images/1289511811751063552/WaH6kMt-_normal.jpg" TargetMode="External"/><Relationship Id="rId4104" Type="http://schemas.openxmlformats.org/officeDocument/2006/relationships/hyperlink" Target="http://twitter.com/aristotle29/statuses/1520994830016516096" TargetMode="External"/><Relationship Id="rId5434" Type="http://schemas.openxmlformats.org/officeDocument/2006/relationships/hyperlink" Target="http://twitter.com/billsimpson16/statuses/1520893661810241545" TargetMode="External"/><Relationship Id="rId5428" Type="http://schemas.openxmlformats.org/officeDocument/2006/relationships/hyperlink" Target="http://twitter.com/suecor/statuses/1520893861979172864" TargetMode="External"/><Relationship Id="rId5429" Type="http://schemas.openxmlformats.org/officeDocument/2006/relationships/hyperlink" Target="http://pbs.twimg.com/profile_images/1455336436534812682/s0qppesg_normal.jpg" TargetMode="External"/><Relationship Id="rId5426" Type="http://schemas.openxmlformats.org/officeDocument/2006/relationships/hyperlink" Target="http://twitter.com/Johnnyrelevant/statuses/1520894042665635840" TargetMode="External"/><Relationship Id="rId5427" Type="http://schemas.openxmlformats.org/officeDocument/2006/relationships/hyperlink" Target="http://abs.twimg.com/sticky/default_profile_images/default_profile_normal.png" TargetMode="External"/><Relationship Id="rId239" Type="http://schemas.openxmlformats.org/officeDocument/2006/relationships/hyperlink" Target="http://pbs.twimg.com/profile_images/1507322407123656711/E8_HIRbu_normal.jpg" TargetMode="External"/><Relationship Id="rId238" Type="http://schemas.openxmlformats.org/officeDocument/2006/relationships/hyperlink" Target="http://twitter.com/etkwebster/statuses/1521067704509161474" TargetMode="External"/><Relationship Id="rId237" Type="http://schemas.openxmlformats.org/officeDocument/2006/relationships/hyperlink" Target="http://pbs.twimg.com/profile_images/1492792594681716736/1wI-rrCc_normal.jpg" TargetMode="External"/><Relationship Id="rId236" Type="http://schemas.openxmlformats.org/officeDocument/2006/relationships/hyperlink" Target="http://twitter.com/Mags12180076/statuses/1521067716869771264" TargetMode="External"/><Relationship Id="rId2390" Type="http://schemas.openxmlformats.org/officeDocument/2006/relationships/hyperlink" Target="http://twitter.com/HarleyEbe/statuses/1521030850149769217" TargetMode="External"/><Relationship Id="rId1060" Type="http://schemas.openxmlformats.org/officeDocument/2006/relationships/hyperlink" Target="http://twitter.com/DavidRickelton/statuses/1521053507780026368" TargetMode="External"/><Relationship Id="rId2391" Type="http://schemas.openxmlformats.org/officeDocument/2006/relationships/hyperlink" Target="http://pbs.twimg.com/profile_images/1358177501890158595/-UErAJRG_normal.jpg" TargetMode="External"/><Relationship Id="rId1061" Type="http://schemas.openxmlformats.org/officeDocument/2006/relationships/hyperlink" Target="http://pbs.twimg.com/profile_images/2162122381/Ferel_normal.jpg" TargetMode="External"/><Relationship Id="rId2392" Type="http://schemas.openxmlformats.org/officeDocument/2006/relationships/hyperlink" Target="http://twitter.com/Amanda_4d/statuses/1521030688828502016" TargetMode="External"/><Relationship Id="rId231" Type="http://schemas.openxmlformats.org/officeDocument/2006/relationships/hyperlink" Target="http://pbs.twimg.com/profile_images/1497274967846703111/lbbIO1kW_normal.jpg" TargetMode="External"/><Relationship Id="rId1062" Type="http://schemas.openxmlformats.org/officeDocument/2006/relationships/hyperlink" Target="http://twitter.com/BernardWalsh1/statuses/1521053498602926082" TargetMode="External"/><Relationship Id="rId2393" Type="http://schemas.openxmlformats.org/officeDocument/2006/relationships/hyperlink" Target="http://pbs.twimg.com/profile_images/1037424551158792192/2kvxZjKf_normal.jpg" TargetMode="External"/><Relationship Id="rId5420" Type="http://schemas.openxmlformats.org/officeDocument/2006/relationships/hyperlink" Target="http://twitter.com/francis_farrell/statuses/1520894423286046720" TargetMode="External"/><Relationship Id="rId230" Type="http://schemas.openxmlformats.org/officeDocument/2006/relationships/hyperlink" Target="http://twitter.com/CarlMurx/statuses/1521067864777805824" TargetMode="External"/><Relationship Id="rId1063" Type="http://schemas.openxmlformats.org/officeDocument/2006/relationships/hyperlink" Target="http://pbs.twimg.com/profile_images/1419335078866571268/9uy4RhCk_normal.jpg" TargetMode="External"/><Relationship Id="rId2394" Type="http://schemas.openxmlformats.org/officeDocument/2006/relationships/hyperlink" Target="http://twitter.com/NuncTempus/statuses/1521030638631010304" TargetMode="External"/><Relationship Id="rId5421" Type="http://schemas.openxmlformats.org/officeDocument/2006/relationships/hyperlink" Target="http://pbs.twimg.com/profile_images/1281563803302453255/ge3VBPJN_normal.jpg" TargetMode="External"/><Relationship Id="rId1064" Type="http://schemas.openxmlformats.org/officeDocument/2006/relationships/hyperlink" Target="http://twitter.com/Robby5211/statuses/1521053465383952384" TargetMode="External"/><Relationship Id="rId2395" Type="http://schemas.openxmlformats.org/officeDocument/2006/relationships/hyperlink" Target="http://pbs.twimg.com/profile_images/1378752237527269377/3MZf6h4N_normal.jpg" TargetMode="External"/><Relationship Id="rId1065" Type="http://schemas.openxmlformats.org/officeDocument/2006/relationships/hyperlink" Target="http://pbs.twimg.com/profile_images/1750219915/image_normal.jpg" TargetMode="External"/><Relationship Id="rId2396" Type="http://schemas.openxmlformats.org/officeDocument/2006/relationships/hyperlink" Target="http://twitter.com/Wicksylax/statuses/1521030637200814081" TargetMode="External"/><Relationship Id="rId235" Type="http://schemas.openxmlformats.org/officeDocument/2006/relationships/hyperlink" Target="http://pbs.twimg.com/profile_images/378800000455057760/c38a038d1f69543d394cf0989f5ab9ed_normal.jpeg" TargetMode="External"/><Relationship Id="rId1066" Type="http://schemas.openxmlformats.org/officeDocument/2006/relationships/hyperlink" Target="http://twitter.com/RichardCMB/statuses/1521053450343268353" TargetMode="External"/><Relationship Id="rId2397" Type="http://schemas.openxmlformats.org/officeDocument/2006/relationships/hyperlink" Target="http://pbs.twimg.com/profile_images/1322097759525179393/5zBOChKN_normal.jpg" TargetMode="External"/><Relationship Id="rId5424" Type="http://schemas.openxmlformats.org/officeDocument/2006/relationships/hyperlink" Target="http://twitter.com/pchallinor/statuses/1520894322517987328" TargetMode="External"/><Relationship Id="rId234" Type="http://schemas.openxmlformats.org/officeDocument/2006/relationships/hyperlink" Target="http://twitter.com/IndyVoices/statuses/1521067800332488706" TargetMode="External"/><Relationship Id="rId1067" Type="http://schemas.openxmlformats.org/officeDocument/2006/relationships/hyperlink" Target="http://pbs.twimg.com/profile_images/1082210354460090368/vf-Iy6Ec_normal.jpg" TargetMode="External"/><Relationship Id="rId2398" Type="http://schemas.openxmlformats.org/officeDocument/2006/relationships/hyperlink" Target="http://twitter.com/rubyshoes18/statuses/1521030630422855681" TargetMode="External"/><Relationship Id="rId5425" Type="http://schemas.openxmlformats.org/officeDocument/2006/relationships/hyperlink" Target="http://pbs.twimg.com/profile_images/1452826464345378819/TC7qor1K_normal.jpg" TargetMode="External"/><Relationship Id="rId233" Type="http://schemas.openxmlformats.org/officeDocument/2006/relationships/hyperlink" Target="http://pbs.twimg.com/profile_images/879322071242768384/HGBSzEku_normal.jpg" TargetMode="External"/><Relationship Id="rId1068" Type="http://schemas.openxmlformats.org/officeDocument/2006/relationships/hyperlink" Target="http://twitter.com/lovedayjenkin/statuses/1521053430948630528" TargetMode="External"/><Relationship Id="rId2399" Type="http://schemas.openxmlformats.org/officeDocument/2006/relationships/hyperlink" Target="http://pbs.twimg.com/profile_images/1378752237527269377/3MZf6h4N_normal.jpg" TargetMode="External"/><Relationship Id="rId5422" Type="http://schemas.openxmlformats.org/officeDocument/2006/relationships/hyperlink" Target="http://twitter.com/anparry/statuses/1520894366331588609" TargetMode="External"/><Relationship Id="rId232" Type="http://schemas.openxmlformats.org/officeDocument/2006/relationships/hyperlink" Target="http://twitter.com/HoratioAlger15/statuses/1521067800718151680" TargetMode="External"/><Relationship Id="rId1069" Type="http://schemas.openxmlformats.org/officeDocument/2006/relationships/hyperlink" Target="http://pbs.twimg.com/profile_images/1232612324906881025/OOXMi6BH_normal.jpg" TargetMode="External"/><Relationship Id="rId5423" Type="http://schemas.openxmlformats.org/officeDocument/2006/relationships/hyperlink" Target="http://pbs.twimg.com/profile_images/53829328/davros_copy_normal.jpg" TargetMode="External"/><Relationship Id="rId1015" Type="http://schemas.openxmlformats.org/officeDocument/2006/relationships/hyperlink" Target="http://pbs.twimg.com/profile_images/1517427902060666881/Vg4x7cNk_normal.jpg" TargetMode="External"/><Relationship Id="rId2346" Type="http://schemas.openxmlformats.org/officeDocument/2006/relationships/hyperlink" Target="http://twitter.com/RavInDaGarage/statuses/1521031728479019008" TargetMode="External"/><Relationship Id="rId3678" Type="http://schemas.openxmlformats.org/officeDocument/2006/relationships/hyperlink" Target="http://twitter.com/JaneLockwood18/statuses/1521007544084353024" TargetMode="External"/><Relationship Id="rId1016" Type="http://schemas.openxmlformats.org/officeDocument/2006/relationships/hyperlink" Target="http://twitter.com/tobyh45/statuses/1521054527390105604" TargetMode="External"/><Relationship Id="rId2347" Type="http://schemas.openxmlformats.org/officeDocument/2006/relationships/hyperlink" Target="http://pbs.twimg.com/profile_images/1171781617095991297/2XjNea9M_normal.jpg" TargetMode="External"/><Relationship Id="rId3677" Type="http://schemas.openxmlformats.org/officeDocument/2006/relationships/hyperlink" Target="http://pbs.twimg.com/profile_images/1261193950842499073/QlcfazSp_normal.jpg" TargetMode="External"/><Relationship Id="rId1017" Type="http://schemas.openxmlformats.org/officeDocument/2006/relationships/hyperlink" Target="http://pbs.twimg.com/profile_images/492291823595835392/ybdLS24B_normal.png" TargetMode="External"/><Relationship Id="rId2348" Type="http://schemas.openxmlformats.org/officeDocument/2006/relationships/hyperlink" Target="http://twitter.com/tanita_tikaram/statuses/1521031721705218048" TargetMode="External"/><Relationship Id="rId1018" Type="http://schemas.openxmlformats.org/officeDocument/2006/relationships/hyperlink" Target="http://twitter.com/HargMac/statuses/1521054523653070849" TargetMode="External"/><Relationship Id="rId2349" Type="http://schemas.openxmlformats.org/officeDocument/2006/relationships/hyperlink" Target="http://pbs.twimg.com/profile_images/1155448762262839298/-h3DcWMH_normal.jpg" TargetMode="External"/><Relationship Id="rId3679" Type="http://schemas.openxmlformats.org/officeDocument/2006/relationships/hyperlink" Target="http://abs.twimg.com/sticky/default_profile_images/default_profile_normal.png" TargetMode="External"/><Relationship Id="rId1019" Type="http://schemas.openxmlformats.org/officeDocument/2006/relationships/hyperlink" Target="http://pbs.twimg.com/profile_images/1412068975517876225/6L995dKq_normal.jpg" TargetMode="External"/><Relationship Id="rId3670" Type="http://schemas.openxmlformats.org/officeDocument/2006/relationships/hyperlink" Target="http://twitter.com/jplunky/statuses/1521007678239260672" TargetMode="External"/><Relationship Id="rId2340" Type="http://schemas.openxmlformats.org/officeDocument/2006/relationships/hyperlink" Target="http://twitter.com/judith1marshall/statuses/1521031837660897281" TargetMode="External"/><Relationship Id="rId3672" Type="http://schemas.openxmlformats.org/officeDocument/2006/relationships/hyperlink" Target="http://twitter.com/SiouxsieShoo/statuses/1521007674431000576" TargetMode="External"/><Relationship Id="rId1010" Type="http://schemas.openxmlformats.org/officeDocument/2006/relationships/hyperlink" Target="http://twitter.com/davie5456/statuses/1521054785625112576" TargetMode="External"/><Relationship Id="rId2341" Type="http://schemas.openxmlformats.org/officeDocument/2006/relationships/hyperlink" Target="http://pbs.twimg.com/profile_images/1500393998644510721/HVmNI_2A_normal.png" TargetMode="External"/><Relationship Id="rId3671" Type="http://schemas.openxmlformats.org/officeDocument/2006/relationships/hyperlink" Target="http://pbs.twimg.com/profile_images/1278368670851325953/rbuDrrC8_normal.jpg" TargetMode="External"/><Relationship Id="rId1011" Type="http://schemas.openxmlformats.org/officeDocument/2006/relationships/hyperlink" Target="http://pbs.twimg.com/profile_images/2511703547/M1_9331_normal.jpg" TargetMode="External"/><Relationship Id="rId2342" Type="http://schemas.openxmlformats.org/officeDocument/2006/relationships/hyperlink" Target="http://twitter.com/stuindy/statuses/1521031805176098817" TargetMode="External"/><Relationship Id="rId3674" Type="http://schemas.openxmlformats.org/officeDocument/2006/relationships/hyperlink" Target="http://twitter.com/ah_issa/statuses/1521007595531735040" TargetMode="External"/><Relationship Id="rId1012" Type="http://schemas.openxmlformats.org/officeDocument/2006/relationships/hyperlink" Target="http://twitter.com/MickGreenhough/statuses/1521054741891063811" TargetMode="External"/><Relationship Id="rId2343" Type="http://schemas.openxmlformats.org/officeDocument/2006/relationships/hyperlink" Target="http://pbs.twimg.com/profile_images/964805367606759425/oh0vLofX_normal.jpg" TargetMode="External"/><Relationship Id="rId3673" Type="http://schemas.openxmlformats.org/officeDocument/2006/relationships/hyperlink" Target="http://pbs.twimg.com/profile_images/671664881066598400/LvphYpYs_normal.jpg" TargetMode="External"/><Relationship Id="rId1013" Type="http://schemas.openxmlformats.org/officeDocument/2006/relationships/hyperlink" Target="http://pbs.twimg.com/profile_images/1123584153570639873/wUIPbD2j_normal.png" TargetMode="External"/><Relationship Id="rId2344" Type="http://schemas.openxmlformats.org/officeDocument/2006/relationships/hyperlink" Target="http://twitter.com/liberallance/statuses/1521031771613286402" TargetMode="External"/><Relationship Id="rId3676" Type="http://schemas.openxmlformats.org/officeDocument/2006/relationships/hyperlink" Target="http://twitter.com/CornishSkipper/statuses/1521007589915561991" TargetMode="External"/><Relationship Id="rId1014" Type="http://schemas.openxmlformats.org/officeDocument/2006/relationships/hyperlink" Target="http://twitter.com/MWFertileMinds/statuses/1521054617454497792" TargetMode="External"/><Relationship Id="rId2345" Type="http://schemas.openxmlformats.org/officeDocument/2006/relationships/hyperlink" Target="http://pbs.twimg.com/profile_images/1510883917905158146/z51S2KEm_normal.jpg" TargetMode="External"/><Relationship Id="rId3675" Type="http://schemas.openxmlformats.org/officeDocument/2006/relationships/hyperlink" Target="http://pbs.twimg.com/profile_images/1135273605732999169/oRdA_MRr_normal.jpg" TargetMode="External"/><Relationship Id="rId1004" Type="http://schemas.openxmlformats.org/officeDocument/2006/relationships/hyperlink" Target="http://twitter.com/davie5456/statuses/1521054859478409217" TargetMode="External"/><Relationship Id="rId2335" Type="http://schemas.openxmlformats.org/officeDocument/2006/relationships/hyperlink" Target="http://pbs.twimg.com/profile_images/1235485133899264000/0hywwL0T_normal.jpg" TargetMode="External"/><Relationship Id="rId3667" Type="http://schemas.openxmlformats.org/officeDocument/2006/relationships/hyperlink" Target="http://pbs.twimg.com/profile_images/1510634767900979202/p02jakWi_normal.jpg" TargetMode="External"/><Relationship Id="rId4998" Type="http://schemas.openxmlformats.org/officeDocument/2006/relationships/hyperlink" Target="http://twitter.com/Changeling_1/statuses/1520910828622553095" TargetMode="External"/><Relationship Id="rId1005" Type="http://schemas.openxmlformats.org/officeDocument/2006/relationships/hyperlink" Target="http://pbs.twimg.com/profile_images/1259515999528923138/Ks0H70H2_normal.jpg" TargetMode="External"/><Relationship Id="rId2336" Type="http://schemas.openxmlformats.org/officeDocument/2006/relationships/hyperlink" Target="http://twitter.com/nbrooks1984/statuses/1521031932586377216" TargetMode="External"/><Relationship Id="rId3666" Type="http://schemas.openxmlformats.org/officeDocument/2006/relationships/hyperlink" Target="http://twitter.com/gallop_gill/statuses/1521007827074101248" TargetMode="External"/><Relationship Id="rId4997" Type="http://schemas.openxmlformats.org/officeDocument/2006/relationships/hyperlink" Target="http://pbs.twimg.com/profile_images/1468729116182597632/ACb-rZDU_normal.jpg" TargetMode="External"/><Relationship Id="rId1006" Type="http://schemas.openxmlformats.org/officeDocument/2006/relationships/hyperlink" Target="http://twitter.com/rosepoet/statuses/1521054843288313856" TargetMode="External"/><Relationship Id="rId2337" Type="http://schemas.openxmlformats.org/officeDocument/2006/relationships/hyperlink" Target="http://pbs.twimg.com/profile_images/1410132480909320192/JhIhUFIy_normal.jpg" TargetMode="External"/><Relationship Id="rId3669" Type="http://schemas.openxmlformats.org/officeDocument/2006/relationships/hyperlink" Target="http://pbs.twimg.com/profile_images/2589194046/qi2zc63qjsx2ka4d4wgd_normal.jpeg" TargetMode="External"/><Relationship Id="rId1007" Type="http://schemas.openxmlformats.org/officeDocument/2006/relationships/hyperlink" Target="http://pbs.twimg.com/profile_images/1496828090475024385/dYqAyn4L_normal.jpg" TargetMode="External"/><Relationship Id="rId2338" Type="http://schemas.openxmlformats.org/officeDocument/2006/relationships/hyperlink" Target="http://twitter.com/XaviPortales/statuses/1521031922994057217" TargetMode="External"/><Relationship Id="rId3668" Type="http://schemas.openxmlformats.org/officeDocument/2006/relationships/hyperlink" Target="http://twitter.com/JuneMcg05903673/statuses/1521007743884267520" TargetMode="External"/><Relationship Id="rId4999" Type="http://schemas.openxmlformats.org/officeDocument/2006/relationships/hyperlink" Target="http://pbs.twimg.com/profile_images/786626920356126720/YTLzUg0g_normal.jpg" TargetMode="External"/><Relationship Id="rId1008" Type="http://schemas.openxmlformats.org/officeDocument/2006/relationships/hyperlink" Target="http://twitter.com/davie5456/statuses/1521054836044746752" TargetMode="External"/><Relationship Id="rId2339" Type="http://schemas.openxmlformats.org/officeDocument/2006/relationships/hyperlink" Target="http://pbs.twimg.com/profile_images/1479746524041170946/-CzOz2qP_normal.jpg" TargetMode="External"/><Relationship Id="rId1009" Type="http://schemas.openxmlformats.org/officeDocument/2006/relationships/hyperlink" Target="http://pbs.twimg.com/profile_images/1496828090475024385/dYqAyn4L_normal.jpg" TargetMode="External"/><Relationship Id="rId4990" Type="http://schemas.openxmlformats.org/officeDocument/2006/relationships/hyperlink" Target="http://twitter.com/isthisab0t/statuses/1520910956007677952" TargetMode="External"/><Relationship Id="rId3661" Type="http://schemas.openxmlformats.org/officeDocument/2006/relationships/hyperlink" Target="http://pbs.twimg.com/profile_images/1325387338596438016/7FXdC8DZ_normal.jpg" TargetMode="External"/><Relationship Id="rId4992" Type="http://schemas.openxmlformats.org/officeDocument/2006/relationships/hyperlink" Target="http://twitter.com/thedragonaunt/statuses/1520910877108678657" TargetMode="External"/><Relationship Id="rId2330" Type="http://schemas.openxmlformats.org/officeDocument/2006/relationships/hyperlink" Target="http://twitter.com/juliadolan1/statuses/1521031986583941120" TargetMode="External"/><Relationship Id="rId3660" Type="http://schemas.openxmlformats.org/officeDocument/2006/relationships/hyperlink" Target="http://twitter.com/IndyGraceland/statuses/1521008187150938112" TargetMode="External"/><Relationship Id="rId4991" Type="http://schemas.openxmlformats.org/officeDocument/2006/relationships/hyperlink" Target="http://pbs.twimg.com/profile_images/1497336306057326599/l1PemIZK_normal.jpg" TargetMode="External"/><Relationship Id="rId1000" Type="http://schemas.openxmlformats.org/officeDocument/2006/relationships/hyperlink" Target="http://twitter.com/TheFlexibleChef/statuses/1521054877773877248" TargetMode="External"/><Relationship Id="rId2331" Type="http://schemas.openxmlformats.org/officeDocument/2006/relationships/hyperlink" Target="http://pbs.twimg.com/profile_images/378800000314543447/c23c786d42f1c1ab57d673f35d2d0539_normal.png" TargetMode="External"/><Relationship Id="rId3663" Type="http://schemas.openxmlformats.org/officeDocument/2006/relationships/hyperlink" Target="http://pbs.twimg.com/profile_images/1517406754472140800/dFwR9rB5_normal.jpg" TargetMode="External"/><Relationship Id="rId4994" Type="http://schemas.openxmlformats.org/officeDocument/2006/relationships/hyperlink" Target="http://twitter.com/dwinnera/statuses/1520910864626421760" TargetMode="External"/><Relationship Id="rId1001" Type="http://schemas.openxmlformats.org/officeDocument/2006/relationships/hyperlink" Target="http://pbs.twimg.com/profile_images/1496828090475024385/dYqAyn4L_normal.jpg" TargetMode="External"/><Relationship Id="rId2332" Type="http://schemas.openxmlformats.org/officeDocument/2006/relationships/hyperlink" Target="http://twitter.com/2niteNetwork/statuses/1521031984566448130" TargetMode="External"/><Relationship Id="rId3662" Type="http://schemas.openxmlformats.org/officeDocument/2006/relationships/hyperlink" Target="http://twitter.com/Facts4euOrg/statuses/1521008121753346049" TargetMode="External"/><Relationship Id="rId4993" Type="http://schemas.openxmlformats.org/officeDocument/2006/relationships/hyperlink" Target="http://pbs.twimg.com/profile_images/786626920356126720/YTLzUg0g_normal.jpg" TargetMode="External"/><Relationship Id="rId1002" Type="http://schemas.openxmlformats.org/officeDocument/2006/relationships/hyperlink" Target="http://twitter.com/davie5456/statuses/1521054870840791040" TargetMode="External"/><Relationship Id="rId2333" Type="http://schemas.openxmlformats.org/officeDocument/2006/relationships/hyperlink" Target="http://pbs.twimg.com/profile_images/1413997364/richardg2_normal.png" TargetMode="External"/><Relationship Id="rId3665" Type="http://schemas.openxmlformats.org/officeDocument/2006/relationships/hyperlink" Target="http://pbs.twimg.com/profile_images/1505442598823108609/wd7ho0_4_normal.jpg" TargetMode="External"/><Relationship Id="rId4996" Type="http://schemas.openxmlformats.org/officeDocument/2006/relationships/hyperlink" Target="http://twitter.com/dwinnera/statuses/1520910830753230849" TargetMode="External"/><Relationship Id="rId1003" Type="http://schemas.openxmlformats.org/officeDocument/2006/relationships/hyperlink" Target="http://pbs.twimg.com/profile_images/1496828090475024385/dYqAyn4L_normal.jpg" TargetMode="External"/><Relationship Id="rId2334" Type="http://schemas.openxmlformats.org/officeDocument/2006/relationships/hyperlink" Target="http://twitter.com/rickglyn/statuses/1521031971606040580" TargetMode="External"/><Relationship Id="rId3664" Type="http://schemas.openxmlformats.org/officeDocument/2006/relationships/hyperlink" Target="http://twitter.com/JoRichardsKent/statuses/1521008023757537281" TargetMode="External"/><Relationship Id="rId4995" Type="http://schemas.openxmlformats.org/officeDocument/2006/relationships/hyperlink" Target="http://pbs.twimg.com/profile_images/786626920356126720/YTLzUg0g_normal.jpg" TargetMode="External"/><Relationship Id="rId1037" Type="http://schemas.openxmlformats.org/officeDocument/2006/relationships/hyperlink" Target="http://pbs.twimg.com/profile_images/1154046873616801798/F3SoS4cx_normal.jpg" TargetMode="External"/><Relationship Id="rId2368" Type="http://schemas.openxmlformats.org/officeDocument/2006/relationships/hyperlink" Target="http://twitter.com/NuncTempus/statuses/1521031302731993089" TargetMode="External"/><Relationship Id="rId1038" Type="http://schemas.openxmlformats.org/officeDocument/2006/relationships/hyperlink" Target="http://twitter.com/pimlicat/statuses/1521054076326268928" TargetMode="External"/><Relationship Id="rId2369" Type="http://schemas.openxmlformats.org/officeDocument/2006/relationships/hyperlink" Target="http://pbs.twimg.com/profile_images/1508182600246083588/m1GfjxEE_normal.jpg" TargetMode="External"/><Relationship Id="rId3699" Type="http://schemas.openxmlformats.org/officeDocument/2006/relationships/hyperlink" Target="http://pbs.twimg.com/profile_images/947145058096173057/gLefixwO_normal.jpg" TargetMode="External"/><Relationship Id="rId1039" Type="http://schemas.openxmlformats.org/officeDocument/2006/relationships/hyperlink" Target="http://pbs.twimg.com/profile_images/1466733852769103879/3bZ-Q44M_normal.jpg" TargetMode="External"/><Relationship Id="rId206" Type="http://schemas.openxmlformats.org/officeDocument/2006/relationships/hyperlink" Target="http://twitter.com/stardancerMike/statuses/1521068281964212224" TargetMode="External"/><Relationship Id="rId205" Type="http://schemas.openxmlformats.org/officeDocument/2006/relationships/hyperlink" Target="http://pbs.twimg.com/profile_images/378800000050855355/2a2146229d0dd6233db98f5af024e89d_normal.jpeg" TargetMode="External"/><Relationship Id="rId204" Type="http://schemas.openxmlformats.org/officeDocument/2006/relationships/hyperlink" Target="http://twitter.com/j_consilio/statuses/1521068333097013250" TargetMode="External"/><Relationship Id="rId203" Type="http://schemas.openxmlformats.org/officeDocument/2006/relationships/hyperlink" Target="http://pbs.twimg.com/profile_images/1501991017268092934/87aKeNzl_normal.jpg" TargetMode="External"/><Relationship Id="rId209" Type="http://schemas.openxmlformats.org/officeDocument/2006/relationships/hyperlink" Target="http://pbs.twimg.com/profile_images/378800000050855355/2a2146229d0dd6233db98f5af024e89d_normal.jpeg" TargetMode="External"/><Relationship Id="rId208" Type="http://schemas.openxmlformats.org/officeDocument/2006/relationships/hyperlink" Target="http://twitter.com/TigerLover161/statuses/1521068209243312128" TargetMode="External"/><Relationship Id="rId3690" Type="http://schemas.openxmlformats.org/officeDocument/2006/relationships/hyperlink" Target="http://twitter.com/themarkloan/statuses/1521007063224172545" TargetMode="External"/><Relationship Id="rId207" Type="http://schemas.openxmlformats.org/officeDocument/2006/relationships/hyperlink" Target="http://pbs.twimg.com/profile_images/965886965022363648/lz377UDh_normal.jpg" TargetMode="External"/><Relationship Id="rId2360" Type="http://schemas.openxmlformats.org/officeDocument/2006/relationships/hyperlink" Target="http://twitter.com/Markll_revive/statuses/1521031368104419330" TargetMode="External"/><Relationship Id="rId3692" Type="http://schemas.openxmlformats.org/officeDocument/2006/relationships/hyperlink" Target="http://twitter.com/FrankSt34499711/statuses/1521007058115604483" TargetMode="External"/><Relationship Id="rId1030" Type="http://schemas.openxmlformats.org/officeDocument/2006/relationships/hyperlink" Target="http://twitter.com/llamasteve/statuses/1521054219620556800" TargetMode="External"/><Relationship Id="rId2361" Type="http://schemas.openxmlformats.org/officeDocument/2006/relationships/hyperlink" Target="http://pbs.twimg.com/profile_images/579230882868830208/x3Z_T97l_normal.jpg" TargetMode="External"/><Relationship Id="rId3691" Type="http://schemas.openxmlformats.org/officeDocument/2006/relationships/hyperlink" Target="http://pbs.twimg.com/profile_images/1383421373029093380/HCuxFV5h_normal.jpg" TargetMode="External"/><Relationship Id="rId1031" Type="http://schemas.openxmlformats.org/officeDocument/2006/relationships/hyperlink" Target="http://pbs.twimg.com/profile_images/1117048718778339328/wFF8RVsu_normal.png" TargetMode="External"/><Relationship Id="rId2362" Type="http://schemas.openxmlformats.org/officeDocument/2006/relationships/hyperlink" Target="http://twitter.com/AndyLippok/statuses/1521031356913963008" TargetMode="External"/><Relationship Id="rId3694" Type="http://schemas.openxmlformats.org/officeDocument/2006/relationships/hyperlink" Target="http://twitter.com/WilliamMcGowa15/statuses/1521007026410823681" TargetMode="External"/><Relationship Id="rId1032" Type="http://schemas.openxmlformats.org/officeDocument/2006/relationships/hyperlink" Target="http://twitter.com/ldrscke/statuses/1521054219196850187" TargetMode="External"/><Relationship Id="rId2363" Type="http://schemas.openxmlformats.org/officeDocument/2006/relationships/hyperlink" Target="http://pbs.twimg.com/profile_images/1437833029557366788/xKnWFFWn_normal.jpg" TargetMode="External"/><Relationship Id="rId3693" Type="http://schemas.openxmlformats.org/officeDocument/2006/relationships/hyperlink" Target="http://pbs.twimg.com/profile_images/892441715872866304/2JM6P2F__normal.jpg" TargetMode="External"/><Relationship Id="rId202" Type="http://schemas.openxmlformats.org/officeDocument/2006/relationships/hyperlink" Target="http://twitter.com/stardancerMike/statuses/1521068335689048064" TargetMode="External"/><Relationship Id="rId1033" Type="http://schemas.openxmlformats.org/officeDocument/2006/relationships/hyperlink" Target="http://abs.twimg.com/sticky/default_profile_images/default_profile_normal.png" TargetMode="External"/><Relationship Id="rId2364" Type="http://schemas.openxmlformats.org/officeDocument/2006/relationships/hyperlink" Target="http://twitter.com/tottaylor1/statuses/1521031325377081345" TargetMode="External"/><Relationship Id="rId3696" Type="http://schemas.openxmlformats.org/officeDocument/2006/relationships/hyperlink" Target="http://twitter.com/B123Bradley/statuses/1521006987655499779" TargetMode="External"/><Relationship Id="rId201" Type="http://schemas.openxmlformats.org/officeDocument/2006/relationships/hyperlink" Target="http://pbs.twimg.com/profile_images/378800000050855355/2a2146229d0dd6233db98f5af024e89d_normal.jpeg" TargetMode="External"/><Relationship Id="rId1034" Type="http://schemas.openxmlformats.org/officeDocument/2006/relationships/hyperlink" Target="http://twitter.com/GlendaB46825298/statuses/1521054169133690881" TargetMode="External"/><Relationship Id="rId2365" Type="http://schemas.openxmlformats.org/officeDocument/2006/relationships/hyperlink" Target="http://pbs.twimg.com/profile_images/1209514493560139776/2aX0Hj-F_normal.jpg" TargetMode="External"/><Relationship Id="rId3695" Type="http://schemas.openxmlformats.org/officeDocument/2006/relationships/hyperlink" Target="http://pbs.twimg.com/profile_images/1393169761622765569/IVWhY7YE_normal.jpg" TargetMode="External"/><Relationship Id="rId200" Type="http://schemas.openxmlformats.org/officeDocument/2006/relationships/hyperlink" Target="http://twitter.com/milmolaman/statuses/1521068338730139649" TargetMode="External"/><Relationship Id="rId1035" Type="http://schemas.openxmlformats.org/officeDocument/2006/relationships/hyperlink" Target="http://pbs.twimg.com/profile_images/1185516960760631297/u_M8BVBm_normal.jpg" TargetMode="External"/><Relationship Id="rId2366" Type="http://schemas.openxmlformats.org/officeDocument/2006/relationships/hyperlink" Target="http://twitter.com/NicCWells/statuses/1521031322898247680" TargetMode="External"/><Relationship Id="rId3698" Type="http://schemas.openxmlformats.org/officeDocument/2006/relationships/hyperlink" Target="http://twitter.com/RayStallwood/statuses/1521006961977868288" TargetMode="External"/><Relationship Id="rId1036" Type="http://schemas.openxmlformats.org/officeDocument/2006/relationships/hyperlink" Target="http://twitter.com/TheFluffyViking/statuses/1521054152574619650" TargetMode="External"/><Relationship Id="rId2367" Type="http://schemas.openxmlformats.org/officeDocument/2006/relationships/hyperlink" Target="http://pbs.twimg.com/profile_images/1037424551158792192/2kvxZjKf_normal.jpg" TargetMode="External"/><Relationship Id="rId3697" Type="http://schemas.openxmlformats.org/officeDocument/2006/relationships/hyperlink" Target="http://pbs.twimg.com/profile_images/1464315441736818694/KarJiYqg_normal.jpg" TargetMode="External"/><Relationship Id="rId1026" Type="http://schemas.openxmlformats.org/officeDocument/2006/relationships/hyperlink" Target="http://twitter.com/EnglishPablo/statuses/1521054306862084096" TargetMode="External"/><Relationship Id="rId2357" Type="http://schemas.openxmlformats.org/officeDocument/2006/relationships/hyperlink" Target="http://pbs.twimg.com/profile_images/1478296974705184773/seTAb9av_normal.jpg" TargetMode="External"/><Relationship Id="rId3689" Type="http://schemas.openxmlformats.org/officeDocument/2006/relationships/hyperlink" Target="http://pbs.twimg.com/profile_images/378800000661847482/d27d6ea3d6cca3735db4d1d2090247d9_normal.jpeg" TargetMode="External"/><Relationship Id="rId1027" Type="http://schemas.openxmlformats.org/officeDocument/2006/relationships/hyperlink" Target="http://pbs.twimg.com/profile_images/623129098659823617/e44DcDFw_normal.jpg" TargetMode="External"/><Relationship Id="rId2358" Type="http://schemas.openxmlformats.org/officeDocument/2006/relationships/hyperlink" Target="http://twitter.com/farfield79/statuses/1521031401738489856" TargetMode="External"/><Relationship Id="rId3688" Type="http://schemas.openxmlformats.org/officeDocument/2006/relationships/hyperlink" Target="http://twitter.com/PaulWhelan745/statuses/1521007096354988034" TargetMode="External"/><Relationship Id="rId1028" Type="http://schemas.openxmlformats.org/officeDocument/2006/relationships/hyperlink" Target="http://twitter.com/alextonemusic/statuses/1521054280173735936" TargetMode="External"/><Relationship Id="rId2359" Type="http://schemas.openxmlformats.org/officeDocument/2006/relationships/hyperlink" Target="http://pbs.twimg.com/profile_images/1400135276689768451/DHelawOY_normal.jpg" TargetMode="External"/><Relationship Id="rId1029" Type="http://schemas.openxmlformats.org/officeDocument/2006/relationships/hyperlink" Target="http://pbs.twimg.com/profile_images/1497897812809367561/qXy_6l1s_normal.png" TargetMode="External"/><Relationship Id="rId3681" Type="http://schemas.openxmlformats.org/officeDocument/2006/relationships/hyperlink" Target="http://pbs.twimg.com/profile_images/1504826660717215758/0bCh4IxE_normal.jpg" TargetMode="External"/><Relationship Id="rId2350" Type="http://schemas.openxmlformats.org/officeDocument/2006/relationships/hyperlink" Target="http://twitter.com/BlondePrefers/statuses/1521031671776219137" TargetMode="External"/><Relationship Id="rId3680" Type="http://schemas.openxmlformats.org/officeDocument/2006/relationships/hyperlink" Target="http://twitter.com/LakeHonor/statuses/1521007414027370497" TargetMode="External"/><Relationship Id="rId1020" Type="http://schemas.openxmlformats.org/officeDocument/2006/relationships/hyperlink" Target="http://twitter.com/LondonEconomic/statuses/1521054475611475968" TargetMode="External"/><Relationship Id="rId2351" Type="http://schemas.openxmlformats.org/officeDocument/2006/relationships/hyperlink" Target="http://pbs.twimg.com/profile_images/1345704651103080448/scEI6SXR_normal.jpg" TargetMode="External"/><Relationship Id="rId3683" Type="http://schemas.openxmlformats.org/officeDocument/2006/relationships/hyperlink" Target="http://abs.twimg.com/sticky/default_profile_images/default_profile_normal.png" TargetMode="External"/><Relationship Id="rId1021" Type="http://schemas.openxmlformats.org/officeDocument/2006/relationships/hyperlink" Target="http://pbs.twimg.com/profile_images/1406502323682168832/ReviPEU__normal.jpg" TargetMode="External"/><Relationship Id="rId2352" Type="http://schemas.openxmlformats.org/officeDocument/2006/relationships/hyperlink" Target="http://twitter.com/CurlyChronic/statuses/1521031622111469568" TargetMode="External"/><Relationship Id="rId3682" Type="http://schemas.openxmlformats.org/officeDocument/2006/relationships/hyperlink" Target="http://twitter.com/Scout342/statuses/1521007263296761856" TargetMode="External"/><Relationship Id="rId1022" Type="http://schemas.openxmlformats.org/officeDocument/2006/relationships/hyperlink" Target="http://twitter.com/CareyDP1/statuses/1521054414005587969" TargetMode="External"/><Relationship Id="rId2353" Type="http://schemas.openxmlformats.org/officeDocument/2006/relationships/hyperlink" Target="http://pbs.twimg.com/profile_images/1114490162162098176/TgvnA8GP_normal.jpg" TargetMode="External"/><Relationship Id="rId3685" Type="http://schemas.openxmlformats.org/officeDocument/2006/relationships/hyperlink" Target="http://pbs.twimg.com/profile_images/1509366645298368519/8lZnJnNC_normal.jpg" TargetMode="External"/><Relationship Id="rId1023" Type="http://schemas.openxmlformats.org/officeDocument/2006/relationships/hyperlink" Target="http://pbs.twimg.com/profile_images/876853391422566401/XUVw3i99_normal.jpg" TargetMode="External"/><Relationship Id="rId2354" Type="http://schemas.openxmlformats.org/officeDocument/2006/relationships/hyperlink" Target="http://twitter.com/sarahhw65/statuses/1521031526313512962" TargetMode="External"/><Relationship Id="rId3684" Type="http://schemas.openxmlformats.org/officeDocument/2006/relationships/hyperlink" Target="http://twitter.com/vhaeraun456/statuses/1521007120673607680" TargetMode="External"/><Relationship Id="rId1024" Type="http://schemas.openxmlformats.org/officeDocument/2006/relationships/hyperlink" Target="http://twitter.com/Red_Quadrant/statuses/1521054409983246338" TargetMode="External"/><Relationship Id="rId2355" Type="http://schemas.openxmlformats.org/officeDocument/2006/relationships/hyperlink" Target="http://pbs.twimg.com/profile_images/1155099521975803904/_xd-4Lre_normal.jpg" TargetMode="External"/><Relationship Id="rId3687" Type="http://schemas.openxmlformats.org/officeDocument/2006/relationships/hyperlink" Target="http://pbs.twimg.com/profile_images/688997128270663681/3AV2-uFl_normal.jpg" TargetMode="External"/><Relationship Id="rId1025" Type="http://schemas.openxmlformats.org/officeDocument/2006/relationships/hyperlink" Target="http://pbs.twimg.com/profile_images/747812118267834368/1iUQI3Xv_normal.jpg" TargetMode="External"/><Relationship Id="rId2356" Type="http://schemas.openxmlformats.org/officeDocument/2006/relationships/hyperlink" Target="http://twitter.com/BtaD42255016/statuses/1521031510572380161" TargetMode="External"/><Relationship Id="rId3686" Type="http://schemas.openxmlformats.org/officeDocument/2006/relationships/hyperlink" Target="http://twitter.com/M_Tibbles/statuses/1521007107037835264" TargetMode="External"/><Relationship Id="rId5490" Type="http://schemas.openxmlformats.org/officeDocument/2006/relationships/hyperlink" Target="http://twitter.com/RichardBentall/statuses/1520892129551208448" TargetMode="External"/><Relationship Id="rId4161" Type="http://schemas.openxmlformats.org/officeDocument/2006/relationships/hyperlink" Target="http://pbs.twimg.com/profile_images/984438655434547200/kYMt8zZX_normal.jpg" TargetMode="External"/><Relationship Id="rId5493" Type="http://schemas.openxmlformats.org/officeDocument/2006/relationships/hyperlink" Target="http://pbs.twimg.com/profile_images/1372551209295446019/1VLlehOi_normal.jpg" TargetMode="External"/><Relationship Id="rId4160" Type="http://schemas.openxmlformats.org/officeDocument/2006/relationships/hyperlink" Target="http://twitter.com/IslingtonPierre/statuses/1520992184224436226" TargetMode="External"/><Relationship Id="rId5494" Type="http://schemas.openxmlformats.org/officeDocument/2006/relationships/hyperlink" Target="http://twitter.com/mikew4EU/statuses/1520892090682691585" TargetMode="External"/><Relationship Id="rId4163" Type="http://schemas.openxmlformats.org/officeDocument/2006/relationships/hyperlink" Target="http://abs.twimg.com/sticky/default_profile_images/default_profile_normal.png" TargetMode="External"/><Relationship Id="rId5491" Type="http://schemas.openxmlformats.org/officeDocument/2006/relationships/hyperlink" Target="http://pbs.twimg.com/profile_images/1430920244684546055/QE8j2D9h_normal.jpg" TargetMode="External"/><Relationship Id="rId4162" Type="http://schemas.openxmlformats.org/officeDocument/2006/relationships/hyperlink" Target="http://twitter.com/judd_author/statuses/1520992133737553921" TargetMode="External"/><Relationship Id="rId5492" Type="http://schemas.openxmlformats.org/officeDocument/2006/relationships/hyperlink" Target="http://twitter.com/fascinatorfun/statuses/1520892126082609157" TargetMode="External"/><Relationship Id="rId4165" Type="http://schemas.openxmlformats.org/officeDocument/2006/relationships/hyperlink" Target="http://pbs.twimg.com/profile_images/1519249064109428740/hiQh5aFs_normal.jpg" TargetMode="External"/><Relationship Id="rId5497" Type="http://schemas.openxmlformats.org/officeDocument/2006/relationships/hyperlink" Target="http://pbs.twimg.com/profile_images/1519211588565278722/Es5iwR_0_normal.jpg" TargetMode="External"/><Relationship Id="rId4164" Type="http://schemas.openxmlformats.org/officeDocument/2006/relationships/hyperlink" Target="http://twitter.com/BirderNormandie/statuses/1520991990246264832" TargetMode="External"/><Relationship Id="rId5498" Type="http://schemas.openxmlformats.org/officeDocument/2006/relationships/hyperlink" Target="http://twitter.com/KommissarV/statuses/1520892047699419137" TargetMode="External"/><Relationship Id="rId4167" Type="http://schemas.openxmlformats.org/officeDocument/2006/relationships/hyperlink" Target="http://pbs.twimg.com/profile_images/1514561540623634444/IbxpGwG3_normal.jpg" TargetMode="External"/><Relationship Id="rId5495" Type="http://schemas.openxmlformats.org/officeDocument/2006/relationships/hyperlink" Target="http://pbs.twimg.com/profile_images/1430920244684546055/QE8j2D9h_normal.jpg" TargetMode="External"/><Relationship Id="rId4166" Type="http://schemas.openxmlformats.org/officeDocument/2006/relationships/hyperlink" Target="http://twitter.com/gawbul/statuses/1520991871287406592" TargetMode="External"/><Relationship Id="rId5496" Type="http://schemas.openxmlformats.org/officeDocument/2006/relationships/hyperlink" Target="http://twitter.com/fascinatorfun/statuses/1520892067710439426" TargetMode="External"/><Relationship Id="rId4169" Type="http://schemas.openxmlformats.org/officeDocument/2006/relationships/hyperlink" Target="http://pbs.twimg.com/profile_images/1506536956204929024/XUdwkTSC_normal.jpg" TargetMode="External"/><Relationship Id="rId4168" Type="http://schemas.openxmlformats.org/officeDocument/2006/relationships/hyperlink" Target="http://twitter.com/CollieColleen/statuses/1520991644727844864" TargetMode="External"/><Relationship Id="rId5499" Type="http://schemas.openxmlformats.org/officeDocument/2006/relationships/hyperlink" Target="http://pbs.twimg.com/profile_images/1387175984693141508/qH9b-YYG_normal.jpg" TargetMode="External"/><Relationship Id="rId4150" Type="http://schemas.openxmlformats.org/officeDocument/2006/relationships/hyperlink" Target="http://twitter.com/Fitness4London/statuses/1520992395105611776" TargetMode="External"/><Relationship Id="rId5482" Type="http://schemas.openxmlformats.org/officeDocument/2006/relationships/hyperlink" Target="http://twitter.com/PhilMorandi/statuses/1520892257456513025" TargetMode="External"/><Relationship Id="rId5483" Type="http://schemas.openxmlformats.org/officeDocument/2006/relationships/hyperlink" Target="http://pbs.twimg.com/profile_images/1497133750085468166/Hu-zR1Po_normal.jpg" TargetMode="External"/><Relationship Id="rId4152" Type="http://schemas.openxmlformats.org/officeDocument/2006/relationships/hyperlink" Target="http://twitter.com/sarahflyme/statuses/1520992357524647936" TargetMode="External"/><Relationship Id="rId5480" Type="http://schemas.openxmlformats.org/officeDocument/2006/relationships/hyperlink" Target="http://twitter.com/PhilMorandi/statuses/1520892272363159553" TargetMode="External"/><Relationship Id="rId4151" Type="http://schemas.openxmlformats.org/officeDocument/2006/relationships/hyperlink" Target="http://pbs.twimg.com/profile_images/1360578411555659778/OR7u2RXd_normal.jpg" TargetMode="External"/><Relationship Id="rId5481" Type="http://schemas.openxmlformats.org/officeDocument/2006/relationships/hyperlink" Target="http://pbs.twimg.com/profile_images/1501162550897090561/cJmTmBZs_normal.jpg" TargetMode="External"/><Relationship Id="rId4154" Type="http://schemas.openxmlformats.org/officeDocument/2006/relationships/hyperlink" Target="http://twitter.com/rec777777/statuses/1520992355159093250" TargetMode="External"/><Relationship Id="rId5486" Type="http://schemas.openxmlformats.org/officeDocument/2006/relationships/hyperlink" Target="http://twitter.com/BernardMcEldown/statuses/1520892224074047488" TargetMode="External"/><Relationship Id="rId4153" Type="http://schemas.openxmlformats.org/officeDocument/2006/relationships/hyperlink" Target="http://pbs.twimg.com/profile_images/1505190376335974400/EuUA2O_1_normal.jpg" TargetMode="External"/><Relationship Id="rId5487" Type="http://schemas.openxmlformats.org/officeDocument/2006/relationships/hyperlink" Target="http://pbs.twimg.com/profile_images/1421815020107747328/NjN2kEts_normal.jpg" TargetMode="External"/><Relationship Id="rId4156" Type="http://schemas.openxmlformats.org/officeDocument/2006/relationships/hyperlink" Target="http://twitter.com/TerryBush14/statuses/1520992323143933952" TargetMode="External"/><Relationship Id="rId5484" Type="http://schemas.openxmlformats.org/officeDocument/2006/relationships/hyperlink" Target="http://twitter.com/kieranhegarty12/statuses/1520892238615793664" TargetMode="External"/><Relationship Id="rId4155" Type="http://schemas.openxmlformats.org/officeDocument/2006/relationships/hyperlink" Target="http://pbs.twimg.com/profile_images/3690164733/9f4fc3c4c1b12a50d67220914fcea0c7_normal.jpeg" TargetMode="External"/><Relationship Id="rId5485" Type="http://schemas.openxmlformats.org/officeDocument/2006/relationships/hyperlink" Target="http://pbs.twimg.com/profile_images/1441222866264076290/9vscQIak_normal.jpg" TargetMode="External"/><Relationship Id="rId4158" Type="http://schemas.openxmlformats.org/officeDocument/2006/relationships/hyperlink" Target="http://twitter.com/jungofunk/statuses/1520992226117144576" TargetMode="External"/><Relationship Id="rId4157" Type="http://schemas.openxmlformats.org/officeDocument/2006/relationships/hyperlink" Target="http://pbs.twimg.com/profile_images/1482063558850629633/wgXlqWRd_normal.jpg" TargetMode="External"/><Relationship Id="rId5488" Type="http://schemas.openxmlformats.org/officeDocument/2006/relationships/hyperlink" Target="http://twitter.com/Keith99352796/statuses/1520892166276788224" TargetMode="External"/><Relationship Id="rId4159" Type="http://schemas.openxmlformats.org/officeDocument/2006/relationships/hyperlink" Target="http://pbs.twimg.com/profile_images/1219197788141096960/5XvpTWvD_normal.jpg" TargetMode="External"/><Relationship Id="rId5489" Type="http://schemas.openxmlformats.org/officeDocument/2006/relationships/hyperlink" Target="http://pbs.twimg.com/profile_images/1497692711977209859/Gb9y-KGx_normal.jpg" TargetMode="External"/><Relationship Id="rId1910" Type="http://schemas.openxmlformats.org/officeDocument/2006/relationships/hyperlink" Target="http://twitter.com/AbbieOBrien1/statuses/1521038308599648256" TargetMode="External"/><Relationship Id="rId1911" Type="http://schemas.openxmlformats.org/officeDocument/2006/relationships/hyperlink" Target="http://pbs.twimg.com/profile_images/979093507393642496/PzBDSMQA_normal.jpg" TargetMode="External"/><Relationship Id="rId1912" Type="http://schemas.openxmlformats.org/officeDocument/2006/relationships/hyperlink" Target="http://twitter.com/GeorgeBaynard/statuses/1521038304430505984" TargetMode="External"/><Relationship Id="rId1913" Type="http://schemas.openxmlformats.org/officeDocument/2006/relationships/hyperlink" Target="http://pbs.twimg.com/profile_images/688997128270663681/3AV2-uFl_normal.jpg" TargetMode="External"/><Relationship Id="rId1914" Type="http://schemas.openxmlformats.org/officeDocument/2006/relationships/hyperlink" Target="http://twitter.com/PaulWhelan745/statuses/1521038292963241984" TargetMode="External"/><Relationship Id="rId1915" Type="http://schemas.openxmlformats.org/officeDocument/2006/relationships/hyperlink" Target="http://pbs.twimg.com/profile_images/1497465102769000452/ERdNryye_normal.jpg" TargetMode="External"/><Relationship Id="rId1916" Type="http://schemas.openxmlformats.org/officeDocument/2006/relationships/hyperlink" Target="http://twitter.com/OliveEaton16/statuses/1521038267411537920" TargetMode="External"/><Relationship Id="rId1917" Type="http://schemas.openxmlformats.org/officeDocument/2006/relationships/hyperlink" Target="http://pbs.twimg.com/profile_images/979093507393642496/PzBDSMQA_normal.jpg" TargetMode="External"/><Relationship Id="rId1918" Type="http://schemas.openxmlformats.org/officeDocument/2006/relationships/hyperlink" Target="http://twitter.com/GeorgeBaynard/statuses/1521038260457422849" TargetMode="External"/><Relationship Id="rId1919" Type="http://schemas.openxmlformats.org/officeDocument/2006/relationships/hyperlink" Target="http://pbs.twimg.com/profile_images/1252542220022034432/TFVau4HI_normal.jpg" TargetMode="External"/><Relationship Id="rId4181" Type="http://schemas.openxmlformats.org/officeDocument/2006/relationships/hyperlink" Target="http://pbs.twimg.com/profile_images/1513460791143452676/ROkSrBqG_normal.jpg" TargetMode="External"/><Relationship Id="rId4180" Type="http://schemas.openxmlformats.org/officeDocument/2006/relationships/hyperlink" Target="http://twitter.com/mtbrown54/statuses/1520991049430220800" TargetMode="External"/><Relationship Id="rId4183" Type="http://schemas.openxmlformats.org/officeDocument/2006/relationships/hyperlink" Target="http://pbs.twimg.com/profile_images/1496962926833451011/oelwkZUm_normal.jpg" TargetMode="External"/><Relationship Id="rId4182" Type="http://schemas.openxmlformats.org/officeDocument/2006/relationships/hyperlink" Target="http://twitter.com/mac35red/statuses/1520990995273375744" TargetMode="External"/><Relationship Id="rId4185" Type="http://schemas.openxmlformats.org/officeDocument/2006/relationships/hyperlink" Target="http://pbs.twimg.com/profile_images/1321378446564642816/lySKzK4K_normal.jpg" TargetMode="External"/><Relationship Id="rId4184" Type="http://schemas.openxmlformats.org/officeDocument/2006/relationships/hyperlink" Target="http://twitter.com/iii_turk/statuses/1520990955347890177" TargetMode="External"/><Relationship Id="rId4187" Type="http://schemas.openxmlformats.org/officeDocument/2006/relationships/hyperlink" Target="http://pbs.twimg.com/profile_images/1496962926833451011/oelwkZUm_normal.jpg" TargetMode="External"/><Relationship Id="rId4186" Type="http://schemas.openxmlformats.org/officeDocument/2006/relationships/hyperlink" Target="http://twitter.com/phillmoog/statuses/1520990920627437569" TargetMode="External"/><Relationship Id="rId4189" Type="http://schemas.openxmlformats.org/officeDocument/2006/relationships/hyperlink" Target="http://pbs.twimg.com/profile_images/1378764298143551494/C-4VeXDz_normal.jpg" TargetMode="External"/><Relationship Id="rId4188" Type="http://schemas.openxmlformats.org/officeDocument/2006/relationships/hyperlink" Target="http://twitter.com/iii_turk/statuses/1520990794445897729" TargetMode="External"/><Relationship Id="rId1900" Type="http://schemas.openxmlformats.org/officeDocument/2006/relationships/hyperlink" Target="http://twitter.com/Greyman49/statuses/1521038504981155840" TargetMode="External"/><Relationship Id="rId1901" Type="http://schemas.openxmlformats.org/officeDocument/2006/relationships/hyperlink" Target="http://abs.twimg.com/sticky/default_profile_images/default_profile_normal.png" TargetMode="External"/><Relationship Id="rId1902" Type="http://schemas.openxmlformats.org/officeDocument/2006/relationships/hyperlink" Target="http://twitter.com/jezobrien/statuses/1521038488837185537" TargetMode="External"/><Relationship Id="rId1903" Type="http://schemas.openxmlformats.org/officeDocument/2006/relationships/hyperlink" Target="http://abs.twimg.com/sticky/default_profile_images/default_profile_normal.png" TargetMode="External"/><Relationship Id="rId1904" Type="http://schemas.openxmlformats.org/officeDocument/2006/relationships/hyperlink" Target="http://twitter.com/whitepippin/statuses/1521038485913800705" TargetMode="External"/><Relationship Id="rId1905" Type="http://schemas.openxmlformats.org/officeDocument/2006/relationships/hyperlink" Target="http://abs.twimg.com/sticky/default_profile_images/default_profile_normal.png" TargetMode="External"/><Relationship Id="rId1906" Type="http://schemas.openxmlformats.org/officeDocument/2006/relationships/hyperlink" Target="http://twitter.com/Walshy2521/statuses/1521038424630775809" TargetMode="External"/><Relationship Id="rId1907" Type="http://schemas.openxmlformats.org/officeDocument/2006/relationships/hyperlink" Target="http://pbs.twimg.com/profile_images/752471579976695808/GbHuAvLY_normal.jpg" TargetMode="External"/><Relationship Id="rId1908" Type="http://schemas.openxmlformats.org/officeDocument/2006/relationships/hyperlink" Target="http://twitter.com/KevinAtp/statuses/1521038373179244544" TargetMode="External"/><Relationship Id="rId1909" Type="http://schemas.openxmlformats.org/officeDocument/2006/relationships/hyperlink" Target="http://pbs.twimg.com/profile_images/1252542220022034432/TFVau4HI_normal.jpg" TargetMode="External"/><Relationship Id="rId4170" Type="http://schemas.openxmlformats.org/officeDocument/2006/relationships/hyperlink" Target="http://twitter.com/BillM2207/statuses/1520991507108536320" TargetMode="External"/><Relationship Id="rId4172" Type="http://schemas.openxmlformats.org/officeDocument/2006/relationships/hyperlink" Target="http://twitter.com/Joey_brexit_dog/statuses/1520991475709976576" TargetMode="External"/><Relationship Id="rId4171" Type="http://schemas.openxmlformats.org/officeDocument/2006/relationships/hyperlink" Target="http://pbs.twimg.com/profile_images/1512474454747668483/u5sYcK_A_normal.jpg" TargetMode="External"/><Relationship Id="rId4174" Type="http://schemas.openxmlformats.org/officeDocument/2006/relationships/hyperlink" Target="http://twitter.com/markcsimmo/statuses/1520991426083012608" TargetMode="External"/><Relationship Id="rId4173" Type="http://schemas.openxmlformats.org/officeDocument/2006/relationships/hyperlink" Target="http://abs.twimg.com/sticky/default_profile_images/default_profile_normal.png" TargetMode="External"/><Relationship Id="rId4176" Type="http://schemas.openxmlformats.org/officeDocument/2006/relationships/hyperlink" Target="http://twitter.com/pennylloydwatts/statuses/1520991382244143105" TargetMode="External"/><Relationship Id="rId4175" Type="http://schemas.openxmlformats.org/officeDocument/2006/relationships/hyperlink" Target="http://pbs.twimg.com/profile_images/1308819648390070275/fHOYna0V_normal.jpg" TargetMode="External"/><Relationship Id="rId4178" Type="http://schemas.openxmlformats.org/officeDocument/2006/relationships/hyperlink" Target="http://twitter.com/TerryBush14/statuses/1520991307073736706" TargetMode="External"/><Relationship Id="rId4177" Type="http://schemas.openxmlformats.org/officeDocument/2006/relationships/hyperlink" Target="http://pbs.twimg.com/profile_images/3690164733/9f4fc3c4c1b12a50d67220914fcea0c7_normal.jpeg" TargetMode="External"/><Relationship Id="rId4179" Type="http://schemas.openxmlformats.org/officeDocument/2006/relationships/hyperlink" Target="http://pbs.twimg.com/profile_images/529053391205695488/lbmcFyI6_normal.jpeg" TargetMode="External"/><Relationship Id="rId4129" Type="http://schemas.openxmlformats.org/officeDocument/2006/relationships/hyperlink" Target="http://pbs.twimg.com/profile_images/1431532584253726721/BSIHHMAE_normal.jpg" TargetMode="External"/><Relationship Id="rId4128" Type="http://schemas.openxmlformats.org/officeDocument/2006/relationships/hyperlink" Target="http://twitter.com/LindaPe65733897/statuses/1520993543833202696" TargetMode="External"/><Relationship Id="rId5459" Type="http://schemas.openxmlformats.org/officeDocument/2006/relationships/hyperlink" Target="http://pbs.twimg.com/profile_images/1505597928060211205/1_CfPlSf_normal.jpg" TargetMode="External"/><Relationship Id="rId1090" Type="http://schemas.openxmlformats.org/officeDocument/2006/relationships/hyperlink" Target="http://twitter.com/lheiden1610/statuses/1521053068200136705" TargetMode="External"/><Relationship Id="rId1091" Type="http://schemas.openxmlformats.org/officeDocument/2006/relationships/hyperlink" Target="http://pbs.twimg.com/profile_images/1206201792163467266/AUde6d6M_normal.jpg" TargetMode="External"/><Relationship Id="rId1092" Type="http://schemas.openxmlformats.org/officeDocument/2006/relationships/hyperlink" Target="http://twitter.com/crozier_damian/statuses/1521053040433934338" TargetMode="External"/><Relationship Id="rId5450" Type="http://schemas.openxmlformats.org/officeDocument/2006/relationships/hyperlink" Target="http://twitter.com/linda36736762/statuses/1520893115149819910" TargetMode="External"/><Relationship Id="rId1093" Type="http://schemas.openxmlformats.org/officeDocument/2006/relationships/hyperlink" Target="http://pbs.twimg.com/profile_images/1352292819814256640/upKJjTI7_normal.jpg" TargetMode="External"/><Relationship Id="rId1094" Type="http://schemas.openxmlformats.org/officeDocument/2006/relationships/hyperlink" Target="http://twitter.com/colinpennkenny/statuses/1521053031936180224" TargetMode="External"/><Relationship Id="rId1095" Type="http://schemas.openxmlformats.org/officeDocument/2006/relationships/hyperlink" Target="http://pbs.twimg.com/profile_images/1517427902060666881/Vg4x7cNk_normal.jpg" TargetMode="External"/><Relationship Id="rId4121" Type="http://schemas.openxmlformats.org/officeDocument/2006/relationships/hyperlink" Target="http://pbs.twimg.com/profile_images/1497869450812530690/yL5hfxWh_normal.jpg" TargetMode="External"/><Relationship Id="rId5453" Type="http://schemas.openxmlformats.org/officeDocument/2006/relationships/hyperlink" Target="http://pbs.twimg.com/profile_images/1520795205510877188/TD5m49dB_normal.jpg" TargetMode="External"/><Relationship Id="rId1096" Type="http://schemas.openxmlformats.org/officeDocument/2006/relationships/hyperlink" Target="http://twitter.com/tobyh45/statuses/1521052963292258305" TargetMode="External"/><Relationship Id="rId4120" Type="http://schemas.openxmlformats.org/officeDocument/2006/relationships/hyperlink" Target="http://twitter.com/WestonGrockle/statuses/1520994107916636160" TargetMode="External"/><Relationship Id="rId5454" Type="http://schemas.openxmlformats.org/officeDocument/2006/relationships/hyperlink" Target="http://twitter.com/LorraineRogerso/statuses/1520893069721223168" TargetMode="External"/><Relationship Id="rId1097" Type="http://schemas.openxmlformats.org/officeDocument/2006/relationships/hyperlink" Target="http://pbs.twimg.com/profile_images/1212820694498729986/MOhFuQJn_normal.jpg" TargetMode="External"/><Relationship Id="rId4123" Type="http://schemas.openxmlformats.org/officeDocument/2006/relationships/hyperlink" Target="http://pbs.twimg.com/profile_images/1267723805629300736/I4OsyFWL_normal.jpg" TargetMode="External"/><Relationship Id="rId5451" Type="http://schemas.openxmlformats.org/officeDocument/2006/relationships/hyperlink" Target="http://abs.twimg.com/sticky/default_profile_images/default_profile_normal.png" TargetMode="External"/><Relationship Id="rId1098" Type="http://schemas.openxmlformats.org/officeDocument/2006/relationships/hyperlink" Target="http://twitter.com/Edinburgh4EU/statuses/1521052926076239878" TargetMode="External"/><Relationship Id="rId4122" Type="http://schemas.openxmlformats.org/officeDocument/2006/relationships/hyperlink" Target="http://twitter.com/laj1956/statuses/1520994021761589248" TargetMode="External"/><Relationship Id="rId5452" Type="http://schemas.openxmlformats.org/officeDocument/2006/relationships/hyperlink" Target="http://twitter.com/LochlainnNic/statuses/1520893106337599493" TargetMode="External"/><Relationship Id="rId1099" Type="http://schemas.openxmlformats.org/officeDocument/2006/relationships/hyperlink" Target="http://pbs.twimg.com/profile_images/1108675144766111746/isAFtLQp_normal.png" TargetMode="External"/><Relationship Id="rId4125" Type="http://schemas.openxmlformats.org/officeDocument/2006/relationships/hyperlink" Target="http://pbs.twimg.com/profile_images/1431532584253726721/BSIHHMAE_normal.jpg" TargetMode="External"/><Relationship Id="rId5457" Type="http://schemas.openxmlformats.org/officeDocument/2006/relationships/hyperlink" Target="http://pbs.twimg.com/profile_images/1481260055001452555/MDQc6DOQ_normal.jpg" TargetMode="External"/><Relationship Id="rId4124" Type="http://schemas.openxmlformats.org/officeDocument/2006/relationships/hyperlink" Target="http://twitter.com/RwAccommodation/statuses/1520993933056167938" TargetMode="External"/><Relationship Id="rId5458" Type="http://schemas.openxmlformats.org/officeDocument/2006/relationships/hyperlink" Target="http://twitter.com/ManleyAjmanley/statuses/1520892883984957442" TargetMode="External"/><Relationship Id="rId4127" Type="http://schemas.openxmlformats.org/officeDocument/2006/relationships/hyperlink" Target="http://pbs.twimg.com/profile_images/1497677929798582275/m9TkRKL1_normal.jpg" TargetMode="External"/><Relationship Id="rId5455" Type="http://schemas.openxmlformats.org/officeDocument/2006/relationships/hyperlink" Target="http://pbs.twimg.com/profile_images/1498753821350236161/dGlwptOb_normal.png" TargetMode="External"/><Relationship Id="rId4126" Type="http://schemas.openxmlformats.org/officeDocument/2006/relationships/hyperlink" Target="http://twitter.com/charlieosborne/statuses/1520993581628071937" TargetMode="External"/><Relationship Id="rId5456" Type="http://schemas.openxmlformats.org/officeDocument/2006/relationships/hyperlink" Target="http://twitter.com/Bollocks2Brexit/statuses/1520892938045341697" TargetMode="External"/><Relationship Id="rId4118" Type="http://schemas.openxmlformats.org/officeDocument/2006/relationships/hyperlink" Target="http://twitter.com/laj1956/statuses/1520994148920315904" TargetMode="External"/><Relationship Id="rId4117" Type="http://schemas.openxmlformats.org/officeDocument/2006/relationships/hyperlink" Target="http://pbs.twimg.com/profile_images/1497869450812530690/yL5hfxWh_normal.jpg" TargetMode="External"/><Relationship Id="rId5448" Type="http://schemas.openxmlformats.org/officeDocument/2006/relationships/hyperlink" Target="http://twitter.com/BradipoWayway/statuses/1520893143780147206" TargetMode="External"/><Relationship Id="rId4119" Type="http://schemas.openxmlformats.org/officeDocument/2006/relationships/hyperlink" Target="http://pbs.twimg.com/profile_images/1500380488686522368/MICHI078_normal.jpg" TargetMode="External"/><Relationship Id="rId5449" Type="http://schemas.openxmlformats.org/officeDocument/2006/relationships/hyperlink" Target="http://pbs.twimg.com/profile_images/870905435158695936/xDmHU71e_normal.jpg" TargetMode="External"/><Relationship Id="rId1080" Type="http://schemas.openxmlformats.org/officeDocument/2006/relationships/hyperlink" Target="http://twitter.com/VSnodin/statuses/1521053168095969280" TargetMode="External"/><Relationship Id="rId1081" Type="http://schemas.openxmlformats.org/officeDocument/2006/relationships/hyperlink" Target="http://pbs.twimg.com/profile_images/1230470215491817474/tTrondSS_normal.jpg" TargetMode="External"/><Relationship Id="rId1082" Type="http://schemas.openxmlformats.org/officeDocument/2006/relationships/hyperlink" Target="http://twitter.com/bendevon2/statuses/1521053157253652480" TargetMode="External"/><Relationship Id="rId1083" Type="http://schemas.openxmlformats.org/officeDocument/2006/relationships/hyperlink" Target="http://pbs.twimg.com/profile_images/1008288953215143936/97PyFlpm_normal.jpg" TargetMode="External"/><Relationship Id="rId1084" Type="http://schemas.openxmlformats.org/officeDocument/2006/relationships/hyperlink" Target="http://twitter.com/Rampantredlion1/statuses/1521053109346316288" TargetMode="External"/><Relationship Id="rId4110" Type="http://schemas.openxmlformats.org/officeDocument/2006/relationships/hyperlink" Target="http://twitter.com/relwofs54/statuses/1520994524310425602" TargetMode="External"/><Relationship Id="rId5442" Type="http://schemas.openxmlformats.org/officeDocument/2006/relationships/hyperlink" Target="http://twitter.com/chriswalford/statuses/1520893357240819717" TargetMode="External"/><Relationship Id="rId1085" Type="http://schemas.openxmlformats.org/officeDocument/2006/relationships/hyperlink" Target="http://pbs.twimg.com/profile_images/1179262787299639296/x3kKPA6B_normal.jpg" TargetMode="External"/><Relationship Id="rId5443" Type="http://schemas.openxmlformats.org/officeDocument/2006/relationships/hyperlink" Target="http://pbs.twimg.com/profile_images/1224162486364053504/QoTV-wp7_normal.jpg" TargetMode="External"/><Relationship Id="rId1086" Type="http://schemas.openxmlformats.org/officeDocument/2006/relationships/hyperlink" Target="http://twitter.com/saveyokohama/statuses/1521053085778714625" TargetMode="External"/><Relationship Id="rId4112" Type="http://schemas.openxmlformats.org/officeDocument/2006/relationships/hyperlink" Target="http://twitter.com/FrannyHP/statuses/1520994271335227394" TargetMode="External"/><Relationship Id="rId5440" Type="http://schemas.openxmlformats.org/officeDocument/2006/relationships/hyperlink" Target="http://twitter.com/PhilipB27707256/statuses/1520893480364617729" TargetMode="External"/><Relationship Id="rId1087" Type="http://schemas.openxmlformats.org/officeDocument/2006/relationships/hyperlink" Target="http://pbs.twimg.com/profile_images/1515368275307376650/grlA4-ju_normal.jpg" TargetMode="External"/><Relationship Id="rId4111" Type="http://schemas.openxmlformats.org/officeDocument/2006/relationships/hyperlink" Target="http://pbs.twimg.com/profile_images/1346947373260546048/wgvuSvl6_normal.jpg" TargetMode="External"/><Relationship Id="rId5441" Type="http://schemas.openxmlformats.org/officeDocument/2006/relationships/hyperlink" Target="http://pbs.twimg.com/profile_images/446911831006003200/ReVFW3DX_normal.jpeg" TargetMode="External"/><Relationship Id="rId1088" Type="http://schemas.openxmlformats.org/officeDocument/2006/relationships/hyperlink" Target="http://twitter.com/peterandann/statuses/1521053074479104000" TargetMode="External"/><Relationship Id="rId4114" Type="http://schemas.openxmlformats.org/officeDocument/2006/relationships/hyperlink" Target="http://twitter.com/James_C_Bond/statuses/1520994263072489474" TargetMode="External"/><Relationship Id="rId5446" Type="http://schemas.openxmlformats.org/officeDocument/2006/relationships/hyperlink" Target="http://twitter.com/GlukVanstone/statuses/1520893149631160320" TargetMode="External"/><Relationship Id="rId1089" Type="http://schemas.openxmlformats.org/officeDocument/2006/relationships/hyperlink" Target="http://pbs.twimg.com/profile_images/1335949780896403456/__KGyIE3_normal.jpg" TargetMode="External"/><Relationship Id="rId4113" Type="http://schemas.openxmlformats.org/officeDocument/2006/relationships/hyperlink" Target="http://pbs.twimg.com/profile_images/1514937901532041220/37vwrDtj_normal.jpg" TargetMode="External"/><Relationship Id="rId5447" Type="http://schemas.openxmlformats.org/officeDocument/2006/relationships/hyperlink" Target="http://pbs.twimg.com/profile_images/1319144498/bradipo_normal.jpg" TargetMode="External"/><Relationship Id="rId4116" Type="http://schemas.openxmlformats.org/officeDocument/2006/relationships/hyperlink" Target="http://twitter.com/AiringViews/statuses/1520994187004502016" TargetMode="External"/><Relationship Id="rId5444" Type="http://schemas.openxmlformats.org/officeDocument/2006/relationships/hyperlink" Target="http://twitter.com/GonnyGlass/statuses/1520893338135797760" TargetMode="External"/><Relationship Id="rId4115" Type="http://schemas.openxmlformats.org/officeDocument/2006/relationships/hyperlink" Target="http://pbs.twimg.com/profile_images/1454804747412725766/-ZUR55w__normal.jpg" TargetMode="External"/><Relationship Id="rId5445" Type="http://schemas.openxmlformats.org/officeDocument/2006/relationships/hyperlink" Target="http://pbs.twimg.com/profile_images/1427366536117956608/-NRUTolL_normal.jpg" TargetMode="External"/><Relationship Id="rId5471" Type="http://schemas.openxmlformats.org/officeDocument/2006/relationships/hyperlink" Target="http://pbs.twimg.com/profile_images/874233849638772736/ThBtVyJc_normal.jpg" TargetMode="External"/><Relationship Id="rId5472" Type="http://schemas.openxmlformats.org/officeDocument/2006/relationships/hyperlink" Target="http://twitter.com/3d3dave/statuses/1520892331653795840" TargetMode="External"/><Relationship Id="rId4141" Type="http://schemas.openxmlformats.org/officeDocument/2006/relationships/hyperlink" Target="http://pbs.twimg.com/profile_images/1281865931224907777/nHPH1R2w_normal.jpg" TargetMode="External"/><Relationship Id="rId4140" Type="http://schemas.openxmlformats.org/officeDocument/2006/relationships/hyperlink" Target="http://twitter.com/Mrruszka/statuses/1520993237049171968" TargetMode="External"/><Relationship Id="rId5470" Type="http://schemas.openxmlformats.org/officeDocument/2006/relationships/hyperlink" Target="http://twitter.com/Qu1ny/statuses/1520892361571815426" TargetMode="External"/><Relationship Id="rId4143" Type="http://schemas.openxmlformats.org/officeDocument/2006/relationships/hyperlink" Target="http://pbs.twimg.com/profile_images/1520152541098618888/1hpOGP8F_normal.jpg" TargetMode="External"/><Relationship Id="rId5475" Type="http://schemas.openxmlformats.org/officeDocument/2006/relationships/hyperlink" Target="http://pbs.twimg.com/profile_images/1510348846731300867/Ca5v0jxs_normal.jpg" TargetMode="External"/><Relationship Id="rId4142" Type="http://schemas.openxmlformats.org/officeDocument/2006/relationships/hyperlink" Target="http://twitter.com/julesdb9/statuses/1520993186985959424" TargetMode="External"/><Relationship Id="rId5476" Type="http://schemas.openxmlformats.org/officeDocument/2006/relationships/hyperlink" Target="http://twitter.com/hope99915/statuses/1520892302276775936" TargetMode="External"/><Relationship Id="rId4145" Type="http://schemas.openxmlformats.org/officeDocument/2006/relationships/hyperlink" Target="http://pbs.twimg.com/profile_images/1505190376335974400/EuUA2O_1_normal.jpg" TargetMode="External"/><Relationship Id="rId5473" Type="http://schemas.openxmlformats.org/officeDocument/2006/relationships/hyperlink" Target="http://pbs.twimg.com/profile_images/873182361030201344/Vjy5arMx_normal.jpg" TargetMode="External"/><Relationship Id="rId4144" Type="http://schemas.openxmlformats.org/officeDocument/2006/relationships/hyperlink" Target="http://twitter.com/marshal89798300/statuses/1520992957171736576" TargetMode="External"/><Relationship Id="rId5474" Type="http://schemas.openxmlformats.org/officeDocument/2006/relationships/hyperlink" Target="http://twitter.com/joannekarma/statuses/1520892321901989891" TargetMode="External"/><Relationship Id="rId4147" Type="http://schemas.openxmlformats.org/officeDocument/2006/relationships/hyperlink" Target="http://pbs.twimg.com/profile_images/1496786856939241476/2pvZztVD_normal.jpg" TargetMode="External"/><Relationship Id="rId5479" Type="http://schemas.openxmlformats.org/officeDocument/2006/relationships/hyperlink" Target="http://pbs.twimg.com/profile_images/1501162550897090561/cJmTmBZs_normal.jpg" TargetMode="External"/><Relationship Id="rId4146" Type="http://schemas.openxmlformats.org/officeDocument/2006/relationships/hyperlink" Target="http://twitter.com/rec777777/statuses/1520992424876720128" TargetMode="External"/><Relationship Id="rId4149" Type="http://schemas.openxmlformats.org/officeDocument/2006/relationships/hyperlink" Target="http://pbs.twimg.com/profile_images/71422336/domfitness_me_pic_normal.jpg" TargetMode="External"/><Relationship Id="rId5477" Type="http://schemas.openxmlformats.org/officeDocument/2006/relationships/hyperlink" Target="http://abs.twimg.com/sticky/default_profile_images/default_profile_normal.png" TargetMode="External"/><Relationship Id="rId4148" Type="http://schemas.openxmlformats.org/officeDocument/2006/relationships/hyperlink" Target="http://twitter.com/PerformMonkey/statuses/1520992399169839104" TargetMode="External"/><Relationship Id="rId5478" Type="http://schemas.openxmlformats.org/officeDocument/2006/relationships/hyperlink" Target="http://twitter.com/gazfinch83/statuses/1520892276108664832" TargetMode="External"/><Relationship Id="rId4139" Type="http://schemas.openxmlformats.org/officeDocument/2006/relationships/hyperlink" Target="http://pbs.twimg.com/profile_images/1462112854954360848/s_3wQmcj_normal.jpg" TargetMode="External"/><Relationship Id="rId5460" Type="http://schemas.openxmlformats.org/officeDocument/2006/relationships/hyperlink" Target="http://twitter.com/Jackcdawes/statuses/1520892683627159552" TargetMode="External"/><Relationship Id="rId5461" Type="http://schemas.openxmlformats.org/officeDocument/2006/relationships/hyperlink" Target="http://pbs.twimg.com/profile_images/874233849638772736/ThBtVyJc_normal.jpg" TargetMode="External"/><Relationship Id="rId4130" Type="http://schemas.openxmlformats.org/officeDocument/2006/relationships/hyperlink" Target="http://twitter.com/charlieosborne/statuses/1520993475310899200" TargetMode="External"/><Relationship Id="rId4132" Type="http://schemas.openxmlformats.org/officeDocument/2006/relationships/hyperlink" Target="http://twitter.com/percyridesagain/statuses/1520993422785527808" TargetMode="External"/><Relationship Id="rId5464" Type="http://schemas.openxmlformats.org/officeDocument/2006/relationships/hyperlink" Target="http://twitter.com/gw_emily/statuses/1520892563741360128" TargetMode="External"/><Relationship Id="rId4131" Type="http://schemas.openxmlformats.org/officeDocument/2006/relationships/hyperlink" Target="http://pbs.twimg.com/profile_images/1016406087866703874/FH4OlCNF_normal.jpg" TargetMode="External"/><Relationship Id="rId5465" Type="http://schemas.openxmlformats.org/officeDocument/2006/relationships/hyperlink" Target="http://pbs.twimg.com/profile_images/1279761638934089728/PGrfMEOB_normal.jpg" TargetMode="External"/><Relationship Id="rId4134" Type="http://schemas.openxmlformats.org/officeDocument/2006/relationships/hyperlink" Target="http://twitter.com/Paul63B/statuses/1520993408134823937" TargetMode="External"/><Relationship Id="rId5462" Type="http://schemas.openxmlformats.org/officeDocument/2006/relationships/hyperlink" Target="http://twitter.com/3d3dave/statuses/1520892677709082624" TargetMode="External"/><Relationship Id="rId4133" Type="http://schemas.openxmlformats.org/officeDocument/2006/relationships/hyperlink" Target="http://pbs.twimg.com/profile_images/973556448201531392/haZ2OXLO_normal.jpg" TargetMode="External"/><Relationship Id="rId5463" Type="http://schemas.openxmlformats.org/officeDocument/2006/relationships/hyperlink" Target="http://pbs.twimg.com/profile_images/1477002720515182592/pkp6cG4Q_normal.jpg" TargetMode="External"/><Relationship Id="rId4136" Type="http://schemas.openxmlformats.org/officeDocument/2006/relationships/hyperlink" Target="http://twitter.com/LindaPe65733897/statuses/1520993389755473920" TargetMode="External"/><Relationship Id="rId5468" Type="http://schemas.openxmlformats.org/officeDocument/2006/relationships/hyperlink" Target="http://twitter.com/FatimaDuerden/statuses/1520892534091878402" TargetMode="External"/><Relationship Id="rId4135" Type="http://schemas.openxmlformats.org/officeDocument/2006/relationships/hyperlink" Target="http://pbs.twimg.com/profile_images/1497677929798582275/m9TkRKL1_normal.jpg" TargetMode="External"/><Relationship Id="rId5469" Type="http://schemas.openxmlformats.org/officeDocument/2006/relationships/hyperlink" Target="http://pbs.twimg.com/profile_images/1407803942797447173/tfmX7WY4_normal.jpg" TargetMode="External"/><Relationship Id="rId4138" Type="http://schemas.openxmlformats.org/officeDocument/2006/relationships/hyperlink" Target="http://twitter.com/brendanno3/statuses/1520993375628972032" TargetMode="External"/><Relationship Id="rId5466" Type="http://schemas.openxmlformats.org/officeDocument/2006/relationships/hyperlink" Target="http://twitter.com/rittster/statuses/1520892542912540672" TargetMode="External"/><Relationship Id="rId4137" Type="http://schemas.openxmlformats.org/officeDocument/2006/relationships/hyperlink" Target="http://pbs.twimg.com/profile_images/843220475291598848/WbT9AT26_normal.jpg" TargetMode="External"/><Relationship Id="rId5467" Type="http://schemas.openxmlformats.org/officeDocument/2006/relationships/hyperlink" Target="http://pbs.twimg.com/profile_images/1492600804934623235/i93tUyFQ_normal.jpg" TargetMode="External"/><Relationship Id="rId1972" Type="http://schemas.openxmlformats.org/officeDocument/2006/relationships/hyperlink" Target="http://twitter.com/BarkerLeadershp/statuses/1521037574462185472" TargetMode="External"/><Relationship Id="rId1973" Type="http://schemas.openxmlformats.org/officeDocument/2006/relationships/hyperlink" Target="http://pbs.twimg.com/profile_images/1391779968766685185/CtV7Yi-v_normal.jpg" TargetMode="External"/><Relationship Id="rId1974" Type="http://schemas.openxmlformats.org/officeDocument/2006/relationships/hyperlink" Target="http://twitter.com/maryliz87575119/statuses/1521037533404176386" TargetMode="External"/><Relationship Id="rId1975" Type="http://schemas.openxmlformats.org/officeDocument/2006/relationships/hyperlink" Target="http://pbs.twimg.com/profile_images/1501074688667230214/2motnqaU_normal.jpg" TargetMode="External"/><Relationship Id="rId1976" Type="http://schemas.openxmlformats.org/officeDocument/2006/relationships/hyperlink" Target="http://twitter.com/AnnSpencer001/statuses/1521037509999923206" TargetMode="External"/><Relationship Id="rId1977" Type="http://schemas.openxmlformats.org/officeDocument/2006/relationships/hyperlink" Target="http://pbs.twimg.com/profile_images/1098654757286305792/1hRAT4Rh_normal.jpg" TargetMode="External"/><Relationship Id="rId1978" Type="http://schemas.openxmlformats.org/officeDocument/2006/relationships/hyperlink" Target="http://twitter.com/solentstars/statuses/1521037436679241728" TargetMode="External"/><Relationship Id="rId1979" Type="http://schemas.openxmlformats.org/officeDocument/2006/relationships/hyperlink" Target="http://pbs.twimg.com/profile_images/1389414096513257477/rIdtCN42_normal.jpg" TargetMode="External"/><Relationship Id="rId1970" Type="http://schemas.openxmlformats.org/officeDocument/2006/relationships/hyperlink" Target="http://twitter.com/KayHargreaves7/statuses/1521037584713011201" TargetMode="External"/><Relationship Id="rId1971" Type="http://schemas.openxmlformats.org/officeDocument/2006/relationships/hyperlink" Target="http://pbs.twimg.com/profile_images/2334531131/ewb8hdxfebho9hzk3w86_normal.gif" TargetMode="External"/><Relationship Id="rId1961" Type="http://schemas.openxmlformats.org/officeDocument/2006/relationships/hyperlink" Target="http://pbs.twimg.com/profile_images/1439670072365264896/T99S-Fbw_normal.jpg" TargetMode="External"/><Relationship Id="rId1962" Type="http://schemas.openxmlformats.org/officeDocument/2006/relationships/hyperlink" Target="http://twitter.com/woowar/statuses/1521037671405137920" TargetMode="External"/><Relationship Id="rId1963" Type="http://schemas.openxmlformats.org/officeDocument/2006/relationships/hyperlink" Target="http://pbs.twimg.com/profile_images/1178947084315168768/FJTbptRZ_normal.jpg" TargetMode="External"/><Relationship Id="rId1964" Type="http://schemas.openxmlformats.org/officeDocument/2006/relationships/hyperlink" Target="http://twitter.com/margaret_ruane/statuses/1521037651473833984" TargetMode="External"/><Relationship Id="rId1965" Type="http://schemas.openxmlformats.org/officeDocument/2006/relationships/hyperlink" Target="http://pbs.twimg.com/profile_images/1505128297092550659/vxGs-ZbC_normal.jpg" TargetMode="External"/><Relationship Id="rId1966" Type="http://schemas.openxmlformats.org/officeDocument/2006/relationships/hyperlink" Target="http://twitter.com/afsanalachaux/statuses/1521037616929456128" TargetMode="External"/><Relationship Id="rId1967" Type="http://schemas.openxmlformats.org/officeDocument/2006/relationships/hyperlink" Target="http://pbs.twimg.com/profile_images/1512456146208145413/RehYgOLO_normal.jpg" TargetMode="External"/><Relationship Id="rId1968" Type="http://schemas.openxmlformats.org/officeDocument/2006/relationships/hyperlink" Target="http://twitter.com/Andrew_apac/statuses/1521037603423797253" TargetMode="External"/><Relationship Id="rId1969" Type="http://schemas.openxmlformats.org/officeDocument/2006/relationships/hyperlink" Target="http://pbs.twimg.com/profile_images/1263340174987210754/zR5J32nj_normal.jpg" TargetMode="External"/><Relationship Id="rId1960" Type="http://schemas.openxmlformats.org/officeDocument/2006/relationships/hyperlink" Target="http://twitter.com/roach_jeffrey/statuses/1521037686873669632" TargetMode="External"/><Relationship Id="rId1994" Type="http://schemas.openxmlformats.org/officeDocument/2006/relationships/hyperlink" Target="http://twitter.com/jillbed/statuses/1521037266621190145" TargetMode="External"/><Relationship Id="rId1995" Type="http://schemas.openxmlformats.org/officeDocument/2006/relationships/hyperlink" Target="http://pbs.twimg.com/profile_images/1499753080459567108/xKInwPUq_normal.jpg" TargetMode="External"/><Relationship Id="rId1996" Type="http://schemas.openxmlformats.org/officeDocument/2006/relationships/hyperlink" Target="http://twitter.com/Renaissance_UE/statuses/1521037238326419457" TargetMode="External"/><Relationship Id="rId1997" Type="http://schemas.openxmlformats.org/officeDocument/2006/relationships/hyperlink" Target="http://pbs.twimg.com/profile_images/1496837563423805447/setncjWz_normal.jpg" TargetMode="External"/><Relationship Id="rId1998" Type="http://schemas.openxmlformats.org/officeDocument/2006/relationships/hyperlink" Target="http://twitter.com/Sukraine/statuses/1521037196005978112" TargetMode="External"/><Relationship Id="rId1999" Type="http://schemas.openxmlformats.org/officeDocument/2006/relationships/hyperlink" Target="http://pbs.twimg.com/profile_images/344513261572251927/cfadd045b8647685e4db137a3c12c75f_normal.jpeg" TargetMode="External"/><Relationship Id="rId1990" Type="http://schemas.openxmlformats.org/officeDocument/2006/relationships/hyperlink" Target="http://twitter.com/CJordanjb/statuses/1521037292474884097" TargetMode="External"/><Relationship Id="rId1991" Type="http://schemas.openxmlformats.org/officeDocument/2006/relationships/hyperlink" Target="http://pbs.twimg.com/profile_images/1465631165440794626/w4PTHB2U_normal.jpg" TargetMode="External"/><Relationship Id="rId1992" Type="http://schemas.openxmlformats.org/officeDocument/2006/relationships/hyperlink" Target="http://twitter.com/davidagoodland/statuses/1521037288951664640" TargetMode="External"/><Relationship Id="rId1993" Type="http://schemas.openxmlformats.org/officeDocument/2006/relationships/hyperlink" Target="http://pbs.twimg.com/profile_images/978229483143606273/BlNHjwcR_normal.jpg" TargetMode="External"/><Relationship Id="rId1983" Type="http://schemas.openxmlformats.org/officeDocument/2006/relationships/hyperlink" Target="http://pbs.twimg.com/profile_images/1347018713355210754/8ln3xPSK_normal.jpg" TargetMode="External"/><Relationship Id="rId1984" Type="http://schemas.openxmlformats.org/officeDocument/2006/relationships/hyperlink" Target="http://twitter.com/pacificcousins/statuses/1521037375945818113" TargetMode="External"/><Relationship Id="rId1985" Type="http://schemas.openxmlformats.org/officeDocument/2006/relationships/hyperlink" Target="http://pbs.twimg.com/profile_images/1497249393724071944/twl36lCK_normal.jpg" TargetMode="External"/><Relationship Id="rId1986" Type="http://schemas.openxmlformats.org/officeDocument/2006/relationships/hyperlink" Target="http://twitter.com/menuet_morgan/statuses/1521037342009606146" TargetMode="External"/><Relationship Id="rId1987" Type="http://schemas.openxmlformats.org/officeDocument/2006/relationships/hyperlink" Target="http://pbs.twimg.com/profile_images/1496837563423805447/setncjWz_normal.jpg" TargetMode="External"/><Relationship Id="rId1988" Type="http://schemas.openxmlformats.org/officeDocument/2006/relationships/hyperlink" Target="http://twitter.com/Sukraine/statuses/1521037316172701696" TargetMode="External"/><Relationship Id="rId1989" Type="http://schemas.openxmlformats.org/officeDocument/2006/relationships/hyperlink" Target="http://pbs.twimg.com/profile_images/1349138131547791360/eIGjNtJt_normal.jpg" TargetMode="External"/><Relationship Id="rId1980" Type="http://schemas.openxmlformats.org/officeDocument/2006/relationships/hyperlink" Target="http://twitter.com/DaveRee83525370/statuses/1521037412683628549" TargetMode="External"/><Relationship Id="rId1981" Type="http://schemas.openxmlformats.org/officeDocument/2006/relationships/hyperlink" Target="http://pbs.twimg.com/profile_images/1476965932148924417/khwSd39I_normal.jpg" TargetMode="External"/><Relationship Id="rId1982" Type="http://schemas.openxmlformats.org/officeDocument/2006/relationships/hyperlink" Target="http://twitter.com/SheilaLeahW/statuses/1521037407608524800" TargetMode="External"/><Relationship Id="rId1930" Type="http://schemas.openxmlformats.org/officeDocument/2006/relationships/hyperlink" Target="http://twitter.com/alphatucana/statuses/1521038104869625856" TargetMode="External"/><Relationship Id="rId1931" Type="http://schemas.openxmlformats.org/officeDocument/2006/relationships/hyperlink" Target="http://pbs.twimg.com/profile_images/1497363227084263424/KH0LYx1m_normal.jpg" TargetMode="External"/><Relationship Id="rId1932" Type="http://schemas.openxmlformats.org/officeDocument/2006/relationships/hyperlink" Target="http://twitter.com/andypic/statuses/1521038100880896000" TargetMode="External"/><Relationship Id="rId1933" Type="http://schemas.openxmlformats.org/officeDocument/2006/relationships/hyperlink" Target="http://pbs.twimg.com/profile_images/1500029953752064002/Z2UFyhKv_normal.png" TargetMode="External"/><Relationship Id="rId1934" Type="http://schemas.openxmlformats.org/officeDocument/2006/relationships/hyperlink" Target="http://twitter.com/chanavox/statuses/1521038097416343559" TargetMode="External"/><Relationship Id="rId1935" Type="http://schemas.openxmlformats.org/officeDocument/2006/relationships/hyperlink" Target="http://pbs.twimg.com/profile_images/1497363227084263424/KH0LYx1m_normal.jpg" TargetMode="External"/><Relationship Id="rId1936" Type="http://schemas.openxmlformats.org/officeDocument/2006/relationships/hyperlink" Target="http://twitter.com/andypic/statuses/1521038050096295937" TargetMode="External"/><Relationship Id="rId1937" Type="http://schemas.openxmlformats.org/officeDocument/2006/relationships/hyperlink" Target="http://pbs.twimg.com/profile_images/1521007264194342912/9y3h5GFu_normal.jpg" TargetMode="External"/><Relationship Id="rId1938" Type="http://schemas.openxmlformats.org/officeDocument/2006/relationships/hyperlink" Target="http://twitter.com/rattaplan76/statuses/1521038008677507074" TargetMode="External"/><Relationship Id="rId1939" Type="http://schemas.openxmlformats.org/officeDocument/2006/relationships/hyperlink" Target="http://pbs.twimg.com/profile_images/1435664404377391113/DA6-CiG2_normal.jpg" TargetMode="External"/><Relationship Id="rId1920" Type="http://schemas.openxmlformats.org/officeDocument/2006/relationships/hyperlink" Target="http://twitter.com/AbbieOBrien1/statuses/1521038223467859969" TargetMode="External"/><Relationship Id="rId1921" Type="http://schemas.openxmlformats.org/officeDocument/2006/relationships/hyperlink" Target="http://pbs.twimg.com/profile_images/1444092017953415168/R0uLykbl_normal.jpg" TargetMode="External"/><Relationship Id="rId1922" Type="http://schemas.openxmlformats.org/officeDocument/2006/relationships/hyperlink" Target="http://twitter.com/rins2pworth/statuses/1521038166886694913" TargetMode="External"/><Relationship Id="rId1923" Type="http://schemas.openxmlformats.org/officeDocument/2006/relationships/hyperlink" Target="http://pbs.twimg.com/profile_images/1416887010892165127/J5jaKNGH_normal.jpg" TargetMode="External"/><Relationship Id="rId1924" Type="http://schemas.openxmlformats.org/officeDocument/2006/relationships/hyperlink" Target="http://twitter.com/BrexitPhobe/statuses/1521038166148497409" TargetMode="External"/><Relationship Id="rId1925" Type="http://schemas.openxmlformats.org/officeDocument/2006/relationships/hyperlink" Target="http://pbs.twimg.com/profile_images/1497363227084263424/KH0LYx1m_normal.jpg" TargetMode="External"/><Relationship Id="rId1926" Type="http://schemas.openxmlformats.org/officeDocument/2006/relationships/hyperlink" Target="http://twitter.com/andypic/statuses/1521038152131088384" TargetMode="External"/><Relationship Id="rId1927" Type="http://schemas.openxmlformats.org/officeDocument/2006/relationships/hyperlink" Target="http://pbs.twimg.com/profile_images/1737029488/steve_normal.jpg" TargetMode="External"/><Relationship Id="rId1928" Type="http://schemas.openxmlformats.org/officeDocument/2006/relationships/hyperlink" Target="http://twitter.com/STilston/statuses/1521038126562619392" TargetMode="External"/><Relationship Id="rId1929" Type="http://schemas.openxmlformats.org/officeDocument/2006/relationships/hyperlink" Target="http://pbs.twimg.com/profile_images/1305654389/P1040885-2_normal.JPG" TargetMode="External"/><Relationship Id="rId4190" Type="http://schemas.openxmlformats.org/officeDocument/2006/relationships/hyperlink" Target="http://twitter.com/EnglishNRomania/statuses/1520990776263589890" TargetMode="External"/><Relationship Id="rId4192" Type="http://schemas.openxmlformats.org/officeDocument/2006/relationships/hyperlink" Target="http://twitter.com/pennylloydwatts/statuses/1520990772644007936" TargetMode="External"/><Relationship Id="rId4191" Type="http://schemas.openxmlformats.org/officeDocument/2006/relationships/hyperlink" Target="http://pbs.twimg.com/profile_images/1308819648390070275/fHOYna0V_normal.jpg" TargetMode="External"/><Relationship Id="rId4194" Type="http://schemas.openxmlformats.org/officeDocument/2006/relationships/hyperlink" Target="http://twitter.com/timolarch/statuses/1520990741933273089" TargetMode="External"/><Relationship Id="rId4193" Type="http://schemas.openxmlformats.org/officeDocument/2006/relationships/hyperlink" Target="http://pbs.twimg.com/profile_images/1486760663192154112/mv43ft1l_normal.jpg" TargetMode="External"/><Relationship Id="rId4196" Type="http://schemas.openxmlformats.org/officeDocument/2006/relationships/hyperlink" Target="http://twitter.com/SandraE82526551/statuses/1520990695439450113" TargetMode="External"/><Relationship Id="rId4195" Type="http://schemas.openxmlformats.org/officeDocument/2006/relationships/hyperlink" Target="http://abs.twimg.com/sticky/default_profile_images/default_profile_normal.png" TargetMode="External"/><Relationship Id="rId4198" Type="http://schemas.openxmlformats.org/officeDocument/2006/relationships/hyperlink" Target="http://twitter.com/choor121/statuses/1520990502279168000" TargetMode="External"/><Relationship Id="rId4197" Type="http://schemas.openxmlformats.org/officeDocument/2006/relationships/hyperlink" Target="http://pbs.twimg.com/profile_images/1455927701760577536/awsPGZAw_normal.png" TargetMode="External"/><Relationship Id="rId4199" Type="http://schemas.openxmlformats.org/officeDocument/2006/relationships/hyperlink" Target="http://pbs.twimg.com/profile_images/560001017102618624/ppuHGzPZ_normal.png" TargetMode="External"/><Relationship Id="rId1950" Type="http://schemas.openxmlformats.org/officeDocument/2006/relationships/hyperlink" Target="http://twitter.com/SueEvan74444692/statuses/1521037885293666304" TargetMode="External"/><Relationship Id="rId1951" Type="http://schemas.openxmlformats.org/officeDocument/2006/relationships/hyperlink" Target="http://pbs.twimg.com/profile_images/1370455212926898177/wSn6bUFR_normal.jpg" TargetMode="External"/><Relationship Id="rId1952" Type="http://schemas.openxmlformats.org/officeDocument/2006/relationships/hyperlink" Target="http://twitter.com/JohnGoodrich/statuses/1521037859603587072" TargetMode="External"/><Relationship Id="rId1953" Type="http://schemas.openxmlformats.org/officeDocument/2006/relationships/hyperlink" Target="http://pbs.twimg.com/profile_images/531444114324455424/rvaWNhGh_normal.jpeg" TargetMode="External"/><Relationship Id="rId1954" Type="http://schemas.openxmlformats.org/officeDocument/2006/relationships/hyperlink" Target="http://twitter.com/roach_jeffrey/statuses/1521037783225311232" TargetMode="External"/><Relationship Id="rId1955" Type="http://schemas.openxmlformats.org/officeDocument/2006/relationships/hyperlink" Target="http://pbs.twimg.com/profile_images/1314802345394528256/X4mfgWFP_normal.jpg" TargetMode="External"/><Relationship Id="rId1956" Type="http://schemas.openxmlformats.org/officeDocument/2006/relationships/hyperlink" Target="http://twitter.com/kr31133/statuses/1521037728212729856" TargetMode="External"/><Relationship Id="rId1957" Type="http://schemas.openxmlformats.org/officeDocument/2006/relationships/hyperlink" Target="http://pbs.twimg.com/profile_images/467030410640097280/l7Mu-NZ0_normal.jpeg" TargetMode="External"/><Relationship Id="rId1958" Type="http://schemas.openxmlformats.org/officeDocument/2006/relationships/hyperlink" Target="http://twitter.com/martinthegood/statuses/1521037688895414272" TargetMode="External"/><Relationship Id="rId1959" Type="http://schemas.openxmlformats.org/officeDocument/2006/relationships/hyperlink" Target="http://pbs.twimg.com/profile_images/531444114324455424/rvaWNhGh_normal.jpeg" TargetMode="External"/><Relationship Id="rId1940" Type="http://schemas.openxmlformats.org/officeDocument/2006/relationships/hyperlink" Target="http://twitter.com/Suziey33/statuses/1521038002709057542" TargetMode="External"/><Relationship Id="rId1941" Type="http://schemas.openxmlformats.org/officeDocument/2006/relationships/hyperlink" Target="http://pbs.twimg.com/profile_images/1497363227084263424/KH0LYx1m_normal.jpg" TargetMode="External"/><Relationship Id="rId1942" Type="http://schemas.openxmlformats.org/officeDocument/2006/relationships/hyperlink" Target="http://twitter.com/andypic/statuses/1521037998653063168" TargetMode="External"/><Relationship Id="rId1943" Type="http://schemas.openxmlformats.org/officeDocument/2006/relationships/hyperlink" Target="http://pbs.twimg.com/profile_images/1093225175250808833/AsDfsy9g_normal.jpg" TargetMode="External"/><Relationship Id="rId1944" Type="http://schemas.openxmlformats.org/officeDocument/2006/relationships/hyperlink" Target="http://twitter.com/FergusNolan2000/statuses/1521037985680142336" TargetMode="External"/><Relationship Id="rId1945" Type="http://schemas.openxmlformats.org/officeDocument/2006/relationships/hyperlink" Target="http://pbs.twimg.com/profile_images/1497363227084263424/KH0LYx1m_normal.jpg" TargetMode="External"/><Relationship Id="rId1946" Type="http://schemas.openxmlformats.org/officeDocument/2006/relationships/hyperlink" Target="http://twitter.com/andypic/statuses/1521037966671552512" TargetMode="External"/><Relationship Id="rId1947" Type="http://schemas.openxmlformats.org/officeDocument/2006/relationships/hyperlink" Target="http://pbs.twimg.com/profile_images/1054458706962849793/HEB3-LW1_normal.jpg" TargetMode="External"/><Relationship Id="rId1948" Type="http://schemas.openxmlformats.org/officeDocument/2006/relationships/hyperlink" Target="http://twitter.com/JudyAbel2/statuses/1521037929623216130" TargetMode="External"/><Relationship Id="rId1949" Type="http://schemas.openxmlformats.org/officeDocument/2006/relationships/hyperlink" Target="http://pbs.twimg.com/profile_images/1501188473964969988/d9aS4b43_normal.jpg" TargetMode="External"/><Relationship Id="rId2423" Type="http://schemas.openxmlformats.org/officeDocument/2006/relationships/hyperlink" Target="http://pbs.twimg.com/profile_images/1109750773045432321/Xi0D2YKH_normal.png" TargetMode="External"/><Relationship Id="rId3755" Type="http://schemas.openxmlformats.org/officeDocument/2006/relationships/hyperlink" Target="http://pbs.twimg.com/profile_images/1293582830061191168/2AAOrFbd_normal.jpg" TargetMode="External"/><Relationship Id="rId2424" Type="http://schemas.openxmlformats.org/officeDocument/2006/relationships/hyperlink" Target="http://twitter.com/Kirikou_for_PM/statuses/1521029965650800640" TargetMode="External"/><Relationship Id="rId3754" Type="http://schemas.openxmlformats.org/officeDocument/2006/relationships/hyperlink" Target="http://twitter.com/frenchieinlimbo/statuses/1521005900718292992" TargetMode="External"/><Relationship Id="rId2425" Type="http://schemas.openxmlformats.org/officeDocument/2006/relationships/hyperlink" Target="http://pbs.twimg.com/profile_images/1498348134950395910/rgW3YNg6_normal.jpg" TargetMode="External"/><Relationship Id="rId3757" Type="http://schemas.openxmlformats.org/officeDocument/2006/relationships/hyperlink" Target="http://pbs.twimg.com/profile_images/1413628983703396354/i1kkEmZQ_normal.jpg" TargetMode="External"/><Relationship Id="rId2426" Type="http://schemas.openxmlformats.org/officeDocument/2006/relationships/hyperlink" Target="http://twitter.com/ianvward/statuses/1521029962886782976" TargetMode="External"/><Relationship Id="rId3756" Type="http://schemas.openxmlformats.org/officeDocument/2006/relationships/hyperlink" Target="http://twitter.com/SimonGardner18/statuses/1521005838760124420" TargetMode="External"/><Relationship Id="rId2427" Type="http://schemas.openxmlformats.org/officeDocument/2006/relationships/hyperlink" Target="http://pbs.twimg.com/profile_images/1352298241338052608/X-0hRYdB_normal.jpg" TargetMode="External"/><Relationship Id="rId3759" Type="http://schemas.openxmlformats.org/officeDocument/2006/relationships/hyperlink" Target="http://pbs.twimg.com/profile_images/1448987532234997775/4x3LDyFH_normal.jpg" TargetMode="External"/><Relationship Id="rId2428" Type="http://schemas.openxmlformats.org/officeDocument/2006/relationships/hyperlink" Target="http://twitter.com/Scunner666/statuses/1521029940564709377" TargetMode="External"/><Relationship Id="rId3758" Type="http://schemas.openxmlformats.org/officeDocument/2006/relationships/hyperlink" Target="http://twitter.com/elibo_17/statuses/1521005760922230785" TargetMode="External"/><Relationship Id="rId2429" Type="http://schemas.openxmlformats.org/officeDocument/2006/relationships/hyperlink" Target="http://pbs.twimg.com/profile_images/578452387440041984/4yJDQAn-_normal.jpeg" TargetMode="External"/><Relationship Id="rId509" Type="http://schemas.openxmlformats.org/officeDocument/2006/relationships/hyperlink" Target="http://pbs.twimg.com/profile_images/1004081621849591808/UZscLXaj_normal.jpg" TargetMode="External"/><Relationship Id="rId508" Type="http://schemas.openxmlformats.org/officeDocument/2006/relationships/hyperlink" Target="http://twitter.com/UnicornChettiar/statuses/1521064584517496835" TargetMode="External"/><Relationship Id="rId503" Type="http://schemas.openxmlformats.org/officeDocument/2006/relationships/hyperlink" Target="http://pbs.twimg.com/profile_images/1245049850498035712/7nQb4Hme_normal.jpg" TargetMode="External"/><Relationship Id="rId502" Type="http://schemas.openxmlformats.org/officeDocument/2006/relationships/hyperlink" Target="http://twitter.com/cathie_wood/statuses/1521064723177177088" TargetMode="External"/><Relationship Id="rId501" Type="http://schemas.openxmlformats.org/officeDocument/2006/relationships/hyperlink" Target="http://pbs.twimg.com/profile_images/830911992017739777/4F0eV2Ww_normal.png" TargetMode="External"/><Relationship Id="rId500" Type="http://schemas.openxmlformats.org/officeDocument/2006/relationships/hyperlink" Target="http://twitter.com/valmapal1/statuses/1521064799425208320" TargetMode="External"/><Relationship Id="rId507" Type="http://schemas.openxmlformats.org/officeDocument/2006/relationships/hyperlink" Target="http://pbs.twimg.com/profile_images/1499022375/foliage-bonsai-tree-Download-Free-Vector-File-EPS-947_normal.jpg" TargetMode="External"/><Relationship Id="rId506" Type="http://schemas.openxmlformats.org/officeDocument/2006/relationships/hyperlink" Target="http://twitter.com/MrsArcanum/statuses/1521064637667622915" TargetMode="External"/><Relationship Id="rId505" Type="http://schemas.openxmlformats.org/officeDocument/2006/relationships/hyperlink" Target="http://pbs.twimg.com/profile_images/1502608393982431234/WrXaOfZk_normal.jpg" TargetMode="External"/><Relationship Id="rId504" Type="http://schemas.openxmlformats.org/officeDocument/2006/relationships/hyperlink" Target="http://twitter.com/Marcho451/statuses/1521064675626135552" TargetMode="External"/><Relationship Id="rId3751" Type="http://schemas.openxmlformats.org/officeDocument/2006/relationships/hyperlink" Target="http://pbs.twimg.com/profile_images/1384141550251221002/B4dkaZIS_normal.jpg" TargetMode="External"/><Relationship Id="rId2420" Type="http://schemas.openxmlformats.org/officeDocument/2006/relationships/hyperlink" Target="http://twitter.com/GreenKnight60/statuses/1521030180667539457" TargetMode="External"/><Relationship Id="rId3750" Type="http://schemas.openxmlformats.org/officeDocument/2006/relationships/hyperlink" Target="http://twitter.com/mwrddrwg/statuses/1521005967802044416" TargetMode="External"/><Relationship Id="rId2421" Type="http://schemas.openxmlformats.org/officeDocument/2006/relationships/hyperlink" Target="http://pbs.twimg.com/profile_images/1497689152925667328/kdr7ly3K_normal.jpg" TargetMode="External"/><Relationship Id="rId3753" Type="http://schemas.openxmlformats.org/officeDocument/2006/relationships/hyperlink" Target="http://pbs.twimg.com/profile_images/1496854365054947335/Zdz6gNNa_normal.jpg" TargetMode="External"/><Relationship Id="rId2422" Type="http://schemas.openxmlformats.org/officeDocument/2006/relationships/hyperlink" Target="http://twitter.com/FionaGreenfield/statuses/1521030145724796928" TargetMode="External"/><Relationship Id="rId3752" Type="http://schemas.openxmlformats.org/officeDocument/2006/relationships/hyperlink" Target="http://twitter.com/RichardHewison/statuses/1521005935765995522" TargetMode="External"/><Relationship Id="rId2412" Type="http://schemas.openxmlformats.org/officeDocument/2006/relationships/hyperlink" Target="http://twitter.com/rudadu57/statuses/1521030369398644738" TargetMode="External"/><Relationship Id="rId3744" Type="http://schemas.openxmlformats.org/officeDocument/2006/relationships/hyperlink" Target="http://twitter.com/BrainColne/statuses/1521006092066635777" TargetMode="External"/><Relationship Id="rId2413" Type="http://schemas.openxmlformats.org/officeDocument/2006/relationships/hyperlink" Target="http://pbs.twimg.com/profile_images/989595905761464320/fnPT8SI6_normal.jpg" TargetMode="External"/><Relationship Id="rId3743" Type="http://schemas.openxmlformats.org/officeDocument/2006/relationships/hyperlink" Target="http://pbs.twimg.com/profile_images/1199267692265562114/1YiskGIi_normal.jpg" TargetMode="External"/><Relationship Id="rId2414" Type="http://schemas.openxmlformats.org/officeDocument/2006/relationships/hyperlink" Target="http://twitter.com/shopinitis/statuses/1521030207834046464" TargetMode="External"/><Relationship Id="rId3746" Type="http://schemas.openxmlformats.org/officeDocument/2006/relationships/hyperlink" Target="http://twitter.com/JL_998/statuses/1521006041609220096" TargetMode="External"/><Relationship Id="rId2415" Type="http://schemas.openxmlformats.org/officeDocument/2006/relationships/hyperlink" Target="http://pbs.twimg.com/profile_images/1409799097423368193/wnxbY8sQ_normal.jpg" TargetMode="External"/><Relationship Id="rId3745" Type="http://schemas.openxmlformats.org/officeDocument/2006/relationships/hyperlink" Target="http://pbs.twimg.com/profile_images/1448987532234997775/4x3LDyFH_normal.jpg" TargetMode="External"/><Relationship Id="rId2416" Type="http://schemas.openxmlformats.org/officeDocument/2006/relationships/hyperlink" Target="http://twitter.com/neilehoward1962/statuses/1521030199646863361" TargetMode="External"/><Relationship Id="rId3748" Type="http://schemas.openxmlformats.org/officeDocument/2006/relationships/hyperlink" Target="http://twitter.com/JL_998/statuses/1521006006217719808" TargetMode="External"/><Relationship Id="rId2417" Type="http://schemas.openxmlformats.org/officeDocument/2006/relationships/hyperlink" Target="http://pbs.twimg.com/profile_images/713799231/LBRBCrop1_normal.jpg" TargetMode="External"/><Relationship Id="rId3747" Type="http://schemas.openxmlformats.org/officeDocument/2006/relationships/hyperlink" Target="http://pbs.twimg.com/profile_images/1448987532234997775/4x3LDyFH_normal.jpg" TargetMode="External"/><Relationship Id="rId2418" Type="http://schemas.openxmlformats.org/officeDocument/2006/relationships/hyperlink" Target="http://twitter.com/SeanScannell/statuses/1521030194198458368" TargetMode="External"/><Relationship Id="rId2419" Type="http://schemas.openxmlformats.org/officeDocument/2006/relationships/hyperlink" Target="http://pbs.twimg.com/profile_images/1264567070739640320/id9Xhnep_normal.jpg" TargetMode="External"/><Relationship Id="rId3749" Type="http://schemas.openxmlformats.org/officeDocument/2006/relationships/hyperlink" Target="http://pbs.twimg.com/profile_images/1497209244613029890/HHeQwsjz_normal.jpg" TargetMode="External"/><Relationship Id="rId3740" Type="http://schemas.openxmlformats.org/officeDocument/2006/relationships/hyperlink" Target="http://twitter.com/BrainColne/statuses/1521006219082801153" TargetMode="External"/><Relationship Id="rId2410" Type="http://schemas.openxmlformats.org/officeDocument/2006/relationships/hyperlink" Target="http://twitter.com/schulzee3/statuses/1521030395738869761" TargetMode="External"/><Relationship Id="rId3742" Type="http://schemas.openxmlformats.org/officeDocument/2006/relationships/hyperlink" Target="http://twitter.com/PeteBeech1/statuses/1521006094189043712" TargetMode="External"/><Relationship Id="rId2411" Type="http://schemas.openxmlformats.org/officeDocument/2006/relationships/hyperlink" Target="http://pbs.twimg.com/profile_images/1376466498089271297/ktndoNjw_normal.jpg" TargetMode="External"/><Relationship Id="rId3741" Type="http://schemas.openxmlformats.org/officeDocument/2006/relationships/hyperlink" Target="http://abs.twimg.com/sticky/default_profile_images/default_profile_normal.png" TargetMode="External"/><Relationship Id="rId1114" Type="http://schemas.openxmlformats.org/officeDocument/2006/relationships/hyperlink" Target="http://twitter.com/sbh214/statuses/1521052597272125440" TargetMode="External"/><Relationship Id="rId2445" Type="http://schemas.openxmlformats.org/officeDocument/2006/relationships/hyperlink" Target="http://pbs.twimg.com/profile_images/1183060960199753728/9LKiHzUF_normal.jpg" TargetMode="External"/><Relationship Id="rId3777" Type="http://schemas.openxmlformats.org/officeDocument/2006/relationships/hyperlink" Target="http://pbs.twimg.com/profile_images/1501587974642884613/6KKOT7VM_normal.jpg" TargetMode="External"/><Relationship Id="rId1115" Type="http://schemas.openxmlformats.org/officeDocument/2006/relationships/hyperlink" Target="http://pbs.twimg.com/profile_images/488292522146267137/zUmOwiiC_normal.jpeg" TargetMode="External"/><Relationship Id="rId2446" Type="http://schemas.openxmlformats.org/officeDocument/2006/relationships/hyperlink" Target="http://twitter.com/knut_krohn/statuses/1521029673391689729" TargetMode="External"/><Relationship Id="rId3776" Type="http://schemas.openxmlformats.org/officeDocument/2006/relationships/hyperlink" Target="http://twitter.com/AbbieFerdinand1/statuses/1521005391383089153" TargetMode="External"/><Relationship Id="rId1116" Type="http://schemas.openxmlformats.org/officeDocument/2006/relationships/hyperlink" Target="http://twitter.com/sbh214/statuses/1521052574413119489" TargetMode="External"/><Relationship Id="rId2447" Type="http://schemas.openxmlformats.org/officeDocument/2006/relationships/hyperlink" Target="http://pbs.twimg.com/profile_images/1350323311/luke_normal.jpg" TargetMode="External"/><Relationship Id="rId3779" Type="http://schemas.openxmlformats.org/officeDocument/2006/relationships/hyperlink" Target="http://pbs.twimg.com/profile_images/1507197815532965889/CSGHCobB_normal.jpg" TargetMode="External"/><Relationship Id="rId1117" Type="http://schemas.openxmlformats.org/officeDocument/2006/relationships/hyperlink" Target="http://pbs.twimg.com/profile_images/1519045888538255372/6D3Kr6ir_normal.jpg" TargetMode="External"/><Relationship Id="rId2448" Type="http://schemas.openxmlformats.org/officeDocument/2006/relationships/hyperlink" Target="http://twitter.com/luke_cassidy/statuses/1521029595637723142" TargetMode="External"/><Relationship Id="rId3778" Type="http://schemas.openxmlformats.org/officeDocument/2006/relationships/hyperlink" Target="http://twitter.com/bigtrembles/statuses/1521005251897307138" TargetMode="External"/><Relationship Id="rId1118" Type="http://schemas.openxmlformats.org/officeDocument/2006/relationships/hyperlink" Target="http://twitter.com/michellemck0/statuses/1521052554863550464" TargetMode="External"/><Relationship Id="rId2449" Type="http://schemas.openxmlformats.org/officeDocument/2006/relationships/hyperlink" Target="http://pbs.twimg.com/profile_images/1155099521975803904/_xd-4Lre_normal.jpg" TargetMode="External"/><Relationship Id="rId1119" Type="http://schemas.openxmlformats.org/officeDocument/2006/relationships/hyperlink" Target="http://pbs.twimg.com/profile_images/1505996235488047116/11LYziu__normal.png" TargetMode="External"/><Relationship Id="rId525" Type="http://schemas.openxmlformats.org/officeDocument/2006/relationships/hyperlink" Target="http://pbs.twimg.com/profile_images/1082934788913270784/L6qmKbFO_normal.jpg" TargetMode="External"/><Relationship Id="rId524" Type="http://schemas.openxmlformats.org/officeDocument/2006/relationships/hyperlink" Target="http://twitter.com/devonguy02/statuses/1521064232816713728" TargetMode="External"/><Relationship Id="rId523" Type="http://schemas.openxmlformats.org/officeDocument/2006/relationships/hyperlink" Target="http://pbs.twimg.com/profile_images/1316359821/DSCF0007_1__normal.jpg" TargetMode="External"/><Relationship Id="rId522" Type="http://schemas.openxmlformats.org/officeDocument/2006/relationships/hyperlink" Target="http://twitter.com/AndIlkley/statuses/1521064259991576576" TargetMode="External"/><Relationship Id="rId529" Type="http://schemas.openxmlformats.org/officeDocument/2006/relationships/hyperlink" Target="http://pbs.twimg.com/profile_images/1031179793235099648/p66I0waA_normal.jpg" TargetMode="External"/><Relationship Id="rId528" Type="http://schemas.openxmlformats.org/officeDocument/2006/relationships/hyperlink" Target="http://twitter.com/Munku1/statuses/1521064174675271680" TargetMode="External"/><Relationship Id="rId527" Type="http://schemas.openxmlformats.org/officeDocument/2006/relationships/hyperlink" Target="http://pbs.twimg.com/profile_images/1414863375226580992/G4Ro5KR3_normal.jpg" TargetMode="External"/><Relationship Id="rId526" Type="http://schemas.openxmlformats.org/officeDocument/2006/relationships/hyperlink" Target="http://twitter.com/CarolEden7/statuses/1521064206812041216" TargetMode="External"/><Relationship Id="rId3771" Type="http://schemas.openxmlformats.org/officeDocument/2006/relationships/hyperlink" Target="http://pbs.twimg.com/profile_images/1497451318763528195/_-gxHfag_normal.jpg" TargetMode="External"/><Relationship Id="rId2440" Type="http://schemas.openxmlformats.org/officeDocument/2006/relationships/hyperlink" Target="http://twitter.com/2xDutch31/statuses/1521029817042452480" TargetMode="External"/><Relationship Id="rId3770" Type="http://schemas.openxmlformats.org/officeDocument/2006/relationships/hyperlink" Target="http://twitter.com/Maerdydd/statuses/1521005424169955330" TargetMode="External"/><Relationship Id="rId521" Type="http://schemas.openxmlformats.org/officeDocument/2006/relationships/hyperlink" Target="http://pbs.twimg.com/profile_images/1417118307631652871/7CoH_pYn_normal.jpg" TargetMode="External"/><Relationship Id="rId1110" Type="http://schemas.openxmlformats.org/officeDocument/2006/relationships/hyperlink" Target="http://twitter.com/bobyoungs6/statuses/1521052644348989442" TargetMode="External"/><Relationship Id="rId2441" Type="http://schemas.openxmlformats.org/officeDocument/2006/relationships/hyperlink" Target="http://pbs.twimg.com/profile_images/1193147824298434560/RwDv5bJm_normal.jpg" TargetMode="External"/><Relationship Id="rId3773" Type="http://schemas.openxmlformats.org/officeDocument/2006/relationships/hyperlink" Target="http://pbs.twimg.com/profile_images/1448987532234997775/4x3LDyFH_normal.jpg" TargetMode="External"/><Relationship Id="rId520" Type="http://schemas.openxmlformats.org/officeDocument/2006/relationships/hyperlink" Target="http://twitter.com/vinegarjoe10/statuses/1521064293734703109" TargetMode="External"/><Relationship Id="rId1111" Type="http://schemas.openxmlformats.org/officeDocument/2006/relationships/hyperlink" Target="http://pbs.twimg.com/profile_images/1064653076165009408/OpPT970Z_normal.jpg" TargetMode="External"/><Relationship Id="rId2442" Type="http://schemas.openxmlformats.org/officeDocument/2006/relationships/hyperlink" Target="http://twitter.com/RosStewart1/statuses/1521029771488108545" TargetMode="External"/><Relationship Id="rId3772" Type="http://schemas.openxmlformats.org/officeDocument/2006/relationships/hyperlink" Target="http://twitter.com/Warren1Point/statuses/1521005418230824960" TargetMode="External"/><Relationship Id="rId1112" Type="http://schemas.openxmlformats.org/officeDocument/2006/relationships/hyperlink" Target="http://twitter.com/BeesterGee/statuses/1521052605052596224" TargetMode="External"/><Relationship Id="rId2443" Type="http://schemas.openxmlformats.org/officeDocument/2006/relationships/hyperlink" Target="http://pbs.twimg.com/profile_images/805398090064756736/_c4rsRBV_normal.jpg" TargetMode="External"/><Relationship Id="rId3775" Type="http://schemas.openxmlformats.org/officeDocument/2006/relationships/hyperlink" Target="http://pbs.twimg.com/profile_images/1405384309066801154/O7gjQN6H_normal.jpg" TargetMode="External"/><Relationship Id="rId1113" Type="http://schemas.openxmlformats.org/officeDocument/2006/relationships/hyperlink" Target="http://pbs.twimg.com/profile_images/488292522146267137/zUmOwiiC_normal.jpeg" TargetMode="External"/><Relationship Id="rId2444" Type="http://schemas.openxmlformats.org/officeDocument/2006/relationships/hyperlink" Target="http://twitter.com/BlackGloves/statuses/1521029708795756544" TargetMode="External"/><Relationship Id="rId3774" Type="http://schemas.openxmlformats.org/officeDocument/2006/relationships/hyperlink" Target="http://twitter.com/JL_998/statuses/1521005408617484289" TargetMode="External"/><Relationship Id="rId1103" Type="http://schemas.openxmlformats.org/officeDocument/2006/relationships/hyperlink" Target="http://abs.twimg.com/sticky/default_profile_images/default_profile_normal.png" TargetMode="External"/><Relationship Id="rId2434" Type="http://schemas.openxmlformats.org/officeDocument/2006/relationships/hyperlink" Target="http://twitter.com/prestwichpig/statuses/1521029913213640704" TargetMode="External"/><Relationship Id="rId3766" Type="http://schemas.openxmlformats.org/officeDocument/2006/relationships/hyperlink" Target="http://twitter.com/mariamuser/statuses/1521005527773417476" TargetMode="External"/><Relationship Id="rId1104" Type="http://schemas.openxmlformats.org/officeDocument/2006/relationships/hyperlink" Target="http://twitter.com/Izzy92651441/statuses/1521052776708677633" TargetMode="External"/><Relationship Id="rId2435" Type="http://schemas.openxmlformats.org/officeDocument/2006/relationships/hyperlink" Target="http://pbs.twimg.com/profile_images/578452387440041984/4yJDQAn-_normal.jpeg" TargetMode="External"/><Relationship Id="rId3765" Type="http://schemas.openxmlformats.org/officeDocument/2006/relationships/hyperlink" Target="http://pbs.twimg.com/profile_images/1507197815532965889/CSGHCobB_normal.jpg" TargetMode="External"/><Relationship Id="rId1105" Type="http://schemas.openxmlformats.org/officeDocument/2006/relationships/hyperlink" Target="http://pbs.twimg.com/profile_images/1449627530194046978/INoLAgAe_normal.jpg" TargetMode="External"/><Relationship Id="rId2436" Type="http://schemas.openxmlformats.org/officeDocument/2006/relationships/hyperlink" Target="http://twitter.com/prestwichpig/statuses/1521029872331669506" TargetMode="External"/><Relationship Id="rId3768" Type="http://schemas.openxmlformats.org/officeDocument/2006/relationships/hyperlink" Target="http://twitter.com/JL_998/statuses/1521005525357506562" TargetMode="External"/><Relationship Id="rId1106" Type="http://schemas.openxmlformats.org/officeDocument/2006/relationships/hyperlink" Target="http://twitter.com/JayneCallagha10/statuses/1521052776566034433" TargetMode="External"/><Relationship Id="rId2437" Type="http://schemas.openxmlformats.org/officeDocument/2006/relationships/hyperlink" Target="http://pbs.twimg.com/profile_images/1348194595469991937/jbWNlblA_normal.jpg" TargetMode="External"/><Relationship Id="rId3767" Type="http://schemas.openxmlformats.org/officeDocument/2006/relationships/hyperlink" Target="http://pbs.twimg.com/profile_images/1448987532234997775/4x3LDyFH_normal.jpg" TargetMode="External"/><Relationship Id="rId1107" Type="http://schemas.openxmlformats.org/officeDocument/2006/relationships/hyperlink" Target="http://pbs.twimg.com/profile_images/1416887010892165127/J5jaKNGH_normal.jpg" TargetMode="External"/><Relationship Id="rId2438" Type="http://schemas.openxmlformats.org/officeDocument/2006/relationships/hyperlink" Target="http://twitter.com/frog_bum/statuses/1521029864484220928" TargetMode="External"/><Relationship Id="rId1108" Type="http://schemas.openxmlformats.org/officeDocument/2006/relationships/hyperlink" Target="http://twitter.com/BrexitPhobe/statuses/1521052772988243970" TargetMode="External"/><Relationship Id="rId2439" Type="http://schemas.openxmlformats.org/officeDocument/2006/relationships/hyperlink" Target="http://pbs.twimg.com/profile_images/937607586555326465/VXHH6Yus_normal.jpg" TargetMode="External"/><Relationship Id="rId3769" Type="http://schemas.openxmlformats.org/officeDocument/2006/relationships/hyperlink" Target="http://pbs.twimg.com/profile_images/1489892512995098625/vA_vbgCQ_normal.jpg" TargetMode="External"/><Relationship Id="rId1109" Type="http://schemas.openxmlformats.org/officeDocument/2006/relationships/hyperlink" Target="http://pbs.twimg.com/profile_images/1481755665077047301/9SM6l2tE_normal.jpg" TargetMode="External"/><Relationship Id="rId519" Type="http://schemas.openxmlformats.org/officeDocument/2006/relationships/hyperlink" Target="http://pbs.twimg.com/profile_images/1517765194713382912/2F9X2jfo_normal.jpg" TargetMode="External"/><Relationship Id="rId514" Type="http://schemas.openxmlformats.org/officeDocument/2006/relationships/hyperlink" Target="http://twitter.com/davidwaters79/statuses/1521064473641078786" TargetMode="External"/><Relationship Id="rId513" Type="http://schemas.openxmlformats.org/officeDocument/2006/relationships/hyperlink" Target="http://pbs.twimg.com/profile_images/1263472232019484684/-Vui4ADL_normal.jpg" TargetMode="External"/><Relationship Id="rId512" Type="http://schemas.openxmlformats.org/officeDocument/2006/relationships/hyperlink" Target="http://twitter.com/BakerMcGER/statuses/1521064511268085771" TargetMode="External"/><Relationship Id="rId511" Type="http://schemas.openxmlformats.org/officeDocument/2006/relationships/hyperlink" Target="http://pbs.twimg.com/profile_images/879275738402344960/cvlyauHo_normal.jpg" TargetMode="External"/><Relationship Id="rId518" Type="http://schemas.openxmlformats.org/officeDocument/2006/relationships/hyperlink" Target="http://twitter.com/Fionawinters6/statuses/1521064423703654400" TargetMode="External"/><Relationship Id="rId517" Type="http://schemas.openxmlformats.org/officeDocument/2006/relationships/hyperlink" Target="http://pbs.twimg.com/profile_images/1432280834422226945/MNKn5lMA_normal.jpg" TargetMode="External"/><Relationship Id="rId516" Type="http://schemas.openxmlformats.org/officeDocument/2006/relationships/hyperlink" Target="http://twitter.com/MrsArcanum/statuses/1521064442162778113" TargetMode="External"/><Relationship Id="rId515" Type="http://schemas.openxmlformats.org/officeDocument/2006/relationships/hyperlink" Target="http://pbs.twimg.com/profile_images/1502608393982431234/WrXaOfZk_normal.jpg" TargetMode="External"/><Relationship Id="rId3760" Type="http://schemas.openxmlformats.org/officeDocument/2006/relationships/hyperlink" Target="http://twitter.com/JL_998/statuses/1521005724020715520" TargetMode="External"/><Relationship Id="rId510" Type="http://schemas.openxmlformats.org/officeDocument/2006/relationships/hyperlink" Target="http://twitter.com/chirpychappy1/statuses/1521064550761652225" TargetMode="External"/><Relationship Id="rId2430" Type="http://schemas.openxmlformats.org/officeDocument/2006/relationships/hyperlink" Target="http://twitter.com/prestwichpig/statuses/1521029937087631360" TargetMode="External"/><Relationship Id="rId3762" Type="http://schemas.openxmlformats.org/officeDocument/2006/relationships/hyperlink" Target="http://twitter.com/elibo_17/statuses/1521005620949831680" TargetMode="External"/><Relationship Id="rId1100" Type="http://schemas.openxmlformats.org/officeDocument/2006/relationships/hyperlink" Target="http://twitter.com/AudreyParmtier/statuses/1521052917427490816" TargetMode="External"/><Relationship Id="rId2431" Type="http://schemas.openxmlformats.org/officeDocument/2006/relationships/hyperlink" Target="http://pbs.twimg.com/profile_images/1264544735533903873/GooqCZV-_normal.jpg" TargetMode="External"/><Relationship Id="rId3761" Type="http://schemas.openxmlformats.org/officeDocument/2006/relationships/hyperlink" Target="http://pbs.twimg.com/profile_images/1413628983703396354/i1kkEmZQ_normal.jpg" TargetMode="External"/><Relationship Id="rId1101" Type="http://schemas.openxmlformats.org/officeDocument/2006/relationships/hyperlink" Target="http://pbs.twimg.com/profile_images/1335932582391918599/VCGY7sp8_normal.jpg" TargetMode="External"/><Relationship Id="rId2432" Type="http://schemas.openxmlformats.org/officeDocument/2006/relationships/hyperlink" Target="http://twitter.com/RTaylor_LibDem/statuses/1521029922428534784" TargetMode="External"/><Relationship Id="rId3764" Type="http://schemas.openxmlformats.org/officeDocument/2006/relationships/hyperlink" Target="http://twitter.com/JulieBJewellery/statuses/1521005611156131841" TargetMode="External"/><Relationship Id="rId1102" Type="http://schemas.openxmlformats.org/officeDocument/2006/relationships/hyperlink" Target="http://twitter.com/Gmcswineyyy/statuses/1521052803686445056" TargetMode="External"/><Relationship Id="rId2433" Type="http://schemas.openxmlformats.org/officeDocument/2006/relationships/hyperlink" Target="http://pbs.twimg.com/profile_images/578452387440041984/4yJDQAn-_normal.jpeg" TargetMode="External"/><Relationship Id="rId3763" Type="http://schemas.openxmlformats.org/officeDocument/2006/relationships/hyperlink" Target="http://pbs.twimg.com/profile_images/1350406548984500225/ls3sOmBf_normal.png" TargetMode="External"/><Relationship Id="rId3711" Type="http://schemas.openxmlformats.org/officeDocument/2006/relationships/hyperlink" Target="http://pbs.twimg.com/profile_images/1010575830555258880/9WsYHLQX_normal.jpg" TargetMode="External"/><Relationship Id="rId3710" Type="http://schemas.openxmlformats.org/officeDocument/2006/relationships/hyperlink" Target="http://twitter.com/abbyaug/statuses/1521006783321579520" TargetMode="External"/><Relationship Id="rId3713" Type="http://schemas.openxmlformats.org/officeDocument/2006/relationships/hyperlink" Target="http://pbs.twimg.com/profile_images/892441715872866304/2JM6P2F__normal.jpg" TargetMode="External"/><Relationship Id="rId3712" Type="http://schemas.openxmlformats.org/officeDocument/2006/relationships/hyperlink" Target="http://twitter.com/stultarna/statuses/1521006775012626435" TargetMode="External"/><Relationship Id="rId3715" Type="http://schemas.openxmlformats.org/officeDocument/2006/relationships/hyperlink" Target="http://pbs.twimg.com/profile_images/264443839/standfreewithIran_bigger_bigger_normal.jpg" TargetMode="External"/><Relationship Id="rId3714" Type="http://schemas.openxmlformats.org/officeDocument/2006/relationships/hyperlink" Target="http://twitter.com/WilliamMcGowa15/statuses/1521006769518043136" TargetMode="External"/><Relationship Id="rId3717" Type="http://schemas.openxmlformats.org/officeDocument/2006/relationships/hyperlink" Target="http://pbs.twimg.com/profile_images/892441715872866304/2JM6P2F__normal.jpg" TargetMode="External"/><Relationship Id="rId3716" Type="http://schemas.openxmlformats.org/officeDocument/2006/relationships/hyperlink" Target="http://twitter.com/freeWorld2/statuses/1521006743165313025" TargetMode="External"/><Relationship Id="rId3719" Type="http://schemas.openxmlformats.org/officeDocument/2006/relationships/hyperlink" Target="http://pbs.twimg.com/profile_images/1340954609620283395/jMMs99Qi_normal.jpg" TargetMode="External"/><Relationship Id="rId3718" Type="http://schemas.openxmlformats.org/officeDocument/2006/relationships/hyperlink" Target="http://twitter.com/WilliamMcGowa15/statuses/1521006649904926721" TargetMode="External"/><Relationship Id="rId3700" Type="http://schemas.openxmlformats.org/officeDocument/2006/relationships/hyperlink" Target="http://twitter.com/proknifesharpe/statuses/1521006954260443137" TargetMode="External"/><Relationship Id="rId3702" Type="http://schemas.openxmlformats.org/officeDocument/2006/relationships/hyperlink" Target="http://twitter.com/Renaultgek/statuses/1521006931518935040" TargetMode="External"/><Relationship Id="rId3701" Type="http://schemas.openxmlformats.org/officeDocument/2006/relationships/hyperlink" Target="http://pbs.twimg.com/profile_images/1456902106691026947/lS4kGa4O_normal.jpg" TargetMode="External"/><Relationship Id="rId3704" Type="http://schemas.openxmlformats.org/officeDocument/2006/relationships/hyperlink" Target="http://twitter.com/BrightonBoothy/statuses/1521006867748724736" TargetMode="External"/><Relationship Id="rId3703" Type="http://schemas.openxmlformats.org/officeDocument/2006/relationships/hyperlink" Target="http://pbs.twimg.com/profile_images/1385100489298165760/EqIvb9g__normal.jpg" TargetMode="External"/><Relationship Id="rId3706" Type="http://schemas.openxmlformats.org/officeDocument/2006/relationships/hyperlink" Target="http://twitter.com/WilliamMcGowa15/statuses/1521006812195180544" TargetMode="External"/><Relationship Id="rId3705" Type="http://schemas.openxmlformats.org/officeDocument/2006/relationships/hyperlink" Target="http://pbs.twimg.com/profile_images/892441715872866304/2JM6P2F__normal.jpg" TargetMode="External"/><Relationship Id="rId3708" Type="http://schemas.openxmlformats.org/officeDocument/2006/relationships/hyperlink" Target="http://twitter.com/abbyaug/statuses/1521006805861687296" TargetMode="External"/><Relationship Id="rId3707" Type="http://schemas.openxmlformats.org/officeDocument/2006/relationships/hyperlink" Target="http://pbs.twimg.com/profile_images/1519725820482396163/KV_ARzlq_normal.jpg" TargetMode="External"/><Relationship Id="rId3709" Type="http://schemas.openxmlformats.org/officeDocument/2006/relationships/hyperlink" Target="http://pbs.twimg.com/profile_images/1519725820482396163/KV_ARzlq_normal.jpg" TargetMode="External"/><Relationship Id="rId2401" Type="http://schemas.openxmlformats.org/officeDocument/2006/relationships/hyperlink" Target="http://pbs.twimg.com/profile_images/1498348134950395910/rgW3YNg6_normal.jpg" TargetMode="External"/><Relationship Id="rId3733" Type="http://schemas.openxmlformats.org/officeDocument/2006/relationships/hyperlink" Target="http://pbs.twimg.com/profile_images/1432280732647440385/IVyi8O5S_normal.jpg" TargetMode="External"/><Relationship Id="rId2402" Type="http://schemas.openxmlformats.org/officeDocument/2006/relationships/hyperlink" Target="http://twitter.com/ianvward/statuses/1521030496238637056" TargetMode="External"/><Relationship Id="rId3732" Type="http://schemas.openxmlformats.org/officeDocument/2006/relationships/hyperlink" Target="http://twitter.com/Keiradior2M/statuses/1521006419771895808" TargetMode="External"/><Relationship Id="rId2403" Type="http://schemas.openxmlformats.org/officeDocument/2006/relationships/hyperlink" Target="http://abs.twimg.com/sticky/default_profile_images/default_profile_normal.png" TargetMode="External"/><Relationship Id="rId3735" Type="http://schemas.openxmlformats.org/officeDocument/2006/relationships/hyperlink" Target="http://abs.twimg.com/sticky/default_profile_images/default_profile_normal.png" TargetMode="External"/><Relationship Id="rId2404" Type="http://schemas.openxmlformats.org/officeDocument/2006/relationships/hyperlink" Target="http://twitter.com/loyden60/statuses/1521030486625300480" TargetMode="External"/><Relationship Id="rId3734" Type="http://schemas.openxmlformats.org/officeDocument/2006/relationships/hyperlink" Target="http://twitter.com/Dorothy97638586/statuses/1521006418358415360" TargetMode="External"/><Relationship Id="rId2405" Type="http://schemas.openxmlformats.org/officeDocument/2006/relationships/hyperlink" Target="http://pbs.twimg.com/profile_images/474615452094562304/P7YfxN7X_normal.jpeg" TargetMode="External"/><Relationship Id="rId3737" Type="http://schemas.openxmlformats.org/officeDocument/2006/relationships/hyperlink" Target="http://pbs.twimg.com/profile_images/1199267692265562114/1YiskGIi_normal.jpg" TargetMode="External"/><Relationship Id="rId2406" Type="http://schemas.openxmlformats.org/officeDocument/2006/relationships/hyperlink" Target="http://twitter.com/geoffh33/statuses/1521030463967662080" TargetMode="External"/><Relationship Id="rId3736" Type="http://schemas.openxmlformats.org/officeDocument/2006/relationships/hyperlink" Target="http://twitter.com/vickyjane261/statuses/1521006391439335425" TargetMode="External"/><Relationship Id="rId2407" Type="http://schemas.openxmlformats.org/officeDocument/2006/relationships/hyperlink" Target="http://pbs.twimg.com/profile_images/1155099521975803904/_xd-4Lre_normal.jpg" TargetMode="External"/><Relationship Id="rId3739" Type="http://schemas.openxmlformats.org/officeDocument/2006/relationships/hyperlink" Target="http://pbs.twimg.com/profile_images/1199267692265562114/1YiskGIi_normal.jpg" TargetMode="External"/><Relationship Id="rId2408" Type="http://schemas.openxmlformats.org/officeDocument/2006/relationships/hyperlink" Target="http://twitter.com/BtaD42255016/statuses/1521030405385822208" TargetMode="External"/><Relationship Id="rId3738" Type="http://schemas.openxmlformats.org/officeDocument/2006/relationships/hyperlink" Target="http://twitter.com/BrainColne/statuses/1521006264440000514" TargetMode="External"/><Relationship Id="rId2409" Type="http://schemas.openxmlformats.org/officeDocument/2006/relationships/hyperlink" Target="http://pbs.twimg.com/profile_images/1265960487650570245/NXHcJZVm_normal.jpg" TargetMode="External"/><Relationship Id="rId3731" Type="http://schemas.openxmlformats.org/officeDocument/2006/relationships/hyperlink" Target="http://pbs.twimg.com/profile_images/1511723129290297353/5TcTP15q_normal.jpg" TargetMode="External"/><Relationship Id="rId2400" Type="http://schemas.openxmlformats.org/officeDocument/2006/relationships/hyperlink" Target="http://twitter.com/Wicksylax/statuses/1521030531487522816" TargetMode="External"/><Relationship Id="rId3730" Type="http://schemas.openxmlformats.org/officeDocument/2006/relationships/hyperlink" Target="http://twitter.com/vickyjane261/statuses/1521006440302981120" TargetMode="External"/><Relationship Id="rId3722" Type="http://schemas.openxmlformats.org/officeDocument/2006/relationships/hyperlink" Target="http://twitter.com/WilliamMcGowa15/statuses/1521006588722663426" TargetMode="External"/><Relationship Id="rId3721" Type="http://schemas.openxmlformats.org/officeDocument/2006/relationships/hyperlink" Target="http://pbs.twimg.com/profile_images/892441715872866304/2JM6P2F__normal.jpg" TargetMode="External"/><Relationship Id="rId3724" Type="http://schemas.openxmlformats.org/officeDocument/2006/relationships/hyperlink" Target="http://twitter.com/WilliamMcGowa15/statuses/1521006500264792064" TargetMode="External"/><Relationship Id="rId3723" Type="http://schemas.openxmlformats.org/officeDocument/2006/relationships/hyperlink" Target="http://pbs.twimg.com/profile_images/892441715872866304/2JM6P2F__normal.jpg" TargetMode="External"/><Relationship Id="rId3726" Type="http://schemas.openxmlformats.org/officeDocument/2006/relationships/hyperlink" Target="http://twitter.com/Slimbarry2/statuses/1521006488650665991" TargetMode="External"/><Relationship Id="rId3725" Type="http://schemas.openxmlformats.org/officeDocument/2006/relationships/hyperlink" Target="http://pbs.twimg.com/profile_images/1421092845029634053/MwAQw31Z_normal.jpg" TargetMode="External"/><Relationship Id="rId3728" Type="http://schemas.openxmlformats.org/officeDocument/2006/relationships/hyperlink" Target="http://twitter.com/vickyjane261/statuses/1521006468098572288" TargetMode="External"/><Relationship Id="rId3727" Type="http://schemas.openxmlformats.org/officeDocument/2006/relationships/hyperlink" Target="http://abs.twimg.com/sticky/default_profile_images/default_profile_normal.png" TargetMode="External"/><Relationship Id="rId3729" Type="http://schemas.openxmlformats.org/officeDocument/2006/relationships/hyperlink" Target="http://abs.twimg.com/sticky/default_profile_images/default_profile_normal.png" TargetMode="External"/><Relationship Id="rId3720" Type="http://schemas.openxmlformats.org/officeDocument/2006/relationships/hyperlink" Target="http://twitter.com/PaulGir80767244/statuses/1521006593223102464" TargetMode="External"/><Relationship Id="rId4206" Type="http://schemas.openxmlformats.org/officeDocument/2006/relationships/hyperlink" Target="http://twitter.com/DotLepkowska/statuses/1520989754388537350" TargetMode="External"/><Relationship Id="rId5538" Type="http://schemas.openxmlformats.org/officeDocument/2006/relationships/hyperlink" Target="http://twitter.com/WelshOfTheWest/statuses/1520890833049993221" TargetMode="External"/><Relationship Id="rId4205" Type="http://schemas.openxmlformats.org/officeDocument/2006/relationships/hyperlink" Target="http://pbs.twimg.com/profile_images/1508910739888689158/f7phkM7l_normal.jpg" TargetMode="External"/><Relationship Id="rId5539" Type="http://schemas.openxmlformats.org/officeDocument/2006/relationships/hyperlink" Target="http://pbs.twimg.com/profile_images/1420476087990112256/_zo2Ank2_normal.jpg" TargetMode="External"/><Relationship Id="rId4208" Type="http://schemas.openxmlformats.org/officeDocument/2006/relationships/hyperlink" Target="http://twitter.com/etxberria55/statuses/1520989647974903812" TargetMode="External"/><Relationship Id="rId5536" Type="http://schemas.openxmlformats.org/officeDocument/2006/relationships/hyperlink" Target="http://twitter.com/jagxjr40/statuses/1520890962087657472" TargetMode="External"/><Relationship Id="rId4207" Type="http://schemas.openxmlformats.org/officeDocument/2006/relationships/hyperlink" Target="http://pbs.twimg.com/profile_images/1008085368518905858/jkZt9ARv_normal.jpg" TargetMode="External"/><Relationship Id="rId5537" Type="http://schemas.openxmlformats.org/officeDocument/2006/relationships/hyperlink" Target="http://pbs.twimg.com/profile_images/1020053959745179648/HjeycSjk_normal.jpg" TargetMode="External"/><Relationship Id="rId590" Type="http://schemas.openxmlformats.org/officeDocument/2006/relationships/hyperlink" Target="http://twitter.com/Eastwood12Colin/statuses/1521062854073499648" TargetMode="External"/><Relationship Id="rId4209" Type="http://schemas.openxmlformats.org/officeDocument/2006/relationships/hyperlink" Target="http://pbs.twimg.com/profile_images/1089543338171219968/kDciRS8V_normal.jpg" TargetMode="External"/><Relationship Id="rId589" Type="http://schemas.openxmlformats.org/officeDocument/2006/relationships/hyperlink" Target="http://abs.twimg.com/sticky/default_profile_images/default_profile_normal.png" TargetMode="External"/><Relationship Id="rId588" Type="http://schemas.openxmlformats.org/officeDocument/2006/relationships/hyperlink" Target="http://twitter.com/chloe4711/statuses/1521062890752684033" TargetMode="External"/><Relationship Id="rId1170" Type="http://schemas.openxmlformats.org/officeDocument/2006/relationships/hyperlink" Target="http://twitter.com/JenFullick/statuses/1521051958055952384" TargetMode="External"/><Relationship Id="rId1171" Type="http://schemas.openxmlformats.org/officeDocument/2006/relationships/hyperlink" Target="http://pbs.twimg.com/profile_images/1479792120600932354/0s-4LIct_normal.jpg" TargetMode="External"/><Relationship Id="rId583" Type="http://schemas.openxmlformats.org/officeDocument/2006/relationships/hyperlink" Target="http://pbs.twimg.com/profile_images/892795702069182464/k4sTQF9N_normal.jpg" TargetMode="External"/><Relationship Id="rId1172" Type="http://schemas.openxmlformats.org/officeDocument/2006/relationships/hyperlink" Target="http://twitter.com/Andy_g1979/statuses/1521051921976643586" TargetMode="External"/><Relationship Id="rId5530" Type="http://schemas.openxmlformats.org/officeDocument/2006/relationships/hyperlink" Target="http://twitter.com/jagxjr40/statuses/1520890988218232832" TargetMode="External"/><Relationship Id="rId582" Type="http://schemas.openxmlformats.org/officeDocument/2006/relationships/hyperlink" Target="http://twitter.com/CenGinLondon/statuses/1521062984436621312" TargetMode="External"/><Relationship Id="rId1173" Type="http://schemas.openxmlformats.org/officeDocument/2006/relationships/hyperlink" Target="http://pbs.twimg.com/profile_images/1346223712891248646/F0k9GOFY_normal.jpg" TargetMode="External"/><Relationship Id="rId5531" Type="http://schemas.openxmlformats.org/officeDocument/2006/relationships/hyperlink" Target="http://pbs.twimg.com/profile_images/1480916916034318350/FArn408o_normal.jpg" TargetMode="External"/><Relationship Id="rId581" Type="http://schemas.openxmlformats.org/officeDocument/2006/relationships/hyperlink" Target="http://pbs.twimg.com/profile_images/1210965979116834821/2I0BOOtg_normal.jpg" TargetMode="External"/><Relationship Id="rId1174" Type="http://schemas.openxmlformats.org/officeDocument/2006/relationships/hyperlink" Target="http://twitter.com/KeithJDenny1/statuses/1521051871061979136" TargetMode="External"/><Relationship Id="rId4200" Type="http://schemas.openxmlformats.org/officeDocument/2006/relationships/hyperlink" Target="http://twitter.com/fxstreetcn/statuses/1520990491252297728" TargetMode="External"/><Relationship Id="rId580" Type="http://schemas.openxmlformats.org/officeDocument/2006/relationships/hyperlink" Target="http://twitter.com/Phoeboise/statuses/1521063056624832512" TargetMode="External"/><Relationship Id="rId1175" Type="http://schemas.openxmlformats.org/officeDocument/2006/relationships/hyperlink" Target="http://pbs.twimg.com/profile_images/997389252441919488/jGv4oBgD_normal.jpg" TargetMode="External"/><Relationship Id="rId587" Type="http://schemas.openxmlformats.org/officeDocument/2006/relationships/hyperlink" Target="http://pbs.twimg.com/profile_images/1231263474942173184/sujwIENQ_normal.jpg" TargetMode="External"/><Relationship Id="rId1176" Type="http://schemas.openxmlformats.org/officeDocument/2006/relationships/hyperlink" Target="http://twitter.com/bmetwit/statuses/1521051783434575874" TargetMode="External"/><Relationship Id="rId4202" Type="http://schemas.openxmlformats.org/officeDocument/2006/relationships/hyperlink" Target="http://twitter.com/marsdinon/statuses/1520990437485461506" TargetMode="External"/><Relationship Id="rId5534" Type="http://schemas.openxmlformats.org/officeDocument/2006/relationships/hyperlink" Target="http://twitter.com/EdWard40100035/statuses/1520890967947194372" TargetMode="External"/><Relationship Id="rId586" Type="http://schemas.openxmlformats.org/officeDocument/2006/relationships/hyperlink" Target="http://twitter.com/ironknee61/statuses/1521062905243914240" TargetMode="External"/><Relationship Id="rId1177" Type="http://schemas.openxmlformats.org/officeDocument/2006/relationships/hyperlink" Target="http://pbs.twimg.com/profile_images/1492493614613680131/WLxHfTsQ_normal.jpg" TargetMode="External"/><Relationship Id="rId4201" Type="http://schemas.openxmlformats.org/officeDocument/2006/relationships/hyperlink" Target="http://pbs.twimg.com/profile_images/1249268622712868864/xEDyY2fi_normal.jpg" TargetMode="External"/><Relationship Id="rId5535" Type="http://schemas.openxmlformats.org/officeDocument/2006/relationships/hyperlink" Target="http://abs.twimg.com/sticky/default_profile_images/default_profile_normal.png" TargetMode="External"/><Relationship Id="rId585" Type="http://schemas.openxmlformats.org/officeDocument/2006/relationships/hyperlink" Target="http://pbs.twimg.com/profile_images/1360461045467394048/fBB8YKoP_normal.jpg" TargetMode="External"/><Relationship Id="rId1178" Type="http://schemas.openxmlformats.org/officeDocument/2006/relationships/hyperlink" Target="http://twitter.com/BhavnaSaint/statuses/1521051735543975939" TargetMode="External"/><Relationship Id="rId4204" Type="http://schemas.openxmlformats.org/officeDocument/2006/relationships/hyperlink" Target="http://twitter.com/EliasMichalas/statuses/1520990016641634305" TargetMode="External"/><Relationship Id="rId5532" Type="http://schemas.openxmlformats.org/officeDocument/2006/relationships/hyperlink" Target="http://twitter.com/TheSirFin/statuses/1520890983667359744" TargetMode="External"/><Relationship Id="rId584" Type="http://schemas.openxmlformats.org/officeDocument/2006/relationships/hyperlink" Target="http://twitter.com/CentralPlanner9/statuses/1521062927012356096" TargetMode="External"/><Relationship Id="rId1179" Type="http://schemas.openxmlformats.org/officeDocument/2006/relationships/hyperlink" Target="http://abs.twimg.com/sticky/default_profile_images/default_profile_normal.png" TargetMode="External"/><Relationship Id="rId4203" Type="http://schemas.openxmlformats.org/officeDocument/2006/relationships/hyperlink" Target="http://pbs.twimg.com/profile_images/1372274219/me_normal.jpg" TargetMode="External"/><Relationship Id="rId5533" Type="http://schemas.openxmlformats.org/officeDocument/2006/relationships/hyperlink" Target="http://pbs.twimg.com/profile_images/1520362457570721792/nCyOEOSU_normal.jpg" TargetMode="External"/><Relationship Id="rId1169" Type="http://schemas.openxmlformats.org/officeDocument/2006/relationships/hyperlink" Target="http://pbs.twimg.com/profile_images/1376632009351643140/pCNcdjHX_normal.jpg" TargetMode="External"/><Relationship Id="rId5527" Type="http://schemas.openxmlformats.org/officeDocument/2006/relationships/hyperlink" Target="http://abs.twimg.com/sticky/default_profile_images/default_profile_normal.png" TargetMode="External"/><Relationship Id="rId5528" Type="http://schemas.openxmlformats.org/officeDocument/2006/relationships/hyperlink" Target="http://twitter.com/FJ731/statuses/1520891021101522945" TargetMode="External"/><Relationship Id="rId5525" Type="http://schemas.openxmlformats.org/officeDocument/2006/relationships/hyperlink" Target="http://pbs.twimg.com/profile_images/1419374422213939200/me6zRoL6_normal.jpg" TargetMode="External"/><Relationship Id="rId5526" Type="http://schemas.openxmlformats.org/officeDocument/2006/relationships/hyperlink" Target="http://twitter.com/BoopHawke/statuses/1520891152228143104" TargetMode="External"/><Relationship Id="rId5529" Type="http://schemas.openxmlformats.org/officeDocument/2006/relationships/hyperlink" Target="http://abs.twimg.com/sticky/default_profile_images/default_profile_normal.png" TargetMode="External"/><Relationship Id="rId579" Type="http://schemas.openxmlformats.org/officeDocument/2006/relationships/hyperlink" Target="http://pbs.twimg.com/profile_images/1499868138623614976/azJo41GS_normal.jpg" TargetMode="External"/><Relationship Id="rId578" Type="http://schemas.openxmlformats.org/officeDocument/2006/relationships/hyperlink" Target="http://twitter.com/paulhaganrea/statuses/1521063093329178631" TargetMode="External"/><Relationship Id="rId577" Type="http://schemas.openxmlformats.org/officeDocument/2006/relationships/hyperlink" Target="http://pbs.twimg.com/profile_images/1400341498110042113/cfhrUTUJ_normal.jpg" TargetMode="External"/><Relationship Id="rId2490" Type="http://schemas.openxmlformats.org/officeDocument/2006/relationships/hyperlink" Target="http://twitter.com/UH60Andy/statuses/1521028924007927808" TargetMode="External"/><Relationship Id="rId1160" Type="http://schemas.openxmlformats.org/officeDocument/2006/relationships/hyperlink" Target="http://twitter.com/bronwengwriter/statuses/1521052047281463296" TargetMode="External"/><Relationship Id="rId2491" Type="http://schemas.openxmlformats.org/officeDocument/2006/relationships/hyperlink" Target="http://pbs.twimg.com/profile_images/1372429679450333185/wE8KVmke_normal.jpg" TargetMode="External"/><Relationship Id="rId572" Type="http://schemas.openxmlformats.org/officeDocument/2006/relationships/hyperlink" Target="http://twitter.com/BawsmanJJ/statuses/1521063308794773504" TargetMode="External"/><Relationship Id="rId1161" Type="http://schemas.openxmlformats.org/officeDocument/2006/relationships/hyperlink" Target="http://pbs.twimg.com/profile_images/1496896832454205445/_rmoCRQV_normal.jpg" TargetMode="External"/><Relationship Id="rId2492" Type="http://schemas.openxmlformats.org/officeDocument/2006/relationships/hyperlink" Target="http://twitter.com/NissanEVuk/statuses/1521028909151801345" TargetMode="External"/><Relationship Id="rId571" Type="http://schemas.openxmlformats.org/officeDocument/2006/relationships/hyperlink" Target="http://pbs.twimg.com/profile_images/1499335559273140226/ybBx1qYk_normal.jpg" TargetMode="External"/><Relationship Id="rId1162" Type="http://schemas.openxmlformats.org/officeDocument/2006/relationships/hyperlink" Target="http://twitter.com/bronwengwriter/statuses/1521052031372480513" TargetMode="External"/><Relationship Id="rId2493" Type="http://schemas.openxmlformats.org/officeDocument/2006/relationships/hyperlink" Target="http://pbs.twimg.com/profile_images/1298565607856766977/xpB3D7DY_normal.jpg" TargetMode="External"/><Relationship Id="rId5520" Type="http://schemas.openxmlformats.org/officeDocument/2006/relationships/hyperlink" Target="http://twitter.com/simeoncho/statuses/1520891243047407616" TargetMode="External"/><Relationship Id="rId570" Type="http://schemas.openxmlformats.org/officeDocument/2006/relationships/hyperlink" Target="http://twitter.com/BakerMcGER/statuses/1521063397307072512" TargetMode="External"/><Relationship Id="rId1163" Type="http://schemas.openxmlformats.org/officeDocument/2006/relationships/hyperlink" Target="http://pbs.twimg.com/profile_images/1496896832454205445/_rmoCRQV_normal.jpg" TargetMode="External"/><Relationship Id="rId2494" Type="http://schemas.openxmlformats.org/officeDocument/2006/relationships/hyperlink" Target="http://twitter.com/muttleyarsenal9/statuses/1521028770722992128" TargetMode="External"/><Relationship Id="rId1164" Type="http://schemas.openxmlformats.org/officeDocument/2006/relationships/hyperlink" Target="http://twitter.com/bronwengwriter/statuses/1521052014419099648" TargetMode="External"/><Relationship Id="rId2495" Type="http://schemas.openxmlformats.org/officeDocument/2006/relationships/hyperlink" Target="http://pbs.twimg.com/profile_images/1492589573012176896/TE8NVtgv_normal.jpg" TargetMode="External"/><Relationship Id="rId576" Type="http://schemas.openxmlformats.org/officeDocument/2006/relationships/hyperlink" Target="http://twitter.com/A_HORDE_OF_CATS/statuses/1521063254650507265" TargetMode="External"/><Relationship Id="rId1165" Type="http://schemas.openxmlformats.org/officeDocument/2006/relationships/hyperlink" Target="http://pbs.twimg.com/profile_images/1192410824888991744/QuTbKgbD_normal.jpg" TargetMode="External"/><Relationship Id="rId2496" Type="http://schemas.openxmlformats.org/officeDocument/2006/relationships/hyperlink" Target="http://twitter.com/AudreyCowling/statuses/1521028762669879298" TargetMode="External"/><Relationship Id="rId5523" Type="http://schemas.openxmlformats.org/officeDocument/2006/relationships/hyperlink" Target="http://pbs.twimg.com/profile_images/1407331428463955991/sRWO3J88_normal.jpg" TargetMode="External"/><Relationship Id="rId575" Type="http://schemas.openxmlformats.org/officeDocument/2006/relationships/hyperlink" Target="http://pbs.twimg.com/profile_images/1504139248156479489/SPBRBk19_normal.jpg" TargetMode="External"/><Relationship Id="rId1166" Type="http://schemas.openxmlformats.org/officeDocument/2006/relationships/hyperlink" Target="http://twitter.com/LaCheshireChat/statuses/1521051993791504390" TargetMode="External"/><Relationship Id="rId2497" Type="http://schemas.openxmlformats.org/officeDocument/2006/relationships/hyperlink" Target="http://pbs.twimg.com/profile_images/1205757087067889666/N7dXZwEQ_normal.jpg" TargetMode="External"/><Relationship Id="rId5524" Type="http://schemas.openxmlformats.org/officeDocument/2006/relationships/hyperlink" Target="http://twitter.com/Silklink/statuses/1520891154899902465" TargetMode="External"/><Relationship Id="rId574" Type="http://schemas.openxmlformats.org/officeDocument/2006/relationships/hyperlink" Target="http://twitter.com/bloggerheads/statuses/1521063303300145152" TargetMode="External"/><Relationship Id="rId1167" Type="http://schemas.openxmlformats.org/officeDocument/2006/relationships/hyperlink" Target="http://pbs.twimg.com/profile_images/782517021586104320/RLDnnJf6_normal.jpg" TargetMode="External"/><Relationship Id="rId2498" Type="http://schemas.openxmlformats.org/officeDocument/2006/relationships/hyperlink" Target="http://twitter.com/lyn_ambrose/statuses/1521028762359508997" TargetMode="External"/><Relationship Id="rId5521" Type="http://schemas.openxmlformats.org/officeDocument/2006/relationships/hyperlink" Target="http://pbs.twimg.com/profile_images/3614599410/cccbb81856e001229e665eee02937339_normal.jpeg" TargetMode="External"/><Relationship Id="rId573" Type="http://schemas.openxmlformats.org/officeDocument/2006/relationships/hyperlink" Target="http://pbs.twimg.com/profile_images/1457861383790411776/d6xWjIBY_normal.jpg" TargetMode="External"/><Relationship Id="rId1168" Type="http://schemas.openxmlformats.org/officeDocument/2006/relationships/hyperlink" Target="http://twitter.com/Lifelandlady/statuses/1521051993581752322" TargetMode="External"/><Relationship Id="rId2499" Type="http://schemas.openxmlformats.org/officeDocument/2006/relationships/hyperlink" Target="http://pbs.twimg.com/profile_images/1384141550251221002/B4dkaZIS_normal.jpg" TargetMode="External"/><Relationship Id="rId5522" Type="http://schemas.openxmlformats.org/officeDocument/2006/relationships/hyperlink" Target="http://twitter.com/elgarado/statuses/1520891237280190465" TargetMode="External"/><Relationship Id="rId4228" Type="http://schemas.openxmlformats.org/officeDocument/2006/relationships/hyperlink" Target="http://twitter.com/therealdaverich/statuses/1520987778628083712" TargetMode="External"/><Relationship Id="rId4227" Type="http://schemas.openxmlformats.org/officeDocument/2006/relationships/hyperlink" Target="http://pbs.twimg.com/profile_images/1440675686507712514/4zsQO7BI_normal.jpg" TargetMode="External"/><Relationship Id="rId5558" Type="http://schemas.openxmlformats.org/officeDocument/2006/relationships/hyperlink" Target="http://twitter.com/Johnmfitzp/statuses/1520890222556426240" TargetMode="External"/><Relationship Id="rId4229" Type="http://schemas.openxmlformats.org/officeDocument/2006/relationships/hyperlink" Target="http://pbs.twimg.com/profile_images/1516377975473721350/iT2w41cM_normal.jpg" TargetMode="External"/><Relationship Id="rId5559" Type="http://schemas.openxmlformats.org/officeDocument/2006/relationships/hyperlink" Target="http://pbs.twimg.com/profile_images/378800000608699780/0756f5501f62118cc0199e03e5c52a25_normal.jpeg" TargetMode="External"/><Relationship Id="rId1190" Type="http://schemas.openxmlformats.org/officeDocument/2006/relationships/hyperlink" Target="http://twitter.com/isthisab0t/statuses/1521051630241783808" TargetMode="External"/><Relationship Id="rId1191" Type="http://schemas.openxmlformats.org/officeDocument/2006/relationships/hyperlink" Target="http://pbs.twimg.com/profile_images/868951601146458116/z_dBb5vv_normal.jpg" TargetMode="External"/><Relationship Id="rId1192" Type="http://schemas.openxmlformats.org/officeDocument/2006/relationships/hyperlink" Target="http://twitter.com/connolly_lg/statuses/1521051628228521984" TargetMode="External"/><Relationship Id="rId1193" Type="http://schemas.openxmlformats.org/officeDocument/2006/relationships/hyperlink" Target="http://pbs.twimg.com/profile_images/1489970550801846283/O9Hf-tyw_normal.jpg" TargetMode="External"/><Relationship Id="rId1194" Type="http://schemas.openxmlformats.org/officeDocument/2006/relationships/hyperlink" Target="http://twitter.com/AlbaAyrshire/statuses/1521051618900328449" TargetMode="External"/><Relationship Id="rId4220" Type="http://schemas.openxmlformats.org/officeDocument/2006/relationships/hyperlink" Target="http://twitter.com/BonaparteFabri1/statuses/1520988493534482433" TargetMode="External"/><Relationship Id="rId5552" Type="http://schemas.openxmlformats.org/officeDocument/2006/relationships/hyperlink" Target="http://twitter.com/SBarutta/statuses/1520890445815033857" TargetMode="External"/><Relationship Id="rId1195" Type="http://schemas.openxmlformats.org/officeDocument/2006/relationships/hyperlink" Target="http://pbs.twimg.com/profile_images/868951601146458116/z_dBb5vv_normal.jpg" TargetMode="External"/><Relationship Id="rId5553" Type="http://schemas.openxmlformats.org/officeDocument/2006/relationships/hyperlink" Target="http://pbs.twimg.com/profile_images/979700752393363459/NY5-P5mo_normal.jpg" TargetMode="External"/><Relationship Id="rId1196" Type="http://schemas.openxmlformats.org/officeDocument/2006/relationships/hyperlink" Target="http://twitter.com/connolly_lg/statuses/1521051548758990848" TargetMode="External"/><Relationship Id="rId4222" Type="http://schemas.openxmlformats.org/officeDocument/2006/relationships/hyperlink" Target="http://twitter.com/lensflairfilms/statuses/1520988288533811200" TargetMode="External"/><Relationship Id="rId5550" Type="http://schemas.openxmlformats.org/officeDocument/2006/relationships/hyperlink" Target="http://twitter.com/jagxjr40/statuses/1520890446028890112" TargetMode="External"/><Relationship Id="rId1197" Type="http://schemas.openxmlformats.org/officeDocument/2006/relationships/hyperlink" Target="http://pbs.twimg.com/profile_images/868951601146458116/z_dBb5vv_normal.jpg" TargetMode="External"/><Relationship Id="rId4221" Type="http://schemas.openxmlformats.org/officeDocument/2006/relationships/hyperlink" Target="http://pbs.twimg.com/profile_images/378800000175059774/1a97f30cca0dd1af01f103977784536c_normal.jpeg" TargetMode="External"/><Relationship Id="rId5551" Type="http://schemas.openxmlformats.org/officeDocument/2006/relationships/hyperlink" Target="http://pbs.twimg.com/profile_images/1205783204323610624/nKKBclZ3_normal.jpg" TargetMode="External"/><Relationship Id="rId1198" Type="http://schemas.openxmlformats.org/officeDocument/2006/relationships/hyperlink" Target="http://twitter.com/connolly_lg/statuses/1521051503158607872" TargetMode="External"/><Relationship Id="rId4224" Type="http://schemas.openxmlformats.org/officeDocument/2006/relationships/hyperlink" Target="http://twitter.com/EnglishNRomania/statuses/1520987983683497984" TargetMode="External"/><Relationship Id="rId5556" Type="http://schemas.openxmlformats.org/officeDocument/2006/relationships/hyperlink" Target="http://twitter.com/lopcute/statuses/1520890273936642049" TargetMode="External"/><Relationship Id="rId1199" Type="http://schemas.openxmlformats.org/officeDocument/2006/relationships/hyperlink" Target="http://pbs.twimg.com/profile_images/717407273816047616/6lwXohYA_normal.jpg" TargetMode="External"/><Relationship Id="rId4223" Type="http://schemas.openxmlformats.org/officeDocument/2006/relationships/hyperlink" Target="http://pbs.twimg.com/profile_images/1378764298143551494/C-4VeXDz_normal.jpg" TargetMode="External"/><Relationship Id="rId5557" Type="http://schemas.openxmlformats.org/officeDocument/2006/relationships/hyperlink" Target="http://pbs.twimg.com/profile_images/1398316943346745344/kYvvEcWU_normal.jpg" TargetMode="External"/><Relationship Id="rId4226" Type="http://schemas.openxmlformats.org/officeDocument/2006/relationships/hyperlink" Target="http://twitter.com/WakoJoel/statuses/1520987800665042945" TargetMode="External"/><Relationship Id="rId5554" Type="http://schemas.openxmlformats.org/officeDocument/2006/relationships/hyperlink" Target="http://twitter.com/PaulGosling1/statuses/1520890375258484736" TargetMode="External"/><Relationship Id="rId4225" Type="http://schemas.openxmlformats.org/officeDocument/2006/relationships/hyperlink" Target="http://pbs.twimg.com/profile_images/1446330286023790592/bVncF1da_normal.jpg" TargetMode="External"/><Relationship Id="rId5555" Type="http://schemas.openxmlformats.org/officeDocument/2006/relationships/hyperlink" Target="http://pbs.twimg.com/profile_images/1167569526185222148/XKbQlIAG_normal.png" TargetMode="External"/><Relationship Id="rId4217" Type="http://schemas.openxmlformats.org/officeDocument/2006/relationships/hyperlink" Target="http://pbs.twimg.com/profile_images/1516357236024565760/2j4XcV_s_normal.jpg" TargetMode="External"/><Relationship Id="rId5549" Type="http://schemas.openxmlformats.org/officeDocument/2006/relationships/hyperlink" Target="http://abs.twimg.com/sticky/default_profile_images/default_profile_normal.png" TargetMode="External"/><Relationship Id="rId4216" Type="http://schemas.openxmlformats.org/officeDocument/2006/relationships/hyperlink" Target="http://twitter.com/qeensdale/statuses/1520988661298475008" TargetMode="External"/><Relationship Id="rId4219" Type="http://schemas.openxmlformats.org/officeDocument/2006/relationships/hyperlink" Target="http://pbs.twimg.com/profile_images/1445385419630252056/OUSE5A4q_normal.jpg" TargetMode="External"/><Relationship Id="rId5547" Type="http://schemas.openxmlformats.org/officeDocument/2006/relationships/hyperlink" Target="http://abs.twimg.com/sticky/default_profile_images/default_profile_normal.png" TargetMode="External"/><Relationship Id="rId4218" Type="http://schemas.openxmlformats.org/officeDocument/2006/relationships/hyperlink" Target="http://twitter.com/harstf/statuses/1520988659226488833" TargetMode="External"/><Relationship Id="rId5548" Type="http://schemas.openxmlformats.org/officeDocument/2006/relationships/hyperlink" Target="http://twitter.com/jagxjr40/statuses/1520890460436406272" TargetMode="External"/><Relationship Id="rId599" Type="http://schemas.openxmlformats.org/officeDocument/2006/relationships/hyperlink" Target="http://pbs.twimg.com/profile_images/1732665212/IMG00021-20110422-1220_normal.jpg" TargetMode="External"/><Relationship Id="rId1180" Type="http://schemas.openxmlformats.org/officeDocument/2006/relationships/hyperlink" Target="http://twitter.com/pwlordalba/statuses/1521051720914190336" TargetMode="External"/><Relationship Id="rId1181" Type="http://schemas.openxmlformats.org/officeDocument/2006/relationships/hyperlink" Target="http://pbs.twimg.com/profile_images/1371403600077975554/gyKs2pTE_normal.jpg" TargetMode="External"/><Relationship Id="rId1182" Type="http://schemas.openxmlformats.org/officeDocument/2006/relationships/hyperlink" Target="http://twitter.com/dubh_sgian/statuses/1521051719056211968" TargetMode="External"/><Relationship Id="rId594" Type="http://schemas.openxmlformats.org/officeDocument/2006/relationships/hyperlink" Target="http://twitter.com/MariaDelGreco1/statuses/1521062765602947073" TargetMode="External"/><Relationship Id="rId1183" Type="http://schemas.openxmlformats.org/officeDocument/2006/relationships/hyperlink" Target="http://pbs.twimg.com/profile_images/1510031750738714632/PDd-O1jp_normal.jpg" TargetMode="External"/><Relationship Id="rId5541" Type="http://schemas.openxmlformats.org/officeDocument/2006/relationships/hyperlink" Target="http://pbs.twimg.com/profile_images/1461610504519135232/YnmrQIxp_normal.jpg" TargetMode="External"/><Relationship Id="rId593" Type="http://schemas.openxmlformats.org/officeDocument/2006/relationships/hyperlink" Target="http://pbs.twimg.com/profile_images/1496976388276039681/eguhoZ6N_normal.jpg" TargetMode="External"/><Relationship Id="rId1184" Type="http://schemas.openxmlformats.org/officeDocument/2006/relationships/hyperlink" Target="http://twitter.com/robittybobnob/statuses/1521051698491531264" TargetMode="External"/><Relationship Id="rId5542" Type="http://schemas.openxmlformats.org/officeDocument/2006/relationships/hyperlink" Target="http://twitter.com/KatyPaty17/statuses/1520890752410308608" TargetMode="External"/><Relationship Id="rId592" Type="http://schemas.openxmlformats.org/officeDocument/2006/relationships/hyperlink" Target="http://twitter.com/PatrickFbpe/statuses/1521062826810482688" TargetMode="External"/><Relationship Id="rId1185" Type="http://schemas.openxmlformats.org/officeDocument/2006/relationships/hyperlink" Target="http://pbs.twimg.com/profile_images/1346112154773151745/fF5iA4KL_normal.jpg" TargetMode="External"/><Relationship Id="rId4211" Type="http://schemas.openxmlformats.org/officeDocument/2006/relationships/hyperlink" Target="http://pbs.twimg.com/profile_images/566335182199083008/WvWaB8ng_normal.jpeg" TargetMode="External"/><Relationship Id="rId591" Type="http://schemas.openxmlformats.org/officeDocument/2006/relationships/hyperlink" Target="http://pbs.twimg.com/profile_images/1205996337289928704/Ps8RZ-7-_normal.jpg" TargetMode="External"/><Relationship Id="rId1186" Type="http://schemas.openxmlformats.org/officeDocument/2006/relationships/hyperlink" Target="http://twitter.com/MJBr00ks58/statuses/1521051663716560896" TargetMode="External"/><Relationship Id="rId4210" Type="http://schemas.openxmlformats.org/officeDocument/2006/relationships/hyperlink" Target="http://twitter.com/jackmahoney1810/statuses/1520989030652993536" TargetMode="External"/><Relationship Id="rId5540" Type="http://schemas.openxmlformats.org/officeDocument/2006/relationships/hyperlink" Target="http://twitter.com/CazzyRNF/statuses/1520890777450303489" TargetMode="External"/><Relationship Id="rId598" Type="http://schemas.openxmlformats.org/officeDocument/2006/relationships/hyperlink" Target="http://twitter.com/Rachel_Borrill/statuses/1521062581418565633" TargetMode="External"/><Relationship Id="rId1187" Type="http://schemas.openxmlformats.org/officeDocument/2006/relationships/hyperlink" Target="http://pbs.twimg.com/profile_images/1375393782758322176/gTy9Qn0r_normal.jpg" TargetMode="External"/><Relationship Id="rId4213" Type="http://schemas.openxmlformats.org/officeDocument/2006/relationships/hyperlink" Target="http://pbs.twimg.com/profile_images/1516357236024565760/2j4XcV_s_normal.jpg" TargetMode="External"/><Relationship Id="rId5545" Type="http://schemas.openxmlformats.org/officeDocument/2006/relationships/hyperlink" Target="http://pbs.twimg.com/profile_images/1205783204323610624/nKKBclZ3_normal.jpg" TargetMode="External"/><Relationship Id="rId597" Type="http://schemas.openxmlformats.org/officeDocument/2006/relationships/hyperlink" Target="http://pbs.twimg.com/profile_images/2087114943/smaller_rose_normal.jpg" TargetMode="External"/><Relationship Id="rId1188" Type="http://schemas.openxmlformats.org/officeDocument/2006/relationships/hyperlink" Target="http://twitter.com/ReformUKScot/statuses/1521051643881660416" TargetMode="External"/><Relationship Id="rId4212" Type="http://schemas.openxmlformats.org/officeDocument/2006/relationships/hyperlink" Target="http://twitter.com/riding_david/statuses/1520988826629513216" TargetMode="External"/><Relationship Id="rId5546" Type="http://schemas.openxmlformats.org/officeDocument/2006/relationships/hyperlink" Target="http://twitter.com/SBarutta/statuses/1520890521186709507" TargetMode="External"/><Relationship Id="rId596" Type="http://schemas.openxmlformats.org/officeDocument/2006/relationships/hyperlink" Target="http://twitter.com/LaCheshireChat/statuses/1521062671432491008" TargetMode="External"/><Relationship Id="rId1189" Type="http://schemas.openxmlformats.org/officeDocument/2006/relationships/hyperlink" Target="http://pbs.twimg.com/profile_images/1225538244344938496/16id1r6l_normal.jpg" TargetMode="External"/><Relationship Id="rId4215" Type="http://schemas.openxmlformats.org/officeDocument/2006/relationships/hyperlink" Target="http://pbs.twimg.com/profile_images/483222888225730560/INSzGlkE_normal.jpeg" TargetMode="External"/><Relationship Id="rId5543" Type="http://schemas.openxmlformats.org/officeDocument/2006/relationships/hyperlink" Target="http://pbs.twimg.com/profile_images/1504376284972990464/aSSbG2dw_normal.jpg" TargetMode="External"/><Relationship Id="rId595" Type="http://schemas.openxmlformats.org/officeDocument/2006/relationships/hyperlink" Target="http://pbs.twimg.com/profile_images/1192410824888991744/QuTbKgbD_normal.jpg" TargetMode="External"/><Relationship Id="rId4214" Type="http://schemas.openxmlformats.org/officeDocument/2006/relationships/hyperlink" Target="http://twitter.com/harstf/statuses/1520988742072287232" TargetMode="External"/><Relationship Id="rId5544" Type="http://schemas.openxmlformats.org/officeDocument/2006/relationships/hyperlink" Target="http://twitter.com/Grey_Folded/statuses/1520890587058221057" TargetMode="External"/><Relationship Id="rId1136" Type="http://schemas.openxmlformats.org/officeDocument/2006/relationships/hyperlink" Target="http://twitter.com/Waringphilip/statuses/1521052388886462465" TargetMode="External"/><Relationship Id="rId2467" Type="http://schemas.openxmlformats.org/officeDocument/2006/relationships/hyperlink" Target="http://pbs.twimg.com/profile_images/1498651623903698949/MDmQNMfw_normal.jpg" TargetMode="External"/><Relationship Id="rId3799" Type="http://schemas.openxmlformats.org/officeDocument/2006/relationships/hyperlink" Target="http://pbs.twimg.com/profile_images/1515208991424536576/CTkhrxpN_normal.jpg" TargetMode="External"/><Relationship Id="rId1137" Type="http://schemas.openxmlformats.org/officeDocument/2006/relationships/hyperlink" Target="http://pbs.twimg.com/profile_images/1477229059876827136/WvtvdKUO_normal.jpg" TargetMode="External"/><Relationship Id="rId2468" Type="http://schemas.openxmlformats.org/officeDocument/2006/relationships/hyperlink" Target="http://twitter.com/SBurton63883172/statuses/1521029347628523522" TargetMode="External"/><Relationship Id="rId3798" Type="http://schemas.openxmlformats.org/officeDocument/2006/relationships/hyperlink" Target="http://twitter.com/SiouxsieShoo/statuses/1521004644398661634" TargetMode="External"/><Relationship Id="rId1138" Type="http://schemas.openxmlformats.org/officeDocument/2006/relationships/hyperlink" Target="http://twitter.com/nickposford/statuses/1521052376903393280" TargetMode="External"/><Relationship Id="rId2469" Type="http://schemas.openxmlformats.org/officeDocument/2006/relationships/hyperlink" Target="http://pbs.twimg.com/profile_images/695634411665100804/Bn3TERzI_normal.jpg" TargetMode="External"/><Relationship Id="rId1139" Type="http://schemas.openxmlformats.org/officeDocument/2006/relationships/hyperlink" Target="http://pbs.twimg.com/profile_images/925668702951038976/iAnxjgtU_normal.jpg" TargetMode="External"/><Relationship Id="rId547" Type="http://schemas.openxmlformats.org/officeDocument/2006/relationships/hyperlink" Target="http://pbs.twimg.com/profile_images/1401404056715681798/fchhBYO__normal.jpg" TargetMode="External"/><Relationship Id="rId546" Type="http://schemas.openxmlformats.org/officeDocument/2006/relationships/hyperlink" Target="http://twitter.com/LizWebsterLD/statuses/1521063841978888194" TargetMode="External"/><Relationship Id="rId545" Type="http://schemas.openxmlformats.org/officeDocument/2006/relationships/hyperlink" Target="http://pbs.twimg.com/profile_images/1516396055876751365/rErGQRyw_normal.jpg" TargetMode="External"/><Relationship Id="rId544" Type="http://schemas.openxmlformats.org/officeDocument/2006/relationships/hyperlink" Target="http://twitter.com/MargaretCarman1/statuses/1521063853941051392" TargetMode="External"/><Relationship Id="rId549" Type="http://schemas.openxmlformats.org/officeDocument/2006/relationships/hyperlink" Target="http://pbs.twimg.com/profile_images/1477230159350706182/jce3ol1B_normal.jpg" TargetMode="External"/><Relationship Id="rId548" Type="http://schemas.openxmlformats.org/officeDocument/2006/relationships/hyperlink" Target="http://twitter.com/muir1966/statuses/1521063804641374208" TargetMode="External"/><Relationship Id="rId3791" Type="http://schemas.openxmlformats.org/officeDocument/2006/relationships/hyperlink" Target="http://pbs.twimg.com/profile_images/544404043586883584/U556Lhha_normal.jpeg" TargetMode="External"/><Relationship Id="rId2460" Type="http://schemas.openxmlformats.org/officeDocument/2006/relationships/hyperlink" Target="http://twitter.com/Patrici10534981/statuses/1521029491493064704" TargetMode="External"/><Relationship Id="rId3790" Type="http://schemas.openxmlformats.org/officeDocument/2006/relationships/hyperlink" Target="http://twitter.com/bigtrembles/statuses/1521004992781594624" TargetMode="External"/><Relationship Id="rId1130" Type="http://schemas.openxmlformats.org/officeDocument/2006/relationships/hyperlink" Target="http://twitter.com/sbh214/statuses/1521052466468605952" TargetMode="External"/><Relationship Id="rId2461" Type="http://schemas.openxmlformats.org/officeDocument/2006/relationships/hyperlink" Target="http://pbs.twimg.com/profile_images/1493629693324664843/Fbz0e9_4_normal.jpg" TargetMode="External"/><Relationship Id="rId3793" Type="http://schemas.openxmlformats.org/officeDocument/2006/relationships/hyperlink" Target="http://pbs.twimg.com/profile_images/1367290725/maggiewebsite_normal.jpg" TargetMode="External"/><Relationship Id="rId1131" Type="http://schemas.openxmlformats.org/officeDocument/2006/relationships/hyperlink" Target="http://abs.twimg.com/sticky/default_profile_images/default_profile_normal.png" TargetMode="External"/><Relationship Id="rId2462" Type="http://schemas.openxmlformats.org/officeDocument/2006/relationships/hyperlink" Target="http://twitter.com/BPelluet/statuses/1521029440985309184" TargetMode="External"/><Relationship Id="rId3792" Type="http://schemas.openxmlformats.org/officeDocument/2006/relationships/hyperlink" Target="http://twitter.com/Turner_PhD/statuses/1521004897197506560" TargetMode="External"/><Relationship Id="rId543" Type="http://schemas.openxmlformats.org/officeDocument/2006/relationships/hyperlink" Target="http://pbs.twimg.com/profile_images/1477230159350706182/jce3ol1B_normal.jpg" TargetMode="External"/><Relationship Id="rId1132" Type="http://schemas.openxmlformats.org/officeDocument/2006/relationships/hyperlink" Target="http://twitter.com/blandine_renou/statuses/1521052399892369410" TargetMode="External"/><Relationship Id="rId2463" Type="http://schemas.openxmlformats.org/officeDocument/2006/relationships/hyperlink" Target="http://pbs.twimg.com/profile_images/2577023726/zwse0q618lcprs0fplmn_normal.jpeg" TargetMode="External"/><Relationship Id="rId3795" Type="http://schemas.openxmlformats.org/officeDocument/2006/relationships/hyperlink" Target="http://pbs.twimg.com/profile_images/1008085368518905858/jkZt9ARv_normal.jpg" TargetMode="External"/><Relationship Id="rId542" Type="http://schemas.openxmlformats.org/officeDocument/2006/relationships/hyperlink" Target="http://twitter.com/madden_phil/statuses/1521063908395651072" TargetMode="External"/><Relationship Id="rId1133" Type="http://schemas.openxmlformats.org/officeDocument/2006/relationships/hyperlink" Target="http://abs.twimg.com/sticky/default_profile_images/default_profile_normal.png" TargetMode="External"/><Relationship Id="rId2464" Type="http://schemas.openxmlformats.org/officeDocument/2006/relationships/hyperlink" Target="http://twitter.com/chrissiros/statuses/1521029428695949312" TargetMode="External"/><Relationship Id="rId3794" Type="http://schemas.openxmlformats.org/officeDocument/2006/relationships/hyperlink" Target="http://twitter.com/Accomlondon/statuses/1521004837705498626" TargetMode="External"/><Relationship Id="rId541" Type="http://schemas.openxmlformats.org/officeDocument/2006/relationships/hyperlink" Target="http://pbs.twimg.com/profile_images/1258801794559377408/0PYpgvst_normal.jpg" TargetMode="External"/><Relationship Id="rId1134" Type="http://schemas.openxmlformats.org/officeDocument/2006/relationships/hyperlink" Target="http://twitter.com/dark_f00t/statuses/1521052389838667778" TargetMode="External"/><Relationship Id="rId2465" Type="http://schemas.openxmlformats.org/officeDocument/2006/relationships/hyperlink" Target="http://abs.twimg.com/sticky/default_profile_images/default_profile_normal.png" TargetMode="External"/><Relationship Id="rId3797" Type="http://schemas.openxmlformats.org/officeDocument/2006/relationships/hyperlink" Target="http://pbs.twimg.com/profile_images/1278368670851325953/rbuDrrC8_normal.jpg" TargetMode="External"/><Relationship Id="rId540" Type="http://schemas.openxmlformats.org/officeDocument/2006/relationships/hyperlink" Target="http://twitter.com/bwmoles/statuses/1521063948505726978" TargetMode="External"/><Relationship Id="rId1135" Type="http://schemas.openxmlformats.org/officeDocument/2006/relationships/hyperlink" Target="http://pbs.twimg.com/profile_images/1272175498001612803/zjmFu58P_normal.jpg" TargetMode="External"/><Relationship Id="rId2466" Type="http://schemas.openxmlformats.org/officeDocument/2006/relationships/hyperlink" Target="http://twitter.com/Cormorant100/statuses/1521029421452378112" TargetMode="External"/><Relationship Id="rId3796" Type="http://schemas.openxmlformats.org/officeDocument/2006/relationships/hyperlink" Target="http://twitter.com/etxberria55/statuses/1521004699201200130" TargetMode="External"/><Relationship Id="rId1125" Type="http://schemas.openxmlformats.org/officeDocument/2006/relationships/hyperlink" Target="http://pbs.twimg.com/profile_images/625244588282904576/ZXt-7W5u_normal.jpg" TargetMode="External"/><Relationship Id="rId2456" Type="http://schemas.openxmlformats.org/officeDocument/2006/relationships/hyperlink" Target="http://twitter.com/LittleGravitas/statuses/1521029559596068865" TargetMode="External"/><Relationship Id="rId3788" Type="http://schemas.openxmlformats.org/officeDocument/2006/relationships/hyperlink" Target="http://twitter.com/bigtrembles/statuses/1521005045193625600" TargetMode="External"/><Relationship Id="rId1126" Type="http://schemas.openxmlformats.org/officeDocument/2006/relationships/hyperlink" Target="http://twitter.com/TassGpops/statuses/1521052481463197702" TargetMode="External"/><Relationship Id="rId2457" Type="http://schemas.openxmlformats.org/officeDocument/2006/relationships/hyperlink" Target="http://pbs.twimg.com/profile_images/563467930458136577/sHteWM3F_normal.jpeg" TargetMode="External"/><Relationship Id="rId3787" Type="http://schemas.openxmlformats.org/officeDocument/2006/relationships/hyperlink" Target="http://pbs.twimg.com/profile_images/1501587974642884613/6KKOT7VM_normal.jpg" TargetMode="External"/><Relationship Id="rId1127" Type="http://schemas.openxmlformats.org/officeDocument/2006/relationships/hyperlink" Target="http://pbs.twimg.com/profile_images/902643956995035142/_g-b345k_normal.jpg" TargetMode="External"/><Relationship Id="rId2458" Type="http://schemas.openxmlformats.org/officeDocument/2006/relationships/hyperlink" Target="http://twitter.com/VerityKalcev/statuses/1521029506827489280" TargetMode="External"/><Relationship Id="rId1128" Type="http://schemas.openxmlformats.org/officeDocument/2006/relationships/hyperlink" Target="http://twitter.com/Mikey_T78/statuses/1521052472021770241" TargetMode="External"/><Relationship Id="rId2459" Type="http://schemas.openxmlformats.org/officeDocument/2006/relationships/hyperlink" Target="http://abs.twimg.com/sticky/default_profile_images/default_profile_normal.png" TargetMode="External"/><Relationship Id="rId3789" Type="http://schemas.openxmlformats.org/officeDocument/2006/relationships/hyperlink" Target="http://pbs.twimg.com/profile_images/1501587974642884613/6KKOT7VM_normal.jpg" TargetMode="External"/><Relationship Id="rId1129" Type="http://schemas.openxmlformats.org/officeDocument/2006/relationships/hyperlink" Target="http://pbs.twimg.com/profile_images/488292522146267137/zUmOwiiC_normal.jpeg" TargetMode="External"/><Relationship Id="rId536" Type="http://schemas.openxmlformats.org/officeDocument/2006/relationships/hyperlink" Target="http://twitter.com/Raycspike/statuses/1521063978809667648" TargetMode="External"/><Relationship Id="rId535" Type="http://schemas.openxmlformats.org/officeDocument/2006/relationships/hyperlink" Target="http://pbs.twimg.com/profile_images/1496885079922167820/4k0114CY_normal.jpg" TargetMode="External"/><Relationship Id="rId534" Type="http://schemas.openxmlformats.org/officeDocument/2006/relationships/hyperlink" Target="http://twitter.com/patsytheshark/statuses/1521064041782947841" TargetMode="External"/><Relationship Id="rId533" Type="http://schemas.openxmlformats.org/officeDocument/2006/relationships/hyperlink" Target="http://pbs.twimg.com/profile_images/753329128963571712/qgMgYnhX_normal.jpg" TargetMode="External"/><Relationship Id="rId539" Type="http://schemas.openxmlformats.org/officeDocument/2006/relationships/hyperlink" Target="http://pbs.twimg.com/profile_images/1352563265398837251/IduDS7ZJ_normal.jpg" TargetMode="External"/><Relationship Id="rId538" Type="http://schemas.openxmlformats.org/officeDocument/2006/relationships/hyperlink" Target="http://twitter.com/nigethugrug/statuses/1521063949277573122" TargetMode="External"/><Relationship Id="rId537" Type="http://schemas.openxmlformats.org/officeDocument/2006/relationships/hyperlink" Target="http://pbs.twimg.com/profile_images/1445906179591311363/ICtrIAnW_normal.jpg" TargetMode="External"/><Relationship Id="rId3780" Type="http://schemas.openxmlformats.org/officeDocument/2006/relationships/hyperlink" Target="http://twitter.com/mariamuser/statuses/1521005216879071233" TargetMode="External"/><Relationship Id="rId2450" Type="http://schemas.openxmlformats.org/officeDocument/2006/relationships/hyperlink" Target="http://twitter.com/BtaD42255016/statuses/1521029574586515456" TargetMode="External"/><Relationship Id="rId3782" Type="http://schemas.openxmlformats.org/officeDocument/2006/relationships/hyperlink" Target="http://twitter.com/AbbieFerdinand1/statuses/1521005208767279106" TargetMode="External"/><Relationship Id="rId1120" Type="http://schemas.openxmlformats.org/officeDocument/2006/relationships/hyperlink" Target="http://twitter.com/valmapal1/statuses/1521052514753384449" TargetMode="External"/><Relationship Id="rId2451" Type="http://schemas.openxmlformats.org/officeDocument/2006/relationships/hyperlink" Target="http://pbs.twimg.com/profile_images/1516764959342010371/KuzAsOIO_normal.jpg" TargetMode="External"/><Relationship Id="rId3781" Type="http://schemas.openxmlformats.org/officeDocument/2006/relationships/hyperlink" Target="http://pbs.twimg.com/profile_images/1405384309066801154/O7gjQN6H_normal.jpg" TargetMode="External"/><Relationship Id="rId532" Type="http://schemas.openxmlformats.org/officeDocument/2006/relationships/hyperlink" Target="http://twitter.com/Marcho451/statuses/1521064159034630145" TargetMode="External"/><Relationship Id="rId1121" Type="http://schemas.openxmlformats.org/officeDocument/2006/relationships/hyperlink" Target="http://pbs.twimg.com/profile_images/1515032392800649226/uD_VDSOL_normal.jpg" TargetMode="External"/><Relationship Id="rId2452" Type="http://schemas.openxmlformats.org/officeDocument/2006/relationships/hyperlink" Target="http://twitter.com/salima_yenbou/statuses/1521029569775644674" TargetMode="External"/><Relationship Id="rId3784" Type="http://schemas.openxmlformats.org/officeDocument/2006/relationships/hyperlink" Target="http://twitter.com/John2000AD/statuses/1521005135614390272" TargetMode="External"/><Relationship Id="rId531" Type="http://schemas.openxmlformats.org/officeDocument/2006/relationships/hyperlink" Target="http://pbs.twimg.com/profile_images/1245049850498035712/7nQb4Hme_normal.jpg" TargetMode="External"/><Relationship Id="rId1122" Type="http://schemas.openxmlformats.org/officeDocument/2006/relationships/hyperlink" Target="http://twitter.com/JaneTurner101/statuses/1521052514019336195" TargetMode="External"/><Relationship Id="rId2453" Type="http://schemas.openxmlformats.org/officeDocument/2006/relationships/hyperlink" Target="http://pbs.twimg.com/profile_images/1200014473001623553/3YgN014a_normal.jpg" TargetMode="External"/><Relationship Id="rId3783" Type="http://schemas.openxmlformats.org/officeDocument/2006/relationships/hyperlink" Target="http://pbs.twimg.com/profile_images/1465322518730919942/GQayXjPu_normal.jpg" TargetMode="External"/><Relationship Id="rId530" Type="http://schemas.openxmlformats.org/officeDocument/2006/relationships/hyperlink" Target="http://twitter.com/Pgb266/statuses/1521064173253312512" TargetMode="External"/><Relationship Id="rId1123" Type="http://schemas.openxmlformats.org/officeDocument/2006/relationships/hyperlink" Target="http://pbs.twimg.com/profile_images/488292522146267137/zUmOwiiC_normal.jpeg" TargetMode="External"/><Relationship Id="rId2454" Type="http://schemas.openxmlformats.org/officeDocument/2006/relationships/hyperlink" Target="http://twitter.com/polytwonk/statuses/1521029561932210176" TargetMode="External"/><Relationship Id="rId3786" Type="http://schemas.openxmlformats.org/officeDocument/2006/relationships/hyperlink" Target="http://twitter.com/dave161256/statuses/1521005118048681984" TargetMode="External"/><Relationship Id="rId1124" Type="http://schemas.openxmlformats.org/officeDocument/2006/relationships/hyperlink" Target="http://twitter.com/sbh214/statuses/1521052496000692226" TargetMode="External"/><Relationship Id="rId2455" Type="http://schemas.openxmlformats.org/officeDocument/2006/relationships/hyperlink" Target="http://pbs.twimg.com/profile_images/882004291837472768/awOJGPFB_normal.jpg" TargetMode="External"/><Relationship Id="rId3785" Type="http://schemas.openxmlformats.org/officeDocument/2006/relationships/hyperlink" Target="http://pbs.twimg.com/profile_images/1253232651403702272/VHczTO8m_normal.jpg" TargetMode="External"/><Relationship Id="rId1158" Type="http://schemas.openxmlformats.org/officeDocument/2006/relationships/hyperlink" Target="http://twitter.com/SometimesMagic_/statuses/1521052128411848704" TargetMode="External"/><Relationship Id="rId2489" Type="http://schemas.openxmlformats.org/officeDocument/2006/relationships/hyperlink" Target="http://pbs.twimg.com/profile_images/1455301639640920070/k7RLHO88_normal.jpg" TargetMode="External"/><Relationship Id="rId5516" Type="http://schemas.openxmlformats.org/officeDocument/2006/relationships/hyperlink" Target="http://twitter.com/b4ngali/statuses/1520891339000492041" TargetMode="External"/><Relationship Id="rId1159" Type="http://schemas.openxmlformats.org/officeDocument/2006/relationships/hyperlink" Target="http://pbs.twimg.com/profile_images/1496896832454205445/_rmoCRQV_normal.jpg" TargetMode="External"/><Relationship Id="rId5517" Type="http://schemas.openxmlformats.org/officeDocument/2006/relationships/hyperlink" Target="http://pbs.twimg.com/profile_images/3614599410/cccbb81856e001229e665eee02937339_normal.jpeg" TargetMode="External"/><Relationship Id="rId5514" Type="http://schemas.openxmlformats.org/officeDocument/2006/relationships/hyperlink" Target="http://twitter.com/parallelsuburb/statuses/1520891458080976896" TargetMode="External"/><Relationship Id="rId5515" Type="http://schemas.openxmlformats.org/officeDocument/2006/relationships/hyperlink" Target="http://pbs.twimg.com/profile_images/487811180627763200/_ypGMz0n_normal.jpeg" TargetMode="External"/><Relationship Id="rId5518" Type="http://schemas.openxmlformats.org/officeDocument/2006/relationships/hyperlink" Target="http://twitter.com/elgarado/statuses/1520891243961663489" TargetMode="External"/><Relationship Id="rId5519" Type="http://schemas.openxmlformats.org/officeDocument/2006/relationships/hyperlink" Target="http://pbs.twimg.com/profile_images/1463193046355431430/llq1niok_normal.jpg" TargetMode="External"/><Relationship Id="rId569" Type="http://schemas.openxmlformats.org/officeDocument/2006/relationships/hyperlink" Target="http://pbs.twimg.com/profile_images/879275738402344960/cvlyauHo_normal.jpg" TargetMode="External"/><Relationship Id="rId568" Type="http://schemas.openxmlformats.org/officeDocument/2006/relationships/hyperlink" Target="http://twitter.com/JoelRouvinen/statuses/1521063399379116033" TargetMode="External"/><Relationship Id="rId567" Type="http://schemas.openxmlformats.org/officeDocument/2006/relationships/hyperlink" Target="http://pbs.twimg.com/profile_images/1443543209955766276/Wjq6pUeL_normal.jpg" TargetMode="External"/><Relationship Id="rId566" Type="http://schemas.openxmlformats.org/officeDocument/2006/relationships/hyperlink" Target="http://twitter.com/jeanmedavis/statuses/1521063480220073984" TargetMode="External"/><Relationship Id="rId2480" Type="http://schemas.openxmlformats.org/officeDocument/2006/relationships/hyperlink" Target="http://twitter.com/lyn_ambrose/statuses/1521029090194735107" TargetMode="External"/><Relationship Id="rId561" Type="http://schemas.openxmlformats.org/officeDocument/2006/relationships/hyperlink" Target="http://pbs.twimg.com/profile_images/3303412788/1e4c37892fc9db6fdb4024121f771471_normal.jpeg" TargetMode="External"/><Relationship Id="rId1150" Type="http://schemas.openxmlformats.org/officeDocument/2006/relationships/hyperlink" Target="http://twitter.com/David_T_Evans/statuses/1521052230396387328" TargetMode="External"/><Relationship Id="rId2481" Type="http://schemas.openxmlformats.org/officeDocument/2006/relationships/hyperlink" Target="http://pbs.twimg.com/profile_images/1298565607856766977/xpB3D7DY_normal.jpg" TargetMode="External"/><Relationship Id="rId560" Type="http://schemas.openxmlformats.org/officeDocument/2006/relationships/hyperlink" Target="http://twitter.com/DonaHilaria/statuses/1521063624214827009" TargetMode="External"/><Relationship Id="rId1151" Type="http://schemas.openxmlformats.org/officeDocument/2006/relationships/hyperlink" Target="http://pbs.twimg.com/profile_images/1067141889688772609/J4r69o-p_normal.jpg" TargetMode="External"/><Relationship Id="rId2482" Type="http://schemas.openxmlformats.org/officeDocument/2006/relationships/hyperlink" Target="http://twitter.com/muttleyarsenal9/statuses/1521029070645088256" TargetMode="External"/><Relationship Id="rId1152" Type="http://schemas.openxmlformats.org/officeDocument/2006/relationships/hyperlink" Target="http://twitter.com/CharlieRamsay8/statuses/1521052223706484736" TargetMode="External"/><Relationship Id="rId2483" Type="http://schemas.openxmlformats.org/officeDocument/2006/relationships/hyperlink" Target="http://abs.twimg.com/sticky/default_profile_images/default_profile_normal.png" TargetMode="External"/><Relationship Id="rId1153" Type="http://schemas.openxmlformats.org/officeDocument/2006/relationships/hyperlink" Target="http://pbs.twimg.com/profile_images/1519741953776173057/wfL6D6FY_normal.jpg" TargetMode="External"/><Relationship Id="rId2484" Type="http://schemas.openxmlformats.org/officeDocument/2006/relationships/hyperlink" Target="http://twitter.com/BuxtonSue/statuses/1521029056682156038" TargetMode="External"/><Relationship Id="rId565" Type="http://schemas.openxmlformats.org/officeDocument/2006/relationships/hyperlink" Target="http://pbs.twimg.com/profile_images/1520111640871587840/SGCXEXmt_normal.jpg" TargetMode="External"/><Relationship Id="rId1154" Type="http://schemas.openxmlformats.org/officeDocument/2006/relationships/hyperlink" Target="http://twitter.com/Unsilversurfer/statuses/1521052215120740352" TargetMode="External"/><Relationship Id="rId2485" Type="http://schemas.openxmlformats.org/officeDocument/2006/relationships/hyperlink" Target="http://pbs.twimg.com/profile_images/1068629372117155840/iZGn--VK_normal.jpg" TargetMode="External"/><Relationship Id="rId5512" Type="http://schemas.openxmlformats.org/officeDocument/2006/relationships/hyperlink" Target="http://twitter.com/NeilMullens/statuses/1520891514821517314" TargetMode="External"/><Relationship Id="rId564" Type="http://schemas.openxmlformats.org/officeDocument/2006/relationships/hyperlink" Target="http://twitter.com/Lawlor224/statuses/1521063494732288001" TargetMode="External"/><Relationship Id="rId1155" Type="http://schemas.openxmlformats.org/officeDocument/2006/relationships/hyperlink" Target="http://pbs.twimg.com/profile_images/932687630147387397/mvnczTLY_normal.jpg" TargetMode="External"/><Relationship Id="rId2486" Type="http://schemas.openxmlformats.org/officeDocument/2006/relationships/hyperlink" Target="http://twitter.com/MissPopperama/statuses/1521029027091394560" TargetMode="External"/><Relationship Id="rId5513" Type="http://schemas.openxmlformats.org/officeDocument/2006/relationships/hyperlink" Target="http://pbs.twimg.com/profile_images/784496895225978882/mVKCM01__normal.jpg" TargetMode="External"/><Relationship Id="rId563" Type="http://schemas.openxmlformats.org/officeDocument/2006/relationships/hyperlink" Target="http://pbs.twimg.com/profile_images/626854603712282625/lzYXweH-_normal.jpg" TargetMode="External"/><Relationship Id="rId1156" Type="http://schemas.openxmlformats.org/officeDocument/2006/relationships/hyperlink" Target="http://twitter.com/SometimesMagic_/statuses/1521052203221491712" TargetMode="External"/><Relationship Id="rId2487" Type="http://schemas.openxmlformats.org/officeDocument/2006/relationships/hyperlink" Target="http://pbs.twimg.com/profile_images/687304458854895616/KgidQkko_normal.jpg" TargetMode="External"/><Relationship Id="rId5510" Type="http://schemas.openxmlformats.org/officeDocument/2006/relationships/hyperlink" Target="http://twitter.com/Boolie15/statuses/1520891584765730817" TargetMode="External"/><Relationship Id="rId562" Type="http://schemas.openxmlformats.org/officeDocument/2006/relationships/hyperlink" Target="http://twitter.com/darwent_charles/statuses/1521063554891272193" TargetMode="External"/><Relationship Id="rId1157" Type="http://schemas.openxmlformats.org/officeDocument/2006/relationships/hyperlink" Target="http://pbs.twimg.com/profile_images/932687630147387397/mvnczTLY_normal.jpg" TargetMode="External"/><Relationship Id="rId2488" Type="http://schemas.openxmlformats.org/officeDocument/2006/relationships/hyperlink" Target="http://twitter.com/HeatherMassey2/statuses/1521028934690877440" TargetMode="External"/><Relationship Id="rId5511" Type="http://schemas.openxmlformats.org/officeDocument/2006/relationships/hyperlink" Target="http://pbs.twimg.com/profile_images/1475446876384239621/j5AH4ja5_normal.jpg" TargetMode="External"/><Relationship Id="rId1147" Type="http://schemas.openxmlformats.org/officeDocument/2006/relationships/hyperlink" Target="http://pbs.twimg.com/profile_images/1520739006719401984/Orw_K5iv_normal.jpg" TargetMode="External"/><Relationship Id="rId2478" Type="http://schemas.openxmlformats.org/officeDocument/2006/relationships/hyperlink" Target="http://twitter.com/FionaMc90085949/statuses/1521029163049795584" TargetMode="External"/><Relationship Id="rId5505" Type="http://schemas.openxmlformats.org/officeDocument/2006/relationships/hyperlink" Target="http://pbs.twimg.com/profile_images/1492600804934623235/i93tUyFQ_normal.jpg" TargetMode="External"/><Relationship Id="rId1148" Type="http://schemas.openxmlformats.org/officeDocument/2006/relationships/hyperlink" Target="http://twitter.com/kercle/statuses/1521052234095763456" TargetMode="External"/><Relationship Id="rId2479" Type="http://schemas.openxmlformats.org/officeDocument/2006/relationships/hyperlink" Target="http://pbs.twimg.com/profile_images/1205757087067889666/N7dXZwEQ_normal.jpg" TargetMode="External"/><Relationship Id="rId5506" Type="http://schemas.openxmlformats.org/officeDocument/2006/relationships/hyperlink" Target="http://twitter.com/FatimaDuerden/statuses/1520891791473627136" TargetMode="External"/><Relationship Id="rId1149" Type="http://schemas.openxmlformats.org/officeDocument/2006/relationships/hyperlink" Target="http://pbs.twimg.com/profile_images/1504034703699030018/WBBrjNFT_normal.jpg" TargetMode="External"/><Relationship Id="rId5503" Type="http://schemas.openxmlformats.org/officeDocument/2006/relationships/hyperlink" Target="http://pbs.twimg.com/profile_images/1135263635041898497/e5yM9aJE_normal.png" TargetMode="External"/><Relationship Id="rId5504" Type="http://schemas.openxmlformats.org/officeDocument/2006/relationships/hyperlink" Target="http://twitter.com/NigelHeal/statuses/1520892020214185988" TargetMode="External"/><Relationship Id="rId5509" Type="http://schemas.openxmlformats.org/officeDocument/2006/relationships/hyperlink" Target="http://pbs.twimg.com/profile_images/1516074408984645635/7K9t6EpJ_normal.jpg" TargetMode="External"/><Relationship Id="rId5507" Type="http://schemas.openxmlformats.org/officeDocument/2006/relationships/hyperlink" Target="http://pbs.twimg.com/profile_images/1098698276298203136/g0yIzpeP_normal.png" TargetMode="External"/><Relationship Id="rId5508" Type="http://schemas.openxmlformats.org/officeDocument/2006/relationships/hyperlink" Target="http://twitter.com/AaronJDavies1/statuses/1520891616998957057" TargetMode="External"/><Relationship Id="rId558" Type="http://schemas.openxmlformats.org/officeDocument/2006/relationships/hyperlink" Target="http://twitter.com/SheronBoyle1/statuses/1521063671341924358" TargetMode="External"/><Relationship Id="rId557" Type="http://schemas.openxmlformats.org/officeDocument/2006/relationships/hyperlink" Target="http://pbs.twimg.com/profile_images/1511686194014429187/uQDM3Pmw_normal.jpg" TargetMode="External"/><Relationship Id="rId556" Type="http://schemas.openxmlformats.org/officeDocument/2006/relationships/hyperlink" Target="http://twitter.com/iAntsaoir/statuses/1521063689864073216" TargetMode="External"/><Relationship Id="rId555" Type="http://schemas.openxmlformats.org/officeDocument/2006/relationships/hyperlink" Target="http://pbs.twimg.com/profile_images/1390406648351580164/ypK4MmWk_normal.jpg" TargetMode="External"/><Relationship Id="rId559" Type="http://schemas.openxmlformats.org/officeDocument/2006/relationships/hyperlink" Target="http://pbs.twimg.com/profile_images/1509150346689630208/bLLpBqm6_normal.jpg" TargetMode="External"/><Relationship Id="rId550" Type="http://schemas.openxmlformats.org/officeDocument/2006/relationships/hyperlink" Target="http://twitter.com/MargaretCarman1/statuses/1521063803919740933" TargetMode="External"/><Relationship Id="rId2470" Type="http://schemas.openxmlformats.org/officeDocument/2006/relationships/hyperlink" Target="http://twitter.com/ConnexionFrance/statuses/1521029254095552513" TargetMode="External"/><Relationship Id="rId1140" Type="http://schemas.openxmlformats.org/officeDocument/2006/relationships/hyperlink" Target="http://twitter.com/nilocski/statuses/1521052319730876421" TargetMode="External"/><Relationship Id="rId2471" Type="http://schemas.openxmlformats.org/officeDocument/2006/relationships/hyperlink" Target="http://pbs.twimg.com/profile_images/1419582932117819392/-jYP_O_-_normal.jpg" TargetMode="External"/><Relationship Id="rId1141" Type="http://schemas.openxmlformats.org/officeDocument/2006/relationships/hyperlink" Target="http://pbs.twimg.com/profile_images/1380807030642987014/HgX_OfgE_normal.jpg" TargetMode="External"/><Relationship Id="rId2472" Type="http://schemas.openxmlformats.org/officeDocument/2006/relationships/hyperlink" Target="http://twitter.com/lindadixon80/statuses/1521029243509125121" TargetMode="External"/><Relationship Id="rId1142" Type="http://schemas.openxmlformats.org/officeDocument/2006/relationships/hyperlink" Target="http://twitter.com/fergs01/statuses/1521052312755744769" TargetMode="External"/><Relationship Id="rId2473" Type="http://schemas.openxmlformats.org/officeDocument/2006/relationships/hyperlink" Target="http://abs.twimg.com/sticky/default_profile_images/default_profile_normal.png" TargetMode="External"/><Relationship Id="rId554" Type="http://schemas.openxmlformats.org/officeDocument/2006/relationships/hyperlink" Target="http://twitter.com/BrexitLalaland/statuses/1521063709895917569" TargetMode="External"/><Relationship Id="rId1143" Type="http://schemas.openxmlformats.org/officeDocument/2006/relationships/hyperlink" Target="http://pbs.twimg.com/profile_images/1378461309147217922/Xe1-Wa5J_normal.jpg" TargetMode="External"/><Relationship Id="rId2474" Type="http://schemas.openxmlformats.org/officeDocument/2006/relationships/hyperlink" Target="http://twitter.com/leodbarnard/statuses/1521029225695924224" TargetMode="External"/><Relationship Id="rId5501" Type="http://schemas.openxmlformats.org/officeDocument/2006/relationships/hyperlink" Target="http://pbs.twimg.com/profile_images/1497507935852847106/2EXYR67i_normal.jpg" TargetMode="External"/><Relationship Id="rId553" Type="http://schemas.openxmlformats.org/officeDocument/2006/relationships/hyperlink" Target="http://pbs.twimg.com/profile_images/835976168700534786/nkI_roQQ_normal.jpg" TargetMode="External"/><Relationship Id="rId1144" Type="http://schemas.openxmlformats.org/officeDocument/2006/relationships/hyperlink" Target="http://twitter.com/MhlopheP/statuses/1521052243612553221" TargetMode="External"/><Relationship Id="rId2475" Type="http://schemas.openxmlformats.org/officeDocument/2006/relationships/hyperlink" Target="http://pbs.twimg.com/profile_images/1497849623817375746/PaOsnuu6_normal.jpg" TargetMode="External"/><Relationship Id="rId5502" Type="http://schemas.openxmlformats.org/officeDocument/2006/relationships/hyperlink" Target="http://twitter.com/teablott/statuses/1520892022231650306" TargetMode="External"/><Relationship Id="rId552" Type="http://schemas.openxmlformats.org/officeDocument/2006/relationships/hyperlink" Target="http://twitter.com/sen_j59/statuses/1521063757216112640" TargetMode="External"/><Relationship Id="rId1145" Type="http://schemas.openxmlformats.org/officeDocument/2006/relationships/hyperlink" Target="http://pbs.twimg.com/profile_images/1508242375017218054/VRbmGkcD_normal.png" TargetMode="External"/><Relationship Id="rId2476" Type="http://schemas.openxmlformats.org/officeDocument/2006/relationships/hyperlink" Target="http://twitter.com/SZeitblom/statuses/1521029204246155265" TargetMode="External"/><Relationship Id="rId551" Type="http://schemas.openxmlformats.org/officeDocument/2006/relationships/hyperlink" Target="http://pbs.twimg.com/profile_images/1501127732188655621/uoWUPNCv_normal.jpg" TargetMode="External"/><Relationship Id="rId1146" Type="http://schemas.openxmlformats.org/officeDocument/2006/relationships/hyperlink" Target="http://twitter.com/leftnonfascist/statuses/1521052235194638337" TargetMode="External"/><Relationship Id="rId2477" Type="http://schemas.openxmlformats.org/officeDocument/2006/relationships/hyperlink" Target="http://abs.twimg.com/sticky/default_profile_images/default_profile_normal.png" TargetMode="External"/><Relationship Id="rId5500" Type="http://schemas.openxmlformats.org/officeDocument/2006/relationships/hyperlink" Target="http://twitter.com/Dependent2020/statuses/1520892044801105925" TargetMode="External"/><Relationship Id="rId4280" Type="http://schemas.openxmlformats.org/officeDocument/2006/relationships/hyperlink" Target="http://twitter.com/goringjogger57/statuses/1520983904345337856" TargetMode="External"/><Relationship Id="rId4282" Type="http://schemas.openxmlformats.org/officeDocument/2006/relationships/hyperlink" Target="http://twitter.com/world_wanderer4/statuses/1520983812830011392" TargetMode="External"/><Relationship Id="rId4281" Type="http://schemas.openxmlformats.org/officeDocument/2006/relationships/hyperlink" Target="http://abs.twimg.com/sticky/default_profile_images/default_profile_normal.png" TargetMode="External"/><Relationship Id="rId4284" Type="http://schemas.openxmlformats.org/officeDocument/2006/relationships/hyperlink" Target="http://twitter.com/political_wasp/statuses/1520983540774670336" TargetMode="External"/><Relationship Id="rId4283" Type="http://schemas.openxmlformats.org/officeDocument/2006/relationships/hyperlink" Target="http://pbs.twimg.com/profile_images/977303634609360897/N2CDJ7W7_normal.jpg" TargetMode="External"/><Relationship Id="rId4286" Type="http://schemas.openxmlformats.org/officeDocument/2006/relationships/hyperlink" Target="http://twitter.com/positpolit/statuses/1520983536597094401" TargetMode="External"/><Relationship Id="rId4285" Type="http://schemas.openxmlformats.org/officeDocument/2006/relationships/hyperlink" Target="http://pbs.twimg.com/profile_images/826175240384479232/2lCnK77I_normal.jpg" TargetMode="External"/><Relationship Id="rId4288" Type="http://schemas.openxmlformats.org/officeDocument/2006/relationships/hyperlink" Target="http://twitter.com/pmeierprof/statuses/1520983532453122049" TargetMode="External"/><Relationship Id="rId4287" Type="http://schemas.openxmlformats.org/officeDocument/2006/relationships/hyperlink" Target="http://pbs.twimg.com/profile_images/1466173761892278273/eUx8elxm_normal.jpg" TargetMode="External"/><Relationship Id="rId4289" Type="http://schemas.openxmlformats.org/officeDocument/2006/relationships/hyperlink" Target="http://pbs.twimg.com/profile_images/1392440443535859715/myeOrQtc_normal.jpg" TargetMode="External"/><Relationship Id="rId4271" Type="http://schemas.openxmlformats.org/officeDocument/2006/relationships/hyperlink" Target="http://pbs.twimg.com/profile_images/1480231448930103296/Moick0fr_normal.jpg" TargetMode="External"/><Relationship Id="rId4270" Type="http://schemas.openxmlformats.org/officeDocument/2006/relationships/hyperlink" Target="http://twitter.com/fxstreetnewsid/statuses/1520984238786592768" TargetMode="External"/><Relationship Id="rId4273" Type="http://schemas.openxmlformats.org/officeDocument/2006/relationships/hyperlink" Target="http://pbs.twimg.com/profile_images/1480231448930103296/Moick0fr_normal.jpg" TargetMode="External"/><Relationship Id="rId4272" Type="http://schemas.openxmlformats.org/officeDocument/2006/relationships/hyperlink" Target="http://twitter.com/goringjogger57/statuses/1520984058989264900" TargetMode="External"/><Relationship Id="rId4275" Type="http://schemas.openxmlformats.org/officeDocument/2006/relationships/hyperlink" Target="http://abs.twimg.com/sticky/default_profile_images/default_profile_normal.png" TargetMode="External"/><Relationship Id="rId4274" Type="http://schemas.openxmlformats.org/officeDocument/2006/relationships/hyperlink" Target="http://twitter.com/goringjogger57/statuses/1520983984049696769" TargetMode="External"/><Relationship Id="rId4277" Type="http://schemas.openxmlformats.org/officeDocument/2006/relationships/hyperlink" Target="http://pbs.twimg.com/profile_images/1517766845373329408/xEb1tU96_normal.jpg" TargetMode="External"/><Relationship Id="rId4276" Type="http://schemas.openxmlformats.org/officeDocument/2006/relationships/hyperlink" Target="http://twitter.com/lividinlincs/statuses/1520983939199950848" TargetMode="External"/><Relationship Id="rId4279" Type="http://schemas.openxmlformats.org/officeDocument/2006/relationships/hyperlink" Target="http://pbs.twimg.com/profile_images/1480231448930103296/Moick0fr_normal.jpg" TargetMode="External"/><Relationship Id="rId4278" Type="http://schemas.openxmlformats.org/officeDocument/2006/relationships/hyperlink" Target="http://twitter.com/Chezm79Mace/statuses/1520983932208037889" TargetMode="External"/><Relationship Id="rId6009" Type="http://schemas.openxmlformats.org/officeDocument/2006/relationships/hyperlink" Target="http://pbs.twimg.com/profile_images/1489769386852425729/LLXK-Ylg_normal.jpg" TargetMode="External"/><Relationship Id="rId6000" Type="http://schemas.openxmlformats.org/officeDocument/2006/relationships/hyperlink" Target="http://twitter.com/WhingingTeacher/statuses/1520882553598754820" TargetMode="External"/><Relationship Id="rId6003" Type="http://schemas.openxmlformats.org/officeDocument/2006/relationships/hyperlink" Target="http://pbs.twimg.com/profile_images/526820851476213760/qRuZgSUc_normal.jpeg" TargetMode="External"/><Relationship Id="rId6004" Type="http://schemas.openxmlformats.org/officeDocument/2006/relationships/hyperlink" Target="http://twitter.com/scott_and_ball/statuses/1520882532958543872" TargetMode="External"/><Relationship Id="rId6001" Type="http://schemas.openxmlformats.org/officeDocument/2006/relationships/hyperlink" Target="http://pbs.twimg.com/profile_images/1266775734560972800/7DA9HTNZ_normal.jpg" TargetMode="External"/><Relationship Id="rId6002" Type="http://schemas.openxmlformats.org/officeDocument/2006/relationships/hyperlink" Target="http://twitter.com/bobreeduk/statuses/1520882538805399552" TargetMode="External"/><Relationship Id="rId6007" Type="http://schemas.openxmlformats.org/officeDocument/2006/relationships/hyperlink" Target="http://pbs.twimg.com/profile_images/1466830350487887877/fK92Y94w_normal.jpg" TargetMode="External"/><Relationship Id="rId6008" Type="http://schemas.openxmlformats.org/officeDocument/2006/relationships/hyperlink" Target="http://twitter.com/BrexitPirates/statuses/1520882499336945666" TargetMode="External"/><Relationship Id="rId6005" Type="http://schemas.openxmlformats.org/officeDocument/2006/relationships/hyperlink" Target="http://pbs.twimg.com/profile_images/2379043472/image_normal.jpg" TargetMode="External"/><Relationship Id="rId6006" Type="http://schemas.openxmlformats.org/officeDocument/2006/relationships/hyperlink" Target="http://twitter.com/WillParker1979/statuses/1520882526193078273" TargetMode="External"/><Relationship Id="rId4291" Type="http://schemas.openxmlformats.org/officeDocument/2006/relationships/hyperlink" Target="http://pbs.twimg.com/profile_images/1269284709151932416/_KQm5fhZ_normal.jpg" TargetMode="External"/><Relationship Id="rId4290" Type="http://schemas.openxmlformats.org/officeDocument/2006/relationships/hyperlink" Target="http://twitter.com/Telecast1958/statuses/1520983471266664448" TargetMode="External"/><Relationship Id="rId4293" Type="http://schemas.openxmlformats.org/officeDocument/2006/relationships/hyperlink" Target="http://pbs.twimg.com/profile_images/919493087075950592/fcDtwShF_normal.jpg" TargetMode="External"/><Relationship Id="rId4292" Type="http://schemas.openxmlformats.org/officeDocument/2006/relationships/hyperlink" Target="http://twitter.com/Michael81202656/statuses/1520983363686969344" TargetMode="External"/><Relationship Id="rId4295" Type="http://schemas.openxmlformats.org/officeDocument/2006/relationships/hyperlink" Target="http://pbs.twimg.com/profile_images/1694356599/bsa_red_logo_normal.JPG" TargetMode="External"/><Relationship Id="rId4294" Type="http://schemas.openxmlformats.org/officeDocument/2006/relationships/hyperlink" Target="http://twitter.com/kadams0/statuses/1520982943984144384" TargetMode="External"/><Relationship Id="rId4297" Type="http://schemas.openxmlformats.org/officeDocument/2006/relationships/hyperlink" Target="http://pbs.twimg.com/profile_images/919493087075950592/fcDtwShF_normal.jpg" TargetMode="External"/><Relationship Id="rId4296" Type="http://schemas.openxmlformats.org/officeDocument/2006/relationships/hyperlink" Target="http://twitter.com/ChrisLyddon/statuses/1520982912321134593" TargetMode="External"/><Relationship Id="rId4299" Type="http://schemas.openxmlformats.org/officeDocument/2006/relationships/hyperlink" Target="http://pbs.twimg.com/profile_images/919493087075950592/fcDtwShF_normal.jpg" TargetMode="External"/><Relationship Id="rId4298" Type="http://schemas.openxmlformats.org/officeDocument/2006/relationships/hyperlink" Target="http://twitter.com/kadams0/statuses/1520982827076300800" TargetMode="External"/><Relationship Id="rId4249" Type="http://schemas.openxmlformats.org/officeDocument/2006/relationships/hyperlink" Target="http://pbs.twimg.com/profile_images/1397550218657378305/ohvWDzme_normal.jpg" TargetMode="External"/><Relationship Id="rId5570" Type="http://schemas.openxmlformats.org/officeDocument/2006/relationships/hyperlink" Target="http://twitter.com/goanabootbiddy/statuses/1520890008265437184" TargetMode="External"/><Relationship Id="rId5571" Type="http://schemas.openxmlformats.org/officeDocument/2006/relationships/hyperlink" Target="http://pbs.twimg.com/profile_images/1474706775211397123/RD1qU9sY_normal.jpg" TargetMode="External"/><Relationship Id="rId4240" Type="http://schemas.openxmlformats.org/officeDocument/2006/relationships/hyperlink" Target="http://twitter.com/Glasgow_Watch/statuses/1520987093350195200" TargetMode="External"/><Relationship Id="rId4242" Type="http://schemas.openxmlformats.org/officeDocument/2006/relationships/hyperlink" Target="http://twitter.com/isthisab0t/statuses/1520986954422235137" TargetMode="External"/><Relationship Id="rId5574" Type="http://schemas.openxmlformats.org/officeDocument/2006/relationships/hyperlink" Target="http://twitter.com/MaiOpine/statuses/1520889977328050176" TargetMode="External"/><Relationship Id="rId4241" Type="http://schemas.openxmlformats.org/officeDocument/2006/relationships/hyperlink" Target="http://pbs.twimg.com/profile_images/1225538244344938496/16id1r6l_normal.jpg" TargetMode="External"/><Relationship Id="rId5575" Type="http://schemas.openxmlformats.org/officeDocument/2006/relationships/hyperlink" Target="http://pbs.twimg.com/profile_images/1474706775211397123/RD1qU9sY_normal.jpg" TargetMode="External"/><Relationship Id="rId4244" Type="http://schemas.openxmlformats.org/officeDocument/2006/relationships/hyperlink" Target="http://twitter.com/girlyswotspider/statuses/1520986943982555136" TargetMode="External"/><Relationship Id="rId5572" Type="http://schemas.openxmlformats.org/officeDocument/2006/relationships/hyperlink" Target="http://twitter.com/beith123/statuses/1520889991362191368" TargetMode="External"/><Relationship Id="rId4243" Type="http://schemas.openxmlformats.org/officeDocument/2006/relationships/hyperlink" Target="http://pbs.twimg.com/profile_images/1497594298166034434/exK4QB-9_normal.jpg" TargetMode="External"/><Relationship Id="rId5573" Type="http://schemas.openxmlformats.org/officeDocument/2006/relationships/hyperlink" Target="http://pbs.twimg.com/profile_images/1486093587066589184/g2hv9SM-_normal.jpg" TargetMode="External"/><Relationship Id="rId4246" Type="http://schemas.openxmlformats.org/officeDocument/2006/relationships/hyperlink" Target="http://twitter.com/_Angry_Engineer/statuses/1520986929864622080" TargetMode="External"/><Relationship Id="rId5578" Type="http://schemas.openxmlformats.org/officeDocument/2006/relationships/hyperlink" Target="http://twitter.com/SimonRodger8/statuses/1520889921707425792" TargetMode="External"/><Relationship Id="rId4245" Type="http://schemas.openxmlformats.org/officeDocument/2006/relationships/hyperlink" Target="http://pbs.twimg.com/profile_images/1514060724653506566/r_PS42gK_normal.jpg" TargetMode="External"/><Relationship Id="rId5579" Type="http://schemas.openxmlformats.org/officeDocument/2006/relationships/hyperlink" Target="http://pbs.twimg.com/profile_images/1500779996008304643/TCCUIfhD_normal.jpg" TargetMode="External"/><Relationship Id="rId4248" Type="http://schemas.openxmlformats.org/officeDocument/2006/relationships/hyperlink" Target="http://twitter.com/Superfind/statuses/1520986928157700096" TargetMode="External"/><Relationship Id="rId5576" Type="http://schemas.openxmlformats.org/officeDocument/2006/relationships/hyperlink" Target="http://twitter.com/beith123/statuses/1520889928774737930" TargetMode="External"/><Relationship Id="rId4247" Type="http://schemas.openxmlformats.org/officeDocument/2006/relationships/hyperlink" Target="http://pbs.twimg.com/profile_images/1414466113270845442/SAP8-deF_normal.jpg" TargetMode="External"/><Relationship Id="rId5577" Type="http://schemas.openxmlformats.org/officeDocument/2006/relationships/hyperlink" Target="http://pbs.twimg.com/profile_images/1375517309939367936/Y7bVi6yA_normal.jpg" TargetMode="External"/><Relationship Id="rId4239" Type="http://schemas.openxmlformats.org/officeDocument/2006/relationships/hyperlink" Target="http://pbs.twimg.com/profile_images/1164654077596307459/GF6F1bgd_normal.jpg" TargetMode="External"/><Relationship Id="rId4238" Type="http://schemas.openxmlformats.org/officeDocument/2006/relationships/hyperlink" Target="http://twitter.com/swpp12/statuses/1520987170915377152" TargetMode="External"/><Relationship Id="rId5569" Type="http://schemas.openxmlformats.org/officeDocument/2006/relationships/hyperlink" Target="http://pbs.twimg.com/profile_images/1265541058005479424/wNmwdPbO_normal.jpg" TargetMode="External"/><Relationship Id="rId5560" Type="http://schemas.openxmlformats.org/officeDocument/2006/relationships/hyperlink" Target="http://twitter.com/ChantalCThomas/statuses/1520890215493165056" TargetMode="External"/><Relationship Id="rId495" Type="http://schemas.openxmlformats.org/officeDocument/2006/relationships/hyperlink" Target="http://pbs.twimg.com/profile_images/865268038995759105/9apqwWv6_normal.jpg" TargetMode="External"/><Relationship Id="rId4231" Type="http://schemas.openxmlformats.org/officeDocument/2006/relationships/hyperlink" Target="http://pbs.twimg.com/profile_images/1478815214011392004/BiZoWk-5_normal.jpg" TargetMode="External"/><Relationship Id="rId5563" Type="http://schemas.openxmlformats.org/officeDocument/2006/relationships/hyperlink" Target="http://pbs.twimg.com/profile_images/1459990409992671236/cJljGc6T_normal.jpg" TargetMode="External"/><Relationship Id="rId494" Type="http://schemas.openxmlformats.org/officeDocument/2006/relationships/hyperlink" Target="http://twitter.com/tiger_ayres/statuses/1521064866299138050" TargetMode="External"/><Relationship Id="rId4230" Type="http://schemas.openxmlformats.org/officeDocument/2006/relationships/hyperlink" Target="http://twitter.com/disnenchanted/statuses/1520987713553506304" TargetMode="External"/><Relationship Id="rId5564" Type="http://schemas.openxmlformats.org/officeDocument/2006/relationships/hyperlink" Target="http://twitter.com/jasongdal2009/statuses/1520890184925126658" TargetMode="External"/><Relationship Id="rId493" Type="http://schemas.openxmlformats.org/officeDocument/2006/relationships/hyperlink" Target="http://pbs.twimg.com/profile_images/1426570137843478531/jaQ4bFOj_normal.jpg" TargetMode="External"/><Relationship Id="rId4233" Type="http://schemas.openxmlformats.org/officeDocument/2006/relationships/hyperlink" Target="http://pbs.twimg.com/profile_images/2447490603/allfeb_080_normal.JPG" TargetMode="External"/><Relationship Id="rId5561" Type="http://schemas.openxmlformats.org/officeDocument/2006/relationships/hyperlink" Target="http://abs.twimg.com/sticky/default_profile_images/default_profile_normal.png" TargetMode="External"/><Relationship Id="rId492" Type="http://schemas.openxmlformats.org/officeDocument/2006/relationships/hyperlink" Target="http://twitter.com/CliveWismayer/statuses/1521064877401456640" TargetMode="External"/><Relationship Id="rId4232" Type="http://schemas.openxmlformats.org/officeDocument/2006/relationships/hyperlink" Target="http://twitter.com/BhavinOh/statuses/1520987684256518145" TargetMode="External"/><Relationship Id="rId5562" Type="http://schemas.openxmlformats.org/officeDocument/2006/relationships/hyperlink" Target="http://twitter.com/dp90546285/statuses/1520890200192344065" TargetMode="External"/><Relationship Id="rId499" Type="http://schemas.openxmlformats.org/officeDocument/2006/relationships/hyperlink" Target="http://pbs.twimg.com/profile_images/1505996235488047116/11LYziu__normal.png" TargetMode="External"/><Relationship Id="rId4235" Type="http://schemas.openxmlformats.org/officeDocument/2006/relationships/hyperlink" Target="http://pbs.twimg.com/profile_images/1089843473287651328/FlXSUvm1_normal.jpg" TargetMode="External"/><Relationship Id="rId5567" Type="http://schemas.openxmlformats.org/officeDocument/2006/relationships/hyperlink" Target="http://pbs.twimg.com/profile_images/880014924407345153/zg2mChMm_normal.jpg" TargetMode="External"/><Relationship Id="rId498" Type="http://schemas.openxmlformats.org/officeDocument/2006/relationships/hyperlink" Target="http://twitter.com/sarahcraig52/statuses/1521064800435978240" TargetMode="External"/><Relationship Id="rId4234" Type="http://schemas.openxmlformats.org/officeDocument/2006/relationships/hyperlink" Target="http://twitter.com/hillier_mandy/statuses/1520987620486037504" TargetMode="External"/><Relationship Id="rId5568" Type="http://schemas.openxmlformats.org/officeDocument/2006/relationships/hyperlink" Target="http://twitter.com/JKLDNMAD/statuses/1520890048765472768" TargetMode="External"/><Relationship Id="rId497" Type="http://schemas.openxmlformats.org/officeDocument/2006/relationships/hyperlink" Target="http://pbs.twimg.com/profile_images/1498965230445072389/-NIROUe5_normal.jpg" TargetMode="External"/><Relationship Id="rId4237" Type="http://schemas.openxmlformats.org/officeDocument/2006/relationships/hyperlink" Target="http://pbs.twimg.com/profile_images/490441254967074816/zUVBskWG_normal.jpeg" TargetMode="External"/><Relationship Id="rId5565" Type="http://schemas.openxmlformats.org/officeDocument/2006/relationships/hyperlink" Target="http://pbs.twimg.com/profile_images/1014445449657372672/ViHsPVqS_normal.jpg" TargetMode="External"/><Relationship Id="rId496" Type="http://schemas.openxmlformats.org/officeDocument/2006/relationships/hyperlink" Target="http://twitter.com/stevescullion/statuses/1521064813174087680" TargetMode="External"/><Relationship Id="rId4236" Type="http://schemas.openxmlformats.org/officeDocument/2006/relationships/hyperlink" Target="http://twitter.com/redland15/statuses/1520987225051303936" TargetMode="External"/><Relationship Id="rId5566" Type="http://schemas.openxmlformats.org/officeDocument/2006/relationships/hyperlink" Target="http://twitter.com/damienransome/statuses/1520890178105229312" TargetMode="External"/><Relationship Id="rId4260" Type="http://schemas.openxmlformats.org/officeDocument/2006/relationships/hyperlink" Target="http://twitter.com/marsman1258/statuses/1520986172138393601" TargetMode="External"/><Relationship Id="rId5592" Type="http://schemas.openxmlformats.org/officeDocument/2006/relationships/hyperlink" Target="http://twitter.com/gramt_g/statuses/1520889802127974400" TargetMode="External"/><Relationship Id="rId5593" Type="http://schemas.openxmlformats.org/officeDocument/2006/relationships/hyperlink" Target="http://pbs.twimg.com/profile_images/1474706775211397123/RD1qU9sY_normal.jpg" TargetMode="External"/><Relationship Id="rId4262" Type="http://schemas.openxmlformats.org/officeDocument/2006/relationships/hyperlink" Target="http://twitter.com/bernielhannon/statuses/1520985543206658049" TargetMode="External"/><Relationship Id="rId5590" Type="http://schemas.openxmlformats.org/officeDocument/2006/relationships/hyperlink" Target="http://twitter.com/beith123/statuses/1520889805348945924" TargetMode="External"/><Relationship Id="rId4261" Type="http://schemas.openxmlformats.org/officeDocument/2006/relationships/hyperlink" Target="http://pbs.twimg.com/profile_images/953662524670570496/JuIt7nA0_normal.jpg" TargetMode="External"/><Relationship Id="rId5591" Type="http://schemas.openxmlformats.org/officeDocument/2006/relationships/hyperlink" Target="http://pbs.twimg.com/profile_images/1287875955596365824/5uJkvOdK_normal.jpg" TargetMode="External"/><Relationship Id="rId4264" Type="http://schemas.openxmlformats.org/officeDocument/2006/relationships/hyperlink" Target="http://twitter.com/Colinpugh/statuses/1520985490928947200" TargetMode="External"/><Relationship Id="rId5596" Type="http://schemas.openxmlformats.org/officeDocument/2006/relationships/hyperlink" Target="http://twitter.com/Treensy2/statuses/1520889722826108928" TargetMode="External"/><Relationship Id="rId4263" Type="http://schemas.openxmlformats.org/officeDocument/2006/relationships/hyperlink" Target="http://pbs.twimg.com/profile_images/1495161004988276737/ejYtElfT_normal.jpg" TargetMode="External"/><Relationship Id="rId5597" Type="http://schemas.openxmlformats.org/officeDocument/2006/relationships/hyperlink" Target="http://abs.twimg.com/sticky/default_profile_images/default_profile_normal.png" TargetMode="External"/><Relationship Id="rId4266" Type="http://schemas.openxmlformats.org/officeDocument/2006/relationships/hyperlink" Target="http://twitter.com/JeanRognetta/statuses/1520985220090056706" TargetMode="External"/><Relationship Id="rId5594" Type="http://schemas.openxmlformats.org/officeDocument/2006/relationships/hyperlink" Target="http://twitter.com/beith123/statuses/1520889743730429953" TargetMode="External"/><Relationship Id="rId4265" Type="http://schemas.openxmlformats.org/officeDocument/2006/relationships/hyperlink" Target="http://pbs.twimg.com/profile_images/1510682077074763777/Ow5xfjjr_normal.jpg" TargetMode="External"/><Relationship Id="rId5595" Type="http://schemas.openxmlformats.org/officeDocument/2006/relationships/hyperlink" Target="http://pbs.twimg.com/profile_images/674307873153884165/IRp22KcM_normal.jpg" TargetMode="External"/><Relationship Id="rId4268" Type="http://schemas.openxmlformats.org/officeDocument/2006/relationships/hyperlink" Target="http://twitter.com/Mountie31/statuses/1520984796628934656" TargetMode="External"/><Relationship Id="rId4267" Type="http://schemas.openxmlformats.org/officeDocument/2006/relationships/hyperlink" Target="http://pbs.twimg.com/profile_images/654987586633650176/6QbN4IBi_normal.jpg" TargetMode="External"/><Relationship Id="rId5598" Type="http://schemas.openxmlformats.org/officeDocument/2006/relationships/hyperlink" Target="http://twitter.com/dollymix2015/statuses/1520889701393121285" TargetMode="External"/><Relationship Id="rId4269" Type="http://schemas.openxmlformats.org/officeDocument/2006/relationships/hyperlink" Target="http://pbs.twimg.com/profile_images/499482126589235201/cHBfeXwA_normal.png" TargetMode="External"/><Relationship Id="rId5599" Type="http://schemas.openxmlformats.org/officeDocument/2006/relationships/hyperlink" Target="http://pbs.twimg.com/profile_images/1419734103847424009/4fUqrtXK_normal.png" TargetMode="External"/><Relationship Id="rId5581" Type="http://schemas.openxmlformats.org/officeDocument/2006/relationships/hyperlink" Target="http://pbs.twimg.com/profile_images/885802090232258561/U7eG1FDo_normal.jpg" TargetMode="External"/><Relationship Id="rId5582" Type="http://schemas.openxmlformats.org/officeDocument/2006/relationships/hyperlink" Target="http://twitter.com/MilsomGillian/statuses/1520889870700453888" TargetMode="External"/><Relationship Id="rId4251" Type="http://schemas.openxmlformats.org/officeDocument/2006/relationships/hyperlink" Target="http://pbs.twimg.com/profile_images/1499661336082591746/RfztubrL_normal.jpg" TargetMode="External"/><Relationship Id="rId4250" Type="http://schemas.openxmlformats.org/officeDocument/2006/relationships/hyperlink" Target="http://twitter.com/spjw1/statuses/1520986821584474112" TargetMode="External"/><Relationship Id="rId5580" Type="http://schemas.openxmlformats.org/officeDocument/2006/relationships/hyperlink" Target="http://twitter.com/Katheri48033429/statuses/1520889903164370944" TargetMode="External"/><Relationship Id="rId4253" Type="http://schemas.openxmlformats.org/officeDocument/2006/relationships/hyperlink" Target="http://pbs.twimg.com/profile_images/755432594825682945/wTsAP0f0_normal.jpg" TargetMode="External"/><Relationship Id="rId5585" Type="http://schemas.openxmlformats.org/officeDocument/2006/relationships/hyperlink" Target="http://pbs.twimg.com/profile_images/985618906336415745/3l5WQocW_normal.jpg" TargetMode="External"/><Relationship Id="rId4252" Type="http://schemas.openxmlformats.org/officeDocument/2006/relationships/hyperlink" Target="http://twitter.com/HolyMole/statuses/1520986609843412992" TargetMode="External"/><Relationship Id="rId5586" Type="http://schemas.openxmlformats.org/officeDocument/2006/relationships/hyperlink" Target="http://twitter.com/VanesEtim/statuses/1520889828723863553" TargetMode="External"/><Relationship Id="rId4255" Type="http://schemas.openxmlformats.org/officeDocument/2006/relationships/hyperlink" Target="http://pbs.twimg.com/profile_images/1363753920061988866/U4aPv5ZE_normal.jpg" TargetMode="External"/><Relationship Id="rId5583" Type="http://schemas.openxmlformats.org/officeDocument/2006/relationships/hyperlink" Target="http://pbs.twimg.com/profile_images/1474706775211397123/RD1qU9sY_normal.jpg" TargetMode="External"/><Relationship Id="rId4254" Type="http://schemas.openxmlformats.org/officeDocument/2006/relationships/hyperlink" Target="http://twitter.com/elizavrose06/statuses/1520986418574675968" TargetMode="External"/><Relationship Id="rId5584" Type="http://schemas.openxmlformats.org/officeDocument/2006/relationships/hyperlink" Target="http://twitter.com/beith123/statuses/1520889869484150784" TargetMode="External"/><Relationship Id="rId4257" Type="http://schemas.openxmlformats.org/officeDocument/2006/relationships/hyperlink" Target="http://pbs.twimg.com/profile_images/1497122793829326853/PzHYJEQB_normal.jpg" TargetMode="External"/><Relationship Id="rId5589" Type="http://schemas.openxmlformats.org/officeDocument/2006/relationships/hyperlink" Target="http://pbs.twimg.com/profile_images/1474706775211397123/RD1qU9sY_normal.jpg" TargetMode="External"/><Relationship Id="rId4256" Type="http://schemas.openxmlformats.org/officeDocument/2006/relationships/hyperlink" Target="http://twitter.com/semajmrx/statuses/1520986278451425282" TargetMode="External"/><Relationship Id="rId4259" Type="http://schemas.openxmlformats.org/officeDocument/2006/relationships/hyperlink" Target="http://pbs.twimg.com/profile_images/1497122793829326853/PzHYJEQB_normal.jpg" TargetMode="External"/><Relationship Id="rId5587" Type="http://schemas.openxmlformats.org/officeDocument/2006/relationships/hyperlink" Target="http://pbs.twimg.com/profile_images/1451637130556497928/njx4FWwL_normal.jpg" TargetMode="External"/><Relationship Id="rId4258" Type="http://schemas.openxmlformats.org/officeDocument/2006/relationships/hyperlink" Target="http://twitter.com/marsman1258/statuses/1520986252476096512" TargetMode="External"/><Relationship Id="rId5588" Type="http://schemas.openxmlformats.org/officeDocument/2006/relationships/hyperlink" Target="http://twitter.com/lemonwhisper/statuses/1520889819475419136" TargetMode="External"/><Relationship Id="rId3810" Type="http://schemas.openxmlformats.org/officeDocument/2006/relationships/hyperlink" Target="http://twitter.com/JE_Hillier/statuses/1521004392849285120" TargetMode="External"/><Relationship Id="rId3812" Type="http://schemas.openxmlformats.org/officeDocument/2006/relationships/hyperlink" Target="http://twitter.com/thepetermesser/statuses/1521004363824701444" TargetMode="External"/><Relationship Id="rId3811" Type="http://schemas.openxmlformats.org/officeDocument/2006/relationships/hyperlink" Target="http://pbs.twimg.com/profile_images/757973124222689280/4XEeRFOJ_normal.jpg" TargetMode="External"/><Relationship Id="rId3814" Type="http://schemas.openxmlformats.org/officeDocument/2006/relationships/hyperlink" Target="http://twitter.com/mariamuser/statuses/1521004262226112519" TargetMode="External"/><Relationship Id="rId3813" Type="http://schemas.openxmlformats.org/officeDocument/2006/relationships/hyperlink" Target="http://pbs.twimg.com/profile_images/1507197815532965889/CSGHCobB_normal.jpg" TargetMode="External"/><Relationship Id="rId3816" Type="http://schemas.openxmlformats.org/officeDocument/2006/relationships/hyperlink" Target="http://twitter.com/TraceyAplin1/statuses/1521004254844096512" TargetMode="External"/><Relationship Id="rId3815" Type="http://schemas.openxmlformats.org/officeDocument/2006/relationships/hyperlink" Target="http://pbs.twimg.com/profile_images/1478318435746603008/P7Dy7yZ7_normal.jpg" TargetMode="External"/><Relationship Id="rId3818" Type="http://schemas.openxmlformats.org/officeDocument/2006/relationships/hyperlink" Target="http://twitter.com/mark147852/statuses/1521004068919033858" TargetMode="External"/><Relationship Id="rId3817" Type="http://schemas.openxmlformats.org/officeDocument/2006/relationships/hyperlink" Target="http://pbs.twimg.com/profile_images/1344929783365427200/SM5QFO6A_normal.jpg" TargetMode="External"/><Relationship Id="rId3819" Type="http://schemas.openxmlformats.org/officeDocument/2006/relationships/hyperlink" Target="http://pbs.twimg.com/profile_images/1163913767127789568/bV1APDX-_normal.jpg" TargetMode="External"/><Relationship Id="rId3801" Type="http://schemas.openxmlformats.org/officeDocument/2006/relationships/hyperlink" Target="http://pbs.twimg.com/profile_images/1507197815532965889/CSGHCobB_normal.jpg" TargetMode="External"/><Relationship Id="rId3800" Type="http://schemas.openxmlformats.org/officeDocument/2006/relationships/hyperlink" Target="http://twitter.com/Markkocpfc/statuses/1521004625104670721" TargetMode="External"/><Relationship Id="rId3803" Type="http://schemas.openxmlformats.org/officeDocument/2006/relationships/hyperlink" Target="http://pbs.twimg.com/profile_images/662694463458967552/n3BKfcti_normal.jpg" TargetMode="External"/><Relationship Id="rId3802" Type="http://schemas.openxmlformats.org/officeDocument/2006/relationships/hyperlink" Target="http://twitter.com/mariamuser/statuses/1521004528228777985" TargetMode="External"/><Relationship Id="rId3805" Type="http://schemas.openxmlformats.org/officeDocument/2006/relationships/hyperlink" Target="http://pbs.twimg.com/profile_images/1505058041770778630/y7BhP8YC_normal.jpg" TargetMode="External"/><Relationship Id="rId3804" Type="http://schemas.openxmlformats.org/officeDocument/2006/relationships/hyperlink" Target="http://twitter.com/MartinHarper62/statuses/1521004475447713798" TargetMode="External"/><Relationship Id="rId3807" Type="http://schemas.openxmlformats.org/officeDocument/2006/relationships/hyperlink" Target="http://pbs.twimg.com/profile_images/1489126691129765891/t7moQ5y2_normal.jpg" TargetMode="External"/><Relationship Id="rId3806" Type="http://schemas.openxmlformats.org/officeDocument/2006/relationships/hyperlink" Target="http://twitter.com/CamilleHurn/statuses/1521004443147374593" TargetMode="External"/><Relationship Id="rId3809" Type="http://schemas.openxmlformats.org/officeDocument/2006/relationships/hyperlink" Target="http://pbs.twimg.com/profile_images/1498607923215441921/R4EgMXC9_normal.jpg" TargetMode="External"/><Relationship Id="rId3808" Type="http://schemas.openxmlformats.org/officeDocument/2006/relationships/hyperlink" Target="http://twitter.com/workinlikeamum/statuses/1521004406879182848" TargetMode="External"/><Relationship Id="rId6010" Type="http://schemas.openxmlformats.org/officeDocument/2006/relationships/hyperlink" Target="http://twitter.com/JohnPBowenMusic/statuses/1520882498217070597" TargetMode="External"/><Relationship Id="rId6011" Type="http://schemas.openxmlformats.org/officeDocument/2006/relationships/hyperlink" Target="http://pbs.twimg.com/profile_images/1519795665752276992/IlG76RKj_normal.jpg" TargetMode="External"/><Relationship Id="rId6014" Type="http://schemas.openxmlformats.org/officeDocument/2006/relationships/hyperlink" Target="http://twitter.com/lunaperla/statuses/1520882450255208448" TargetMode="External"/><Relationship Id="rId6015" Type="http://schemas.openxmlformats.org/officeDocument/2006/relationships/drawing" Target="../drawings/drawing2.xml"/><Relationship Id="rId6012" Type="http://schemas.openxmlformats.org/officeDocument/2006/relationships/hyperlink" Target="http://twitter.com/AlasSmithJones/statuses/1520882487341326345" TargetMode="External"/><Relationship Id="rId6013" Type="http://schemas.openxmlformats.org/officeDocument/2006/relationships/hyperlink" Target="http://pbs.twimg.com/profile_images/1485902695835836416/Wyp5vhyZ_normal.jpg" TargetMode="External"/><Relationship Id="rId1213" Type="http://schemas.openxmlformats.org/officeDocument/2006/relationships/hyperlink" Target="http://pbs.twimg.com/profile_images/526489583538937856/WYjc6ewB_normal.jpeg" TargetMode="External"/><Relationship Id="rId2544" Type="http://schemas.openxmlformats.org/officeDocument/2006/relationships/hyperlink" Target="http://twitter.com/mad_cyclist/statuses/1521027929605656576" TargetMode="External"/><Relationship Id="rId3876" Type="http://schemas.openxmlformats.org/officeDocument/2006/relationships/hyperlink" Target="http://twitter.com/KenSterrett/statuses/1521002409987907585" TargetMode="External"/><Relationship Id="rId1214" Type="http://schemas.openxmlformats.org/officeDocument/2006/relationships/hyperlink" Target="http://twitter.com/AbordAlessandro/statuses/1521051137499176960" TargetMode="External"/><Relationship Id="rId2545" Type="http://schemas.openxmlformats.org/officeDocument/2006/relationships/hyperlink" Target="http://pbs.twimg.com/profile_images/3273682265/ac078e9a791efb4a35f5fac81935a15e_normal.jpeg" TargetMode="External"/><Relationship Id="rId3875" Type="http://schemas.openxmlformats.org/officeDocument/2006/relationships/hyperlink" Target="http://pbs.twimg.com/profile_images/378800000519504211/fbd85c891e19265fd3d4f6a929e2aa67_normal.jpeg" TargetMode="External"/><Relationship Id="rId1215" Type="http://schemas.openxmlformats.org/officeDocument/2006/relationships/hyperlink" Target="http://pbs.twimg.com/profile_images/1483462660909842434/rbkZGqn5_normal.jpg" TargetMode="External"/><Relationship Id="rId2546" Type="http://schemas.openxmlformats.org/officeDocument/2006/relationships/hyperlink" Target="http://twitter.com/meganthirlaway/statuses/1521027813905776641" TargetMode="External"/><Relationship Id="rId3878" Type="http://schemas.openxmlformats.org/officeDocument/2006/relationships/hyperlink" Target="http://twitter.com/angela28279009/statuses/1521002326877741059" TargetMode="External"/><Relationship Id="rId1216" Type="http://schemas.openxmlformats.org/officeDocument/2006/relationships/hyperlink" Target="http://twitter.com/tonyforde007/statuses/1521051081035456514" TargetMode="External"/><Relationship Id="rId2547" Type="http://schemas.openxmlformats.org/officeDocument/2006/relationships/hyperlink" Target="http://pbs.twimg.com/profile_images/1264567070739640320/id9Xhnep_normal.jpg" TargetMode="External"/><Relationship Id="rId3877" Type="http://schemas.openxmlformats.org/officeDocument/2006/relationships/hyperlink" Target="http://pbs.twimg.com/profile_images/1272813315232796672/-pH7EKZZ_normal.jpg" TargetMode="External"/><Relationship Id="rId1217" Type="http://schemas.openxmlformats.org/officeDocument/2006/relationships/hyperlink" Target="http://pbs.twimg.com/profile_images/1362082963/Tin_Tin_Windows_copy_1d_normal.jpg" TargetMode="External"/><Relationship Id="rId2548" Type="http://schemas.openxmlformats.org/officeDocument/2006/relationships/hyperlink" Target="http://twitter.com/GreenKnight60/statuses/1521027751456747521" TargetMode="External"/><Relationship Id="rId1218" Type="http://schemas.openxmlformats.org/officeDocument/2006/relationships/hyperlink" Target="http://twitter.com/philkop/statuses/1521051052124291072" TargetMode="External"/><Relationship Id="rId2549" Type="http://schemas.openxmlformats.org/officeDocument/2006/relationships/hyperlink" Target="http://pbs.twimg.com/profile_images/695161343402500097/SkvDI2cs_normal.jpg" TargetMode="External"/><Relationship Id="rId3879" Type="http://schemas.openxmlformats.org/officeDocument/2006/relationships/hyperlink" Target="http://pbs.twimg.com/profile_images/1272813315232796672/-pH7EKZZ_normal.jpg" TargetMode="External"/><Relationship Id="rId1219" Type="http://schemas.openxmlformats.org/officeDocument/2006/relationships/hyperlink" Target="http://pbs.twimg.com/profile_images/997900046921330688/FnUTdGSd_normal.jpg" TargetMode="External"/><Relationship Id="rId3870" Type="http://schemas.openxmlformats.org/officeDocument/2006/relationships/hyperlink" Target="http://twitter.com/Meltarps75Mel/statuses/1521002800188203009" TargetMode="External"/><Relationship Id="rId2540" Type="http://schemas.openxmlformats.org/officeDocument/2006/relationships/hyperlink" Target="http://twitter.com/BellaBeeBeeMe/statuses/1521028030109556736" TargetMode="External"/><Relationship Id="rId3872" Type="http://schemas.openxmlformats.org/officeDocument/2006/relationships/hyperlink" Target="http://twitter.com/FrannyHP/statuses/1521002761193771008" TargetMode="External"/><Relationship Id="rId1210" Type="http://schemas.openxmlformats.org/officeDocument/2006/relationships/hyperlink" Target="http://twitter.com/heather63262308/statuses/1521051309675368448" TargetMode="External"/><Relationship Id="rId2541" Type="http://schemas.openxmlformats.org/officeDocument/2006/relationships/hyperlink" Target="http://pbs.twimg.com/profile_images/854761881176870913/7_7sQqr1_normal.jpg" TargetMode="External"/><Relationship Id="rId3871" Type="http://schemas.openxmlformats.org/officeDocument/2006/relationships/hyperlink" Target="http://pbs.twimg.com/profile_images/1346947373260546048/wgvuSvl6_normal.jpg" TargetMode="External"/><Relationship Id="rId1211" Type="http://schemas.openxmlformats.org/officeDocument/2006/relationships/hyperlink" Target="http://pbs.twimg.com/profile_images/1282976464225349632/m3VKqD6Z_normal.jpg" TargetMode="External"/><Relationship Id="rId2542" Type="http://schemas.openxmlformats.org/officeDocument/2006/relationships/hyperlink" Target="http://twitter.com/BritsAgainst/statuses/1521028003811184640" TargetMode="External"/><Relationship Id="rId3874" Type="http://schemas.openxmlformats.org/officeDocument/2006/relationships/hyperlink" Target="http://twitter.com/Christo94672962/statuses/1521002418103894016" TargetMode="External"/><Relationship Id="rId1212" Type="http://schemas.openxmlformats.org/officeDocument/2006/relationships/hyperlink" Target="http://twitter.com/GIMAV_Italia/statuses/1521051185981108224" TargetMode="External"/><Relationship Id="rId2543" Type="http://schemas.openxmlformats.org/officeDocument/2006/relationships/hyperlink" Target="http://pbs.twimg.com/profile_images/119950825/PennyFarthing_normal.jpg" TargetMode="External"/><Relationship Id="rId3873" Type="http://schemas.openxmlformats.org/officeDocument/2006/relationships/hyperlink" Target="http://pbs.twimg.com/profile_images/1105101420406194177/kmCqAGlN_normal.jpg" TargetMode="External"/><Relationship Id="rId1202" Type="http://schemas.openxmlformats.org/officeDocument/2006/relationships/hyperlink" Target="http://twitter.com/localnotail/statuses/1521051476117839872" TargetMode="External"/><Relationship Id="rId2533" Type="http://schemas.openxmlformats.org/officeDocument/2006/relationships/hyperlink" Target="http://pbs.twimg.com/profile_images/1194230296486563840/iCQhr9fs_normal.jpg" TargetMode="External"/><Relationship Id="rId3865" Type="http://schemas.openxmlformats.org/officeDocument/2006/relationships/hyperlink" Target="http://pbs.twimg.com/profile_images/1465604756/IMG_8011_normal.JPG" TargetMode="External"/><Relationship Id="rId1203" Type="http://schemas.openxmlformats.org/officeDocument/2006/relationships/hyperlink" Target="http://pbs.twimg.com/profile_images/3441903960/876be75a4c778a555ddca9b252ca40f7_normal.jpeg" TargetMode="External"/><Relationship Id="rId2534" Type="http://schemas.openxmlformats.org/officeDocument/2006/relationships/hyperlink" Target="http://twitter.com/Hendrik_Senn/statuses/1521028169112997889" TargetMode="External"/><Relationship Id="rId3864" Type="http://schemas.openxmlformats.org/officeDocument/2006/relationships/hyperlink" Target="http://twitter.com/angryEuphemist/statuses/1521002876008546306" TargetMode="External"/><Relationship Id="rId1204" Type="http://schemas.openxmlformats.org/officeDocument/2006/relationships/hyperlink" Target="http://twitter.com/BobbyRhosneigr/statuses/1521051449773498373" TargetMode="External"/><Relationship Id="rId2535" Type="http://schemas.openxmlformats.org/officeDocument/2006/relationships/hyperlink" Target="http://pbs.twimg.com/profile_images/1492884235383939075/uI6Wz4lx_normal.jpg" TargetMode="External"/><Relationship Id="rId3867" Type="http://schemas.openxmlformats.org/officeDocument/2006/relationships/hyperlink" Target="http://pbs.twimg.com/profile_images/981148729528012800/sziTLAZq_normal.jpg" TargetMode="External"/><Relationship Id="rId1205" Type="http://schemas.openxmlformats.org/officeDocument/2006/relationships/hyperlink" Target="http://pbs.twimg.com/profile_images/689885650926067712/x3lQF2q5_normal.jpg" TargetMode="External"/><Relationship Id="rId2536" Type="http://schemas.openxmlformats.org/officeDocument/2006/relationships/hyperlink" Target="http://twitter.com/DeeMadi54819377/statuses/1521028088854986754" TargetMode="External"/><Relationship Id="rId3866" Type="http://schemas.openxmlformats.org/officeDocument/2006/relationships/hyperlink" Target="http://twitter.com/ArchonLondon/statuses/1521002875207536641" TargetMode="External"/><Relationship Id="rId1206" Type="http://schemas.openxmlformats.org/officeDocument/2006/relationships/hyperlink" Target="http://twitter.com/BirdBlondebird/statuses/1521051420274876416" TargetMode="External"/><Relationship Id="rId2537" Type="http://schemas.openxmlformats.org/officeDocument/2006/relationships/hyperlink" Target="http://pbs.twimg.com/profile_images/1497860817852772353/gszflyW2_normal.jpg" TargetMode="External"/><Relationship Id="rId3869" Type="http://schemas.openxmlformats.org/officeDocument/2006/relationships/hyperlink" Target="http://pbs.twimg.com/profile_images/1354083875513905154/HRqjxaUW_normal.jpg" TargetMode="External"/><Relationship Id="rId1207" Type="http://schemas.openxmlformats.org/officeDocument/2006/relationships/hyperlink" Target="http://pbs.twimg.com/profile_images/637220665792270336/YqrdypTt_normal.jpg" TargetMode="External"/><Relationship Id="rId2538" Type="http://schemas.openxmlformats.org/officeDocument/2006/relationships/hyperlink" Target="http://twitter.com/SandraDunn1955/statuses/1521028058010030081" TargetMode="External"/><Relationship Id="rId3868" Type="http://schemas.openxmlformats.org/officeDocument/2006/relationships/hyperlink" Target="http://twitter.com/Danny_Newell/statuses/1521002801064812546" TargetMode="External"/><Relationship Id="rId1208" Type="http://schemas.openxmlformats.org/officeDocument/2006/relationships/hyperlink" Target="http://twitter.com/Monkiflops/statuses/1521051332701995009" TargetMode="External"/><Relationship Id="rId2539" Type="http://schemas.openxmlformats.org/officeDocument/2006/relationships/hyperlink" Target="http://pbs.twimg.com/profile_images/1431323649554927621/r4W8vDQk_normal.jpg" TargetMode="External"/><Relationship Id="rId1209" Type="http://schemas.openxmlformats.org/officeDocument/2006/relationships/hyperlink" Target="http://pbs.twimg.com/profile_images/1047199981650829312/cWYK7Lq__normal.jpg" TargetMode="External"/><Relationship Id="rId3861" Type="http://schemas.openxmlformats.org/officeDocument/2006/relationships/hyperlink" Target="http://pbs.twimg.com/profile_images/1342008550659403778/yXszUuO__normal.jpg" TargetMode="External"/><Relationship Id="rId2530" Type="http://schemas.openxmlformats.org/officeDocument/2006/relationships/hyperlink" Target="http://twitter.com/LucyBauduin/statuses/1521028194152947714" TargetMode="External"/><Relationship Id="rId3860" Type="http://schemas.openxmlformats.org/officeDocument/2006/relationships/hyperlink" Target="http://twitter.com/Sue35497795/statuses/1521002909500153856" TargetMode="External"/><Relationship Id="rId1200" Type="http://schemas.openxmlformats.org/officeDocument/2006/relationships/hyperlink" Target="http://twitter.com/BarbarasShears/statuses/1521051481457270784" TargetMode="External"/><Relationship Id="rId2531" Type="http://schemas.openxmlformats.org/officeDocument/2006/relationships/hyperlink" Target="http://pbs.twimg.com/profile_images/1517479735772782592/xNVPg4jb_normal.jpg" TargetMode="External"/><Relationship Id="rId3863" Type="http://schemas.openxmlformats.org/officeDocument/2006/relationships/hyperlink" Target="http://pbs.twimg.com/profile_images/1268209047611809793/TMyzzbKn_normal.jpg" TargetMode="External"/><Relationship Id="rId1201" Type="http://schemas.openxmlformats.org/officeDocument/2006/relationships/hyperlink" Target="http://pbs.twimg.com/profile_images/1484516190768844801/OJWFL-Ou_normal.jpg" TargetMode="External"/><Relationship Id="rId2532" Type="http://schemas.openxmlformats.org/officeDocument/2006/relationships/hyperlink" Target="http://twitter.com/roger_hash/statuses/1521028174842322944" TargetMode="External"/><Relationship Id="rId3862" Type="http://schemas.openxmlformats.org/officeDocument/2006/relationships/hyperlink" Target="http://twitter.com/JPM06848080/statuses/1521002878697185281" TargetMode="External"/><Relationship Id="rId1235" Type="http://schemas.openxmlformats.org/officeDocument/2006/relationships/hyperlink" Target="http://pbs.twimg.com/profile_images/1281627143961751552/22JXdJBS_normal.jpg" TargetMode="External"/><Relationship Id="rId2566" Type="http://schemas.openxmlformats.org/officeDocument/2006/relationships/hyperlink" Target="http://twitter.com/ExasperatedTory/statuses/1521027188304265217" TargetMode="External"/><Relationship Id="rId3898" Type="http://schemas.openxmlformats.org/officeDocument/2006/relationships/hyperlink" Target="http://twitter.com/TrowsdaleGary/statuses/1521001940087414785" TargetMode="External"/><Relationship Id="rId1236" Type="http://schemas.openxmlformats.org/officeDocument/2006/relationships/hyperlink" Target="http://twitter.com/ZebraQueen1969/statuses/1521050608513466368" TargetMode="External"/><Relationship Id="rId2567" Type="http://schemas.openxmlformats.org/officeDocument/2006/relationships/hyperlink" Target="http://pbs.twimg.com/profile_images/1518933263544307712/0wTQ63J3_normal.jpg" TargetMode="External"/><Relationship Id="rId3897" Type="http://schemas.openxmlformats.org/officeDocument/2006/relationships/hyperlink" Target="http://pbs.twimg.com/profile_images/1508400544246906882/rZnvkUzU_normal.jpg" TargetMode="External"/><Relationship Id="rId1237" Type="http://schemas.openxmlformats.org/officeDocument/2006/relationships/hyperlink" Target="http://pbs.twimg.com/profile_images/1278205910087852033/xPGZv6hA_normal.jpg" TargetMode="External"/><Relationship Id="rId2568" Type="http://schemas.openxmlformats.org/officeDocument/2006/relationships/hyperlink" Target="http://twitter.com/TheLoganIndia/statuses/1521027160563015680" TargetMode="External"/><Relationship Id="rId1238" Type="http://schemas.openxmlformats.org/officeDocument/2006/relationships/hyperlink" Target="http://twitter.com/KKilcoyne/statuses/1521050604235333632" TargetMode="External"/><Relationship Id="rId2569" Type="http://schemas.openxmlformats.org/officeDocument/2006/relationships/hyperlink" Target="http://pbs.twimg.com/profile_images/1520004580255612928/B9CNn_z8_normal.jpg" TargetMode="External"/><Relationship Id="rId3899" Type="http://schemas.openxmlformats.org/officeDocument/2006/relationships/hyperlink" Target="http://pbs.twimg.com/profile_images/517686070893223938/8xfuK_vt_normal.jpeg" TargetMode="External"/><Relationship Id="rId1239" Type="http://schemas.openxmlformats.org/officeDocument/2006/relationships/hyperlink" Target="http://pbs.twimg.com/profile_images/1491458841338388481/qNO8oRMX_normal.jpg" TargetMode="External"/><Relationship Id="rId409" Type="http://schemas.openxmlformats.org/officeDocument/2006/relationships/hyperlink" Target="http://pbs.twimg.com/profile_images/1167348497/5_Years_normal.jpg" TargetMode="External"/><Relationship Id="rId404" Type="http://schemas.openxmlformats.org/officeDocument/2006/relationships/hyperlink" Target="http://twitter.com/infamousgrouser/statuses/1521065729897947137" TargetMode="External"/><Relationship Id="rId403" Type="http://schemas.openxmlformats.org/officeDocument/2006/relationships/hyperlink" Target="http://pbs.twimg.com/profile_images/1090722184547319808/SPDT0VnZ_normal.jpg" TargetMode="External"/><Relationship Id="rId402" Type="http://schemas.openxmlformats.org/officeDocument/2006/relationships/hyperlink" Target="http://twitter.com/AleksandarGodic/statuses/1521065738303381504" TargetMode="External"/><Relationship Id="rId401" Type="http://schemas.openxmlformats.org/officeDocument/2006/relationships/hyperlink" Target="http://pbs.twimg.com/profile_images/1309576876055310336/zKoSLPtp_normal.jpg" TargetMode="External"/><Relationship Id="rId408" Type="http://schemas.openxmlformats.org/officeDocument/2006/relationships/hyperlink" Target="http://twitter.com/palmaz2112/statuses/1521065669160230912" TargetMode="External"/><Relationship Id="rId407" Type="http://schemas.openxmlformats.org/officeDocument/2006/relationships/hyperlink" Target="http://pbs.twimg.com/profile_images/1259116206059126785/vagm8EJ-_normal.jpg" TargetMode="External"/><Relationship Id="rId406" Type="http://schemas.openxmlformats.org/officeDocument/2006/relationships/hyperlink" Target="http://twitter.com/Val_Do/statuses/1521065674524827649" TargetMode="External"/><Relationship Id="rId405" Type="http://schemas.openxmlformats.org/officeDocument/2006/relationships/hyperlink" Target="http://pbs.twimg.com/profile_images/1477358120003424259/yZy9IVcR_normal.jpg" TargetMode="External"/><Relationship Id="rId3890" Type="http://schemas.openxmlformats.org/officeDocument/2006/relationships/hyperlink" Target="http://twitter.com/Poorinthepocket/statuses/1521002113559670784" TargetMode="External"/><Relationship Id="rId2560" Type="http://schemas.openxmlformats.org/officeDocument/2006/relationships/hyperlink" Target="http://twitter.com/PGuppy/statuses/1521027361331949569" TargetMode="External"/><Relationship Id="rId3892" Type="http://schemas.openxmlformats.org/officeDocument/2006/relationships/hyperlink" Target="http://twitter.com/angela28279009/statuses/1521002080655261696" TargetMode="External"/><Relationship Id="rId1230" Type="http://schemas.openxmlformats.org/officeDocument/2006/relationships/hyperlink" Target="http://twitter.com/KerryThomas20/statuses/1521050736955691014" TargetMode="External"/><Relationship Id="rId2561" Type="http://schemas.openxmlformats.org/officeDocument/2006/relationships/hyperlink" Target="http://pbs.twimg.com/profile_images/1269381814797447169/LeoStJaN_normal.jpg" TargetMode="External"/><Relationship Id="rId3891" Type="http://schemas.openxmlformats.org/officeDocument/2006/relationships/hyperlink" Target="http://pbs.twimg.com/profile_images/1272813315232796672/-pH7EKZZ_normal.jpg" TargetMode="External"/><Relationship Id="rId400" Type="http://schemas.openxmlformats.org/officeDocument/2006/relationships/hyperlink" Target="http://twitter.com/Familist/statuses/1521065771228712960" TargetMode="External"/><Relationship Id="rId1231" Type="http://schemas.openxmlformats.org/officeDocument/2006/relationships/hyperlink" Target="http://pbs.twimg.com/profile_images/843588435520700416/vjPy2oz9_normal.jpg" TargetMode="External"/><Relationship Id="rId2562" Type="http://schemas.openxmlformats.org/officeDocument/2006/relationships/hyperlink" Target="http://twitter.com/YvonnecWhelan/statuses/1521027279832420352" TargetMode="External"/><Relationship Id="rId3894" Type="http://schemas.openxmlformats.org/officeDocument/2006/relationships/hyperlink" Target="http://twitter.com/PhilDuck/statuses/1521002019670171648" TargetMode="External"/><Relationship Id="rId1232" Type="http://schemas.openxmlformats.org/officeDocument/2006/relationships/hyperlink" Target="http://twitter.com/bneintellinews/statuses/1521050649647058945" TargetMode="External"/><Relationship Id="rId2563" Type="http://schemas.openxmlformats.org/officeDocument/2006/relationships/hyperlink" Target="http://pbs.twimg.com/profile_images/1497819662515687424/pw1TAgU8_normal.jpg" TargetMode="External"/><Relationship Id="rId3893" Type="http://schemas.openxmlformats.org/officeDocument/2006/relationships/hyperlink" Target="http://pbs.twimg.com/profile_images/1433537310/ANUBIS_normal.jpg" TargetMode="External"/><Relationship Id="rId1233" Type="http://schemas.openxmlformats.org/officeDocument/2006/relationships/hyperlink" Target="http://pbs.twimg.com/profile_images/75970943/GB_presenting_normal.JPG" TargetMode="External"/><Relationship Id="rId2564" Type="http://schemas.openxmlformats.org/officeDocument/2006/relationships/hyperlink" Target="http://twitter.com/NYLonGirl/statuses/1521027248408641537" TargetMode="External"/><Relationship Id="rId3896" Type="http://schemas.openxmlformats.org/officeDocument/2006/relationships/hyperlink" Target="http://twitter.com/AlfRendo123/statuses/1521001984844783622" TargetMode="External"/><Relationship Id="rId1234" Type="http://schemas.openxmlformats.org/officeDocument/2006/relationships/hyperlink" Target="http://twitter.com/BizGrowthGB/statuses/1521050637672321024" TargetMode="External"/><Relationship Id="rId2565" Type="http://schemas.openxmlformats.org/officeDocument/2006/relationships/hyperlink" Target="http://pbs.twimg.com/profile_images/1328192899276820481/kJRCPYQq_normal.jpg" TargetMode="External"/><Relationship Id="rId3895" Type="http://schemas.openxmlformats.org/officeDocument/2006/relationships/hyperlink" Target="http://pbs.twimg.com/profile_images/873103854665048065/R92g4jju_normal.jpg" TargetMode="External"/><Relationship Id="rId1224" Type="http://schemas.openxmlformats.org/officeDocument/2006/relationships/hyperlink" Target="http://twitter.com/BarnAnt14/statuses/1521050852374552576" TargetMode="External"/><Relationship Id="rId2555" Type="http://schemas.openxmlformats.org/officeDocument/2006/relationships/hyperlink" Target="http://pbs.twimg.com/profile_images/1015261462267420673/EBuJ0Uds_normal.jpg" TargetMode="External"/><Relationship Id="rId3887" Type="http://schemas.openxmlformats.org/officeDocument/2006/relationships/hyperlink" Target="http://pbs.twimg.com/profile_images/1272813315232796672/-pH7EKZZ_normal.jpg" TargetMode="External"/><Relationship Id="rId1225" Type="http://schemas.openxmlformats.org/officeDocument/2006/relationships/hyperlink" Target="http://pbs.twimg.com/profile_images/1035568097191702529/9JWQUYZ__normal.jpg" TargetMode="External"/><Relationship Id="rId2556" Type="http://schemas.openxmlformats.org/officeDocument/2006/relationships/hyperlink" Target="http://twitter.com/LadBrixton/statuses/1521027427979468801" TargetMode="External"/><Relationship Id="rId3886" Type="http://schemas.openxmlformats.org/officeDocument/2006/relationships/hyperlink" Target="http://twitter.com/CARogersNo1/statuses/1521002161043349504" TargetMode="External"/><Relationship Id="rId1226" Type="http://schemas.openxmlformats.org/officeDocument/2006/relationships/hyperlink" Target="http://twitter.com/samuelbhfaure/statuses/1521050819214422016" TargetMode="External"/><Relationship Id="rId2557" Type="http://schemas.openxmlformats.org/officeDocument/2006/relationships/hyperlink" Target="http://pbs.twimg.com/profile_images/1674080911/IMG_3082_normal.JPG" TargetMode="External"/><Relationship Id="rId3889" Type="http://schemas.openxmlformats.org/officeDocument/2006/relationships/hyperlink" Target="http://pbs.twimg.com/profile_images/1464140333189586956/LZKOti9U_normal.jpg" TargetMode="External"/><Relationship Id="rId1227" Type="http://schemas.openxmlformats.org/officeDocument/2006/relationships/hyperlink" Target="http://pbs.twimg.com/profile_images/1520369159892344833/Y9e_R8td_normal.jpg" TargetMode="External"/><Relationship Id="rId2558" Type="http://schemas.openxmlformats.org/officeDocument/2006/relationships/hyperlink" Target="http://twitter.com/Ben63/statuses/1521027409721581568" TargetMode="External"/><Relationship Id="rId3888" Type="http://schemas.openxmlformats.org/officeDocument/2006/relationships/hyperlink" Target="http://twitter.com/angela28279009/statuses/1521002134896054274" TargetMode="External"/><Relationship Id="rId1228" Type="http://schemas.openxmlformats.org/officeDocument/2006/relationships/hyperlink" Target="http://twitter.com/SirCCodpiece/statuses/1521050747521179648" TargetMode="External"/><Relationship Id="rId2559" Type="http://schemas.openxmlformats.org/officeDocument/2006/relationships/hyperlink" Target="http://pbs.twimg.com/profile_images/956960106104676354/tVZWza17_normal.jpg" TargetMode="External"/><Relationship Id="rId1229" Type="http://schemas.openxmlformats.org/officeDocument/2006/relationships/hyperlink" Target="http://pbs.twimg.com/profile_images/1468169434984501249/WIBZPG-b_normal.jpg" TargetMode="External"/><Relationship Id="rId3881" Type="http://schemas.openxmlformats.org/officeDocument/2006/relationships/hyperlink" Target="http://pbs.twimg.com/profile_images/2775095798/8c1ca1aa99adafb604267bf3dcb65acd_normal.jpeg" TargetMode="External"/><Relationship Id="rId2550" Type="http://schemas.openxmlformats.org/officeDocument/2006/relationships/hyperlink" Target="http://twitter.com/Paultomlin8/statuses/1521027731118563328" TargetMode="External"/><Relationship Id="rId3880" Type="http://schemas.openxmlformats.org/officeDocument/2006/relationships/hyperlink" Target="http://twitter.com/angela28279009/statuses/1521002281709277185" TargetMode="External"/><Relationship Id="rId1220" Type="http://schemas.openxmlformats.org/officeDocument/2006/relationships/hyperlink" Target="http://twitter.com/manicvic/statuses/1521051015897915393" TargetMode="External"/><Relationship Id="rId2551" Type="http://schemas.openxmlformats.org/officeDocument/2006/relationships/hyperlink" Target="http://pbs.twimg.com/profile_images/1477412611138465793/6PeqwAn4_normal.jpg" TargetMode="External"/><Relationship Id="rId3883" Type="http://schemas.openxmlformats.org/officeDocument/2006/relationships/hyperlink" Target="http://pbs.twimg.com/profile_images/1272813315232796672/-pH7EKZZ_normal.jpg" TargetMode="External"/><Relationship Id="rId1221" Type="http://schemas.openxmlformats.org/officeDocument/2006/relationships/hyperlink" Target="http://pbs.twimg.com/profile_images/1497608564344561672/Bnlm0Vye_normal.jpg" TargetMode="External"/><Relationship Id="rId2552" Type="http://schemas.openxmlformats.org/officeDocument/2006/relationships/hyperlink" Target="http://twitter.com/Nj99625368/statuses/1521027678291308546" TargetMode="External"/><Relationship Id="rId3882" Type="http://schemas.openxmlformats.org/officeDocument/2006/relationships/hyperlink" Target="http://twitter.com/Dwalingen/statuses/1521002244111482881" TargetMode="External"/><Relationship Id="rId1222" Type="http://schemas.openxmlformats.org/officeDocument/2006/relationships/hyperlink" Target="http://twitter.com/WeRThe48Percent/statuses/1521050857571241984" TargetMode="External"/><Relationship Id="rId2553" Type="http://schemas.openxmlformats.org/officeDocument/2006/relationships/hyperlink" Target="http://pbs.twimg.com/profile_images/1024397459471122432/zUA9-eJg_normal.jpg" TargetMode="External"/><Relationship Id="rId3885" Type="http://schemas.openxmlformats.org/officeDocument/2006/relationships/hyperlink" Target="http://pbs.twimg.com/profile_images/1501854228091965444/uVna59mV_normal.jpg" TargetMode="External"/><Relationship Id="rId1223" Type="http://schemas.openxmlformats.org/officeDocument/2006/relationships/hyperlink" Target="http://pbs.twimg.com/profile_images/748901601570586624/aRJD6Rjj_normal.jpg" TargetMode="External"/><Relationship Id="rId2554" Type="http://schemas.openxmlformats.org/officeDocument/2006/relationships/hyperlink" Target="http://twitter.com/EMSouthCheshire/statuses/1521027540567183361" TargetMode="External"/><Relationship Id="rId3884" Type="http://schemas.openxmlformats.org/officeDocument/2006/relationships/hyperlink" Target="http://twitter.com/angela28279009/statuses/1521002220300480512" TargetMode="External"/><Relationship Id="rId2500" Type="http://schemas.openxmlformats.org/officeDocument/2006/relationships/hyperlink" Target="http://twitter.com/RichardHewison/statuses/1521028742499426304" TargetMode="External"/><Relationship Id="rId3832" Type="http://schemas.openxmlformats.org/officeDocument/2006/relationships/hyperlink" Target="http://twitter.com/Myerskate92Kate/statuses/1521003397981351937" TargetMode="External"/><Relationship Id="rId2501" Type="http://schemas.openxmlformats.org/officeDocument/2006/relationships/hyperlink" Target="http://pbs.twimg.com/profile_images/790963143207968768/XAgAT8vO_normal.jpg" TargetMode="External"/><Relationship Id="rId3831" Type="http://schemas.openxmlformats.org/officeDocument/2006/relationships/hyperlink" Target="http://pbs.twimg.com/profile_images/760203504510242818/SDbA5UKR_normal.jpg" TargetMode="External"/><Relationship Id="rId2502" Type="http://schemas.openxmlformats.org/officeDocument/2006/relationships/hyperlink" Target="http://twitter.com/ThanGenghisKhan/statuses/1521028742495277058" TargetMode="External"/><Relationship Id="rId3834" Type="http://schemas.openxmlformats.org/officeDocument/2006/relationships/hyperlink" Target="http://twitter.com/Sharpy47/statuses/1521003393703100417" TargetMode="External"/><Relationship Id="rId2503" Type="http://schemas.openxmlformats.org/officeDocument/2006/relationships/hyperlink" Target="http://pbs.twimg.com/profile_images/729973754940542976/lGFQeKOe_normal.jpg" TargetMode="External"/><Relationship Id="rId3833" Type="http://schemas.openxmlformats.org/officeDocument/2006/relationships/hyperlink" Target="http://pbs.twimg.com/profile_images/1277898363082506240/7jxf-3I7_normal.jpg" TargetMode="External"/><Relationship Id="rId2504" Type="http://schemas.openxmlformats.org/officeDocument/2006/relationships/hyperlink" Target="http://twitter.com/johnrobertforde/statuses/1521028687038136322" TargetMode="External"/><Relationship Id="rId3836" Type="http://schemas.openxmlformats.org/officeDocument/2006/relationships/hyperlink" Target="http://twitter.com/csrvermaak/statuses/1521003350904512513" TargetMode="External"/><Relationship Id="rId2505" Type="http://schemas.openxmlformats.org/officeDocument/2006/relationships/hyperlink" Target="http://pbs.twimg.com/profile_images/1121757785497190400/kJvbFzTy_normal.jpg" TargetMode="External"/><Relationship Id="rId3835" Type="http://schemas.openxmlformats.org/officeDocument/2006/relationships/hyperlink" Target="http://pbs.twimg.com/profile_images/1374039971821142016/U887X-U2_normal.jpg" TargetMode="External"/><Relationship Id="rId2506" Type="http://schemas.openxmlformats.org/officeDocument/2006/relationships/hyperlink" Target="http://twitter.com/jamdodger4/statuses/1521028666674892801" TargetMode="External"/><Relationship Id="rId3838" Type="http://schemas.openxmlformats.org/officeDocument/2006/relationships/hyperlink" Target="http://twitter.com/JosieParr1/statuses/1521003301701095424" TargetMode="External"/><Relationship Id="rId2507" Type="http://schemas.openxmlformats.org/officeDocument/2006/relationships/hyperlink" Target="http://pbs.twimg.com/profile_images/1121757785497190400/kJvbFzTy_normal.jpg" TargetMode="External"/><Relationship Id="rId3837" Type="http://schemas.openxmlformats.org/officeDocument/2006/relationships/hyperlink" Target="http://pbs.twimg.com/profile_images/1344700656842661888/LUFsp1z__normal.jpg" TargetMode="External"/><Relationship Id="rId2508" Type="http://schemas.openxmlformats.org/officeDocument/2006/relationships/hyperlink" Target="http://twitter.com/jamdodger4/statuses/1521028653097918465" TargetMode="External"/><Relationship Id="rId2509" Type="http://schemas.openxmlformats.org/officeDocument/2006/relationships/hyperlink" Target="http://pbs.twimg.com/profile_images/1066408206954582021/RaKE_iFB_normal.jpg" TargetMode="External"/><Relationship Id="rId3839" Type="http://schemas.openxmlformats.org/officeDocument/2006/relationships/hyperlink" Target="http://pbs.twimg.com/profile_images/1512499620492058635/3myVeOAA_normal.jpg" TargetMode="External"/><Relationship Id="rId3830" Type="http://schemas.openxmlformats.org/officeDocument/2006/relationships/hyperlink" Target="http://twitter.com/JackHen16271194/statuses/1521003506592890880" TargetMode="External"/><Relationship Id="rId3821" Type="http://schemas.openxmlformats.org/officeDocument/2006/relationships/hyperlink" Target="http://pbs.twimg.com/profile_images/1273385880053563393/GNt0yhwU_normal.jpg" TargetMode="External"/><Relationship Id="rId3820" Type="http://schemas.openxmlformats.org/officeDocument/2006/relationships/hyperlink" Target="http://twitter.com/WiddecombeB/statuses/1521003969119719424" TargetMode="External"/><Relationship Id="rId3823" Type="http://schemas.openxmlformats.org/officeDocument/2006/relationships/hyperlink" Target="http://pbs.twimg.com/profile_images/792623357304987648/35beELYF_normal.jpg" TargetMode="External"/><Relationship Id="rId3822" Type="http://schemas.openxmlformats.org/officeDocument/2006/relationships/hyperlink" Target="http://twitter.com/richardpantlin/statuses/1521003926367227905" TargetMode="External"/><Relationship Id="rId3825" Type="http://schemas.openxmlformats.org/officeDocument/2006/relationships/hyperlink" Target="http://pbs.twimg.com/profile_images/1372194369088937991/4AR-ZY1I_normal.jpg" TargetMode="External"/><Relationship Id="rId3824" Type="http://schemas.openxmlformats.org/officeDocument/2006/relationships/hyperlink" Target="http://twitter.com/marcusfidge/statuses/1521003875548995584" TargetMode="External"/><Relationship Id="rId3827" Type="http://schemas.openxmlformats.org/officeDocument/2006/relationships/hyperlink" Target="http://pbs.twimg.com/profile_images/1337458027989962753/6S4K-2ly_normal.jpg" TargetMode="External"/><Relationship Id="rId3826" Type="http://schemas.openxmlformats.org/officeDocument/2006/relationships/hyperlink" Target="http://twitter.com/Kel70824886/statuses/1521003559055249409" TargetMode="External"/><Relationship Id="rId3829" Type="http://schemas.openxmlformats.org/officeDocument/2006/relationships/hyperlink" Target="http://pbs.twimg.com/profile_images/1364310685103108104/fRvVL4Hv_normal.jpg" TargetMode="External"/><Relationship Id="rId3828" Type="http://schemas.openxmlformats.org/officeDocument/2006/relationships/hyperlink" Target="http://twitter.com/audouin1b/statuses/1521003552839196672" TargetMode="External"/><Relationship Id="rId2522" Type="http://schemas.openxmlformats.org/officeDocument/2006/relationships/hyperlink" Target="http://twitter.com/WNethercott/statuses/1521028450835914753" TargetMode="External"/><Relationship Id="rId3854" Type="http://schemas.openxmlformats.org/officeDocument/2006/relationships/hyperlink" Target="http://twitter.com/Scout342/statuses/1521003043680096257" TargetMode="External"/><Relationship Id="rId2523" Type="http://schemas.openxmlformats.org/officeDocument/2006/relationships/hyperlink" Target="http://pbs.twimg.com/profile_images/1497495479596290048/h7Sx2QTN_normal.jpg" TargetMode="External"/><Relationship Id="rId3853" Type="http://schemas.openxmlformats.org/officeDocument/2006/relationships/hyperlink" Target="http://pbs.twimg.com/profile_images/1504826660717215758/0bCh4IxE_normal.jpg" TargetMode="External"/><Relationship Id="rId2524" Type="http://schemas.openxmlformats.org/officeDocument/2006/relationships/hyperlink" Target="http://twitter.com/MutliRaceMan/statuses/1521028430665555970" TargetMode="External"/><Relationship Id="rId3856" Type="http://schemas.openxmlformats.org/officeDocument/2006/relationships/hyperlink" Target="http://twitter.com/mylovelyhorsie/statuses/1521002991456866304" TargetMode="External"/><Relationship Id="rId2525" Type="http://schemas.openxmlformats.org/officeDocument/2006/relationships/hyperlink" Target="http://abs.twimg.com/sticky/default_profile_images/default_profile_normal.png" TargetMode="External"/><Relationship Id="rId3855" Type="http://schemas.openxmlformats.org/officeDocument/2006/relationships/hyperlink" Target="http://pbs.twimg.com/profile_images/1167173783414853632/TNaMf7VU_normal.jpg" TargetMode="External"/><Relationship Id="rId2526" Type="http://schemas.openxmlformats.org/officeDocument/2006/relationships/hyperlink" Target="http://twitter.com/fiercetiger103/statuses/1521028381969629184" TargetMode="External"/><Relationship Id="rId3858" Type="http://schemas.openxmlformats.org/officeDocument/2006/relationships/hyperlink" Target="http://twitter.com/angryEuphemist/statuses/1521002925925048320" TargetMode="External"/><Relationship Id="rId2527" Type="http://schemas.openxmlformats.org/officeDocument/2006/relationships/hyperlink" Target="http://pbs.twimg.com/profile_images/1024397459471122432/zUA9-eJg_normal.jpg" TargetMode="External"/><Relationship Id="rId3857" Type="http://schemas.openxmlformats.org/officeDocument/2006/relationships/hyperlink" Target="http://pbs.twimg.com/profile_images/1268209047611809793/TMyzzbKn_normal.jpg" TargetMode="External"/><Relationship Id="rId2528" Type="http://schemas.openxmlformats.org/officeDocument/2006/relationships/hyperlink" Target="http://twitter.com/EMSouthCheshire/statuses/1521028332057411584" TargetMode="External"/><Relationship Id="rId2529" Type="http://schemas.openxmlformats.org/officeDocument/2006/relationships/hyperlink" Target="http://pbs.twimg.com/profile_images/1507054220897366020/FoofqqkK_normal.jpg" TargetMode="External"/><Relationship Id="rId3859" Type="http://schemas.openxmlformats.org/officeDocument/2006/relationships/hyperlink" Target="http://pbs.twimg.com/profile_images/1264428781948801024/JTiZb3EP_normal.jpg" TargetMode="External"/><Relationship Id="rId3850" Type="http://schemas.openxmlformats.org/officeDocument/2006/relationships/hyperlink" Target="http://twitter.com/Scout342/statuses/1521003078715154433" TargetMode="External"/><Relationship Id="rId2520" Type="http://schemas.openxmlformats.org/officeDocument/2006/relationships/hyperlink" Target="http://twitter.com/EUtopean/statuses/1521028506242670593" TargetMode="External"/><Relationship Id="rId3852" Type="http://schemas.openxmlformats.org/officeDocument/2006/relationships/hyperlink" Target="http://twitter.com/angryEuphemist/statuses/1521003065603723264" TargetMode="External"/><Relationship Id="rId2521" Type="http://schemas.openxmlformats.org/officeDocument/2006/relationships/hyperlink" Target="http://pbs.twimg.com/profile_images/866903768377565185/UgkGZ6Bb_normal.jpg" TargetMode="External"/><Relationship Id="rId3851" Type="http://schemas.openxmlformats.org/officeDocument/2006/relationships/hyperlink" Target="http://pbs.twimg.com/profile_images/1268209047611809793/TMyzzbKn_normal.jpg" TargetMode="External"/><Relationship Id="rId2511" Type="http://schemas.openxmlformats.org/officeDocument/2006/relationships/hyperlink" Target="http://pbs.twimg.com/profile_images/876430608230166528/KFzjFfsZ_normal.jpg" TargetMode="External"/><Relationship Id="rId3843" Type="http://schemas.openxmlformats.org/officeDocument/2006/relationships/hyperlink" Target="http://pbs.twimg.com/profile_images/1200818819079573504/-mqNMcxZ_normal.jpg" TargetMode="External"/><Relationship Id="rId2512" Type="http://schemas.openxmlformats.org/officeDocument/2006/relationships/hyperlink" Target="http://twitter.com/ACrowdedPlanet/statuses/1521028626489257984" TargetMode="External"/><Relationship Id="rId3842" Type="http://schemas.openxmlformats.org/officeDocument/2006/relationships/hyperlink" Target="http://twitter.com/Richardson86Joe/statuses/1521003168745902081" TargetMode="External"/><Relationship Id="rId2513" Type="http://schemas.openxmlformats.org/officeDocument/2006/relationships/hyperlink" Target="http://pbs.twimg.com/profile_images/1515102450381959176/5z5ifCGz_normal.jpg" TargetMode="External"/><Relationship Id="rId3845" Type="http://schemas.openxmlformats.org/officeDocument/2006/relationships/hyperlink" Target="http://pbs.twimg.com/profile_images/1268209047611809793/TMyzzbKn_normal.jpg" TargetMode="External"/><Relationship Id="rId2514" Type="http://schemas.openxmlformats.org/officeDocument/2006/relationships/hyperlink" Target="http://twitter.com/thetakappa73/statuses/1521028594872561664" TargetMode="External"/><Relationship Id="rId3844" Type="http://schemas.openxmlformats.org/officeDocument/2006/relationships/hyperlink" Target="http://twitter.com/me_michaels/statuses/1521003129189380096" TargetMode="External"/><Relationship Id="rId2515" Type="http://schemas.openxmlformats.org/officeDocument/2006/relationships/hyperlink" Target="http://pbs.twimg.com/profile_images/1325120822458060801/Skm14rg0_normal.jpg" TargetMode="External"/><Relationship Id="rId3847" Type="http://schemas.openxmlformats.org/officeDocument/2006/relationships/hyperlink" Target="http://pbs.twimg.com/profile_images/1478318435746603008/P7Dy7yZ7_normal.jpg" TargetMode="External"/><Relationship Id="rId2516" Type="http://schemas.openxmlformats.org/officeDocument/2006/relationships/hyperlink" Target="http://twitter.com/angela44610707/statuses/1521028556633133058" TargetMode="External"/><Relationship Id="rId3846" Type="http://schemas.openxmlformats.org/officeDocument/2006/relationships/hyperlink" Target="http://twitter.com/angryEuphemist/statuses/1521003113162940419" TargetMode="External"/><Relationship Id="rId2517" Type="http://schemas.openxmlformats.org/officeDocument/2006/relationships/hyperlink" Target="http://pbs.twimg.com/profile_images/422411617452969986/WfHYNEPI_normal.jpeg" TargetMode="External"/><Relationship Id="rId3849" Type="http://schemas.openxmlformats.org/officeDocument/2006/relationships/hyperlink" Target="http://pbs.twimg.com/profile_images/1504826660717215758/0bCh4IxE_normal.jpg" TargetMode="External"/><Relationship Id="rId2518" Type="http://schemas.openxmlformats.org/officeDocument/2006/relationships/hyperlink" Target="http://twitter.com/fishface58/statuses/1521028513289154562" TargetMode="External"/><Relationship Id="rId3848" Type="http://schemas.openxmlformats.org/officeDocument/2006/relationships/hyperlink" Target="http://twitter.com/TraceyAplin1/statuses/1521003100781400064" TargetMode="External"/><Relationship Id="rId2519" Type="http://schemas.openxmlformats.org/officeDocument/2006/relationships/hyperlink" Target="http://pbs.twimg.com/profile_images/852045493202853893/2_sLx76n_normal.jpg" TargetMode="External"/><Relationship Id="rId3841" Type="http://schemas.openxmlformats.org/officeDocument/2006/relationships/hyperlink" Target="http://pbs.twimg.com/profile_images/433622827171086337/3BXjoVjL_normal.jpeg" TargetMode="External"/><Relationship Id="rId2510" Type="http://schemas.openxmlformats.org/officeDocument/2006/relationships/hyperlink" Target="http://twitter.com/philiparrogers/statuses/1521028651080458240" TargetMode="External"/><Relationship Id="rId3840" Type="http://schemas.openxmlformats.org/officeDocument/2006/relationships/hyperlink" Target="http://twitter.com/alexbellars/statuses/1521003248685142016" TargetMode="External"/><Relationship Id="rId4327" Type="http://schemas.openxmlformats.org/officeDocument/2006/relationships/hyperlink" Target="http://pbs.twimg.com/profile_images/1188048406561918981/MHEPajYL_normal.jpg" TargetMode="External"/><Relationship Id="rId5659" Type="http://schemas.openxmlformats.org/officeDocument/2006/relationships/hyperlink" Target="http://pbs.twimg.com/profile_images/1519768653721481222/aorVpJF0_normal.jpg" TargetMode="External"/><Relationship Id="rId4326" Type="http://schemas.openxmlformats.org/officeDocument/2006/relationships/hyperlink" Target="http://twitter.com/julie_dutto/statuses/1520980789856550912" TargetMode="External"/><Relationship Id="rId4329" Type="http://schemas.openxmlformats.org/officeDocument/2006/relationships/hyperlink" Target="http://pbs.twimg.com/profile_images/1188048406561918981/MHEPajYL_normal.jpg" TargetMode="External"/><Relationship Id="rId5657" Type="http://schemas.openxmlformats.org/officeDocument/2006/relationships/hyperlink" Target="http://pbs.twimg.com/profile_images/1575243339/BoD2_normal.jpg" TargetMode="External"/><Relationship Id="rId4328" Type="http://schemas.openxmlformats.org/officeDocument/2006/relationships/hyperlink" Target="http://twitter.com/botanic_my/statuses/1520980421051355138" TargetMode="External"/><Relationship Id="rId5658" Type="http://schemas.openxmlformats.org/officeDocument/2006/relationships/hyperlink" Target="http://twitter.com/BoDs_Life/statuses/1520888145021177856" TargetMode="External"/><Relationship Id="rId469" Type="http://schemas.openxmlformats.org/officeDocument/2006/relationships/hyperlink" Target="http://pbs.twimg.com/profile_images/1417367428649136136/--5FpoDZ_normal.jpg" TargetMode="External"/><Relationship Id="rId468" Type="http://schemas.openxmlformats.org/officeDocument/2006/relationships/hyperlink" Target="http://twitter.com/Iloveautumn2/statuses/1521065091181035523" TargetMode="External"/><Relationship Id="rId467" Type="http://schemas.openxmlformats.org/officeDocument/2006/relationships/hyperlink" Target="http://pbs.twimg.com/profile_images/1417367428649136136/--5FpoDZ_normal.jpg" TargetMode="External"/><Relationship Id="rId1290" Type="http://schemas.openxmlformats.org/officeDocument/2006/relationships/hyperlink" Target="http://twitter.com/Patinahat2/statuses/1521049684122476546" TargetMode="External"/><Relationship Id="rId1291" Type="http://schemas.openxmlformats.org/officeDocument/2006/relationships/hyperlink" Target="http://pbs.twimg.com/profile_images/928261424916332544/hiYCZRMD_normal.jpg" TargetMode="External"/><Relationship Id="rId1292" Type="http://schemas.openxmlformats.org/officeDocument/2006/relationships/hyperlink" Target="http://twitter.com/Durham_SGIA/statuses/1521049602094518273" TargetMode="External"/><Relationship Id="rId462" Type="http://schemas.openxmlformats.org/officeDocument/2006/relationships/hyperlink" Target="http://twitter.com/MatthewWimpenny/statuses/1521065112307650565" TargetMode="External"/><Relationship Id="rId1293" Type="http://schemas.openxmlformats.org/officeDocument/2006/relationships/hyperlink" Target="http://pbs.twimg.com/profile_images/1510031750738714632/PDd-O1jp_normal.jpg" TargetMode="External"/><Relationship Id="rId5651" Type="http://schemas.openxmlformats.org/officeDocument/2006/relationships/hyperlink" Target="http://pbs.twimg.com/profile_images/1490092204366442508/HDtOOMuI_normal.jpg" TargetMode="External"/><Relationship Id="rId461" Type="http://schemas.openxmlformats.org/officeDocument/2006/relationships/hyperlink" Target="http://pbs.twimg.com/profile_images/1489360399074050058/ziqO5v2p_normal.jpg" TargetMode="External"/><Relationship Id="rId1294" Type="http://schemas.openxmlformats.org/officeDocument/2006/relationships/hyperlink" Target="http://twitter.com/robittybobnob/statuses/1521049539951702018" TargetMode="External"/><Relationship Id="rId5652" Type="http://schemas.openxmlformats.org/officeDocument/2006/relationships/hyperlink" Target="http://twitter.com/TeresaWeath/statuses/1520888309718859777" TargetMode="External"/><Relationship Id="rId460" Type="http://schemas.openxmlformats.org/officeDocument/2006/relationships/hyperlink" Target="http://twitter.com/LoziCamp/statuses/1521065113389867008" TargetMode="External"/><Relationship Id="rId1295" Type="http://schemas.openxmlformats.org/officeDocument/2006/relationships/hyperlink" Target="http://pbs.twimg.com/profile_images/1503664413500493826/EtrtSs48_normal.jpg" TargetMode="External"/><Relationship Id="rId4321" Type="http://schemas.openxmlformats.org/officeDocument/2006/relationships/hyperlink" Target="http://pbs.twimg.com/profile_images/1516363603200421892/Y10EO1rb_normal.jpg" TargetMode="External"/><Relationship Id="rId1296" Type="http://schemas.openxmlformats.org/officeDocument/2006/relationships/hyperlink" Target="http://twitter.com/graham669/statuses/1521049401950674944" TargetMode="External"/><Relationship Id="rId4320" Type="http://schemas.openxmlformats.org/officeDocument/2006/relationships/hyperlink" Target="http://twitter.com/julie_dutto/statuses/1520981016663543808" TargetMode="External"/><Relationship Id="rId5650" Type="http://schemas.openxmlformats.org/officeDocument/2006/relationships/hyperlink" Target="http://twitter.com/WriterMich9/statuses/1520888376819339270" TargetMode="External"/><Relationship Id="rId466" Type="http://schemas.openxmlformats.org/officeDocument/2006/relationships/hyperlink" Target="http://twitter.com/CeltIndy/statuses/1521065093047648256" TargetMode="External"/><Relationship Id="rId1297" Type="http://schemas.openxmlformats.org/officeDocument/2006/relationships/hyperlink" Target="http://abs.twimg.com/sticky/default_profile_images/default_profile_normal.png" TargetMode="External"/><Relationship Id="rId4323" Type="http://schemas.openxmlformats.org/officeDocument/2006/relationships/hyperlink" Target="http://pbs.twimg.com/profile_images/1240938581901877248/0qdU1nOH_normal.jpg" TargetMode="External"/><Relationship Id="rId5655" Type="http://schemas.openxmlformats.org/officeDocument/2006/relationships/hyperlink" Target="http://pbs.twimg.com/profile_images/1186219928464048129/VZ_9Orwq_normal.jpg" TargetMode="External"/><Relationship Id="rId465" Type="http://schemas.openxmlformats.org/officeDocument/2006/relationships/hyperlink" Target="http://pbs.twimg.com/profile_images/1460226201985982465/q0VX0iEx_normal.jpg" TargetMode="External"/><Relationship Id="rId1298" Type="http://schemas.openxmlformats.org/officeDocument/2006/relationships/hyperlink" Target="http://twitter.com/huxleyisland/statuses/1521049287093899265" TargetMode="External"/><Relationship Id="rId4322" Type="http://schemas.openxmlformats.org/officeDocument/2006/relationships/hyperlink" Target="http://twitter.com/TFpgbp/statuses/1520981012607557634" TargetMode="External"/><Relationship Id="rId5656" Type="http://schemas.openxmlformats.org/officeDocument/2006/relationships/hyperlink" Target="http://twitter.com/oneleggeddancer/statuses/1520888183466123267" TargetMode="External"/><Relationship Id="rId464" Type="http://schemas.openxmlformats.org/officeDocument/2006/relationships/hyperlink" Target="http://twitter.com/dan_ist/statuses/1521065108511903747" TargetMode="External"/><Relationship Id="rId1299" Type="http://schemas.openxmlformats.org/officeDocument/2006/relationships/hyperlink" Target="http://pbs.twimg.com/profile_images/1519317158710452225/h9hvcddV_normal.jpg" TargetMode="External"/><Relationship Id="rId4325" Type="http://schemas.openxmlformats.org/officeDocument/2006/relationships/hyperlink" Target="http://pbs.twimg.com/profile_images/1240938581901877248/0qdU1nOH_normal.jpg" TargetMode="External"/><Relationship Id="rId5653" Type="http://schemas.openxmlformats.org/officeDocument/2006/relationships/hyperlink" Target="http://pbs.twimg.com/profile_images/1004081621849591808/UZscLXaj_normal.jpg" TargetMode="External"/><Relationship Id="rId463" Type="http://schemas.openxmlformats.org/officeDocument/2006/relationships/hyperlink" Target="http://abs.twimg.com/sticky/default_profile_images/default_profile_normal.png" TargetMode="External"/><Relationship Id="rId4324" Type="http://schemas.openxmlformats.org/officeDocument/2006/relationships/hyperlink" Target="http://twitter.com/julie_dutto/statuses/1520980866121539584" TargetMode="External"/><Relationship Id="rId5654" Type="http://schemas.openxmlformats.org/officeDocument/2006/relationships/hyperlink" Target="http://twitter.com/chirpychappy1/statuses/1520888306422145029" TargetMode="External"/><Relationship Id="rId4316" Type="http://schemas.openxmlformats.org/officeDocument/2006/relationships/hyperlink" Target="http://twitter.com/deane258/statuses/1520981094975381505" TargetMode="External"/><Relationship Id="rId5648" Type="http://schemas.openxmlformats.org/officeDocument/2006/relationships/hyperlink" Target="http://twitter.com/multigums/statuses/1520888378803240962" TargetMode="External"/><Relationship Id="rId4315" Type="http://schemas.openxmlformats.org/officeDocument/2006/relationships/hyperlink" Target="http://pbs.twimg.com/profile_images/498001493749161984/OW6H7vBT_normal.jpeg" TargetMode="External"/><Relationship Id="rId5649" Type="http://schemas.openxmlformats.org/officeDocument/2006/relationships/hyperlink" Target="http://pbs.twimg.com/profile_images/1509177957448884229/k3XU5XQ1_normal.jpg" TargetMode="External"/><Relationship Id="rId4318" Type="http://schemas.openxmlformats.org/officeDocument/2006/relationships/hyperlink" Target="http://twitter.com/julie_dutto/statuses/1520981046405312512" TargetMode="External"/><Relationship Id="rId5646" Type="http://schemas.openxmlformats.org/officeDocument/2006/relationships/hyperlink" Target="http://twitter.com/GThepeakes/statuses/1520888388433465344" TargetMode="External"/><Relationship Id="rId4317" Type="http://schemas.openxmlformats.org/officeDocument/2006/relationships/hyperlink" Target="http://pbs.twimg.com/profile_images/1240938581901877248/0qdU1nOH_normal.jpg" TargetMode="External"/><Relationship Id="rId5647" Type="http://schemas.openxmlformats.org/officeDocument/2006/relationships/hyperlink" Target="http://pbs.twimg.com/profile_images/1309149908608389120/R4Y6BYR6_normal.jpg" TargetMode="External"/><Relationship Id="rId4319" Type="http://schemas.openxmlformats.org/officeDocument/2006/relationships/hyperlink" Target="http://pbs.twimg.com/profile_images/1240938581901877248/0qdU1nOH_normal.jpg" TargetMode="External"/><Relationship Id="rId459" Type="http://schemas.openxmlformats.org/officeDocument/2006/relationships/hyperlink" Target="http://pbs.twimg.com/profile_images/962789599532732419/jZID-3KG_normal.jpg" TargetMode="External"/><Relationship Id="rId458" Type="http://schemas.openxmlformats.org/officeDocument/2006/relationships/hyperlink" Target="http://twitter.com/Iloveautumn2/statuses/1521065120599785472" TargetMode="External"/><Relationship Id="rId457" Type="http://schemas.openxmlformats.org/officeDocument/2006/relationships/hyperlink" Target="http://pbs.twimg.com/profile_images/1417367428649136136/--5FpoDZ_normal.jpg" TargetMode="External"/><Relationship Id="rId456" Type="http://schemas.openxmlformats.org/officeDocument/2006/relationships/hyperlink" Target="http://twitter.com/cai43245335/statuses/1521065122743177216" TargetMode="External"/><Relationship Id="rId1280" Type="http://schemas.openxmlformats.org/officeDocument/2006/relationships/hyperlink" Target="http://twitter.com/AilsaLaing/statuses/1521049923927564289" TargetMode="External"/><Relationship Id="rId1281" Type="http://schemas.openxmlformats.org/officeDocument/2006/relationships/hyperlink" Target="http://pbs.twimg.com/profile_images/1250448404192415744/1g28Gb3c_normal.jpg" TargetMode="External"/><Relationship Id="rId451" Type="http://schemas.openxmlformats.org/officeDocument/2006/relationships/hyperlink" Target="http://pbs.twimg.com/profile_images/1467249059153035273/7zkhDTMo_normal.jpg" TargetMode="External"/><Relationship Id="rId1282" Type="http://schemas.openxmlformats.org/officeDocument/2006/relationships/hyperlink" Target="http://twitter.com/TheCPDiary/statuses/1521049915308322818" TargetMode="External"/><Relationship Id="rId5640" Type="http://schemas.openxmlformats.org/officeDocument/2006/relationships/hyperlink" Target="http://twitter.com/JohnWilkinspsyc/statuses/1520888509439123456" TargetMode="External"/><Relationship Id="rId450" Type="http://schemas.openxmlformats.org/officeDocument/2006/relationships/hyperlink" Target="http://twitter.com/marionprof/statuses/1521065217186308096" TargetMode="External"/><Relationship Id="rId1283" Type="http://schemas.openxmlformats.org/officeDocument/2006/relationships/hyperlink" Target="http://abs.twimg.com/sticky/default_profile_images/default_profile_normal.png" TargetMode="External"/><Relationship Id="rId5641" Type="http://schemas.openxmlformats.org/officeDocument/2006/relationships/hyperlink" Target="http://pbs.twimg.com/profile_images/973876107/Author_file_photo_normal.jpg" TargetMode="External"/><Relationship Id="rId1284" Type="http://schemas.openxmlformats.org/officeDocument/2006/relationships/hyperlink" Target="http://twitter.com/ClucasGlynis/statuses/1521049831371911169" TargetMode="External"/><Relationship Id="rId4310" Type="http://schemas.openxmlformats.org/officeDocument/2006/relationships/hyperlink" Target="http://twitter.com/MartinHarper62/statuses/1520982216226050049" TargetMode="External"/><Relationship Id="rId1285" Type="http://schemas.openxmlformats.org/officeDocument/2006/relationships/hyperlink" Target="http://pbs.twimg.com/profile_images/1504034703699030018/WBBrjNFT_normal.jpg" TargetMode="External"/><Relationship Id="rId455" Type="http://schemas.openxmlformats.org/officeDocument/2006/relationships/hyperlink" Target="http://pbs.twimg.com/profile_images/1518222135377997824/IUSC_i_A_normal.jpg" TargetMode="External"/><Relationship Id="rId1286" Type="http://schemas.openxmlformats.org/officeDocument/2006/relationships/hyperlink" Target="http://twitter.com/David_T_Evans/statuses/1521049715248443395" TargetMode="External"/><Relationship Id="rId4312" Type="http://schemas.openxmlformats.org/officeDocument/2006/relationships/hyperlink" Target="http://twitter.com/Chezm79Mace/statuses/1520981634597724161" TargetMode="External"/><Relationship Id="rId5644" Type="http://schemas.openxmlformats.org/officeDocument/2006/relationships/hyperlink" Target="http://twitter.com/obviousenigma1/statuses/1520888412915609601" TargetMode="External"/><Relationship Id="rId454" Type="http://schemas.openxmlformats.org/officeDocument/2006/relationships/hyperlink" Target="http://twitter.com/Dredd1964/statuses/1521065122869002241" TargetMode="External"/><Relationship Id="rId1287" Type="http://schemas.openxmlformats.org/officeDocument/2006/relationships/hyperlink" Target="http://pbs.twimg.com/profile_images/462162490864828417/_a_hhRgn_normal.png" TargetMode="External"/><Relationship Id="rId4311" Type="http://schemas.openxmlformats.org/officeDocument/2006/relationships/hyperlink" Target="http://pbs.twimg.com/profile_images/1517766845373329408/xEb1tU96_normal.jpg" TargetMode="External"/><Relationship Id="rId5645" Type="http://schemas.openxmlformats.org/officeDocument/2006/relationships/hyperlink" Target="http://pbs.twimg.com/profile_images/921054896174125056/-n1Thfeb_normal.jpg" TargetMode="External"/><Relationship Id="rId453" Type="http://schemas.openxmlformats.org/officeDocument/2006/relationships/hyperlink" Target="http://abs.twimg.com/sticky/default_profile_images/default_profile_normal.png" TargetMode="External"/><Relationship Id="rId1288" Type="http://schemas.openxmlformats.org/officeDocument/2006/relationships/hyperlink" Target="http://twitter.com/Global_Policy/statuses/1521049700459323393" TargetMode="External"/><Relationship Id="rId4314" Type="http://schemas.openxmlformats.org/officeDocument/2006/relationships/hyperlink" Target="http://twitter.com/ajhellyer52/statuses/1520981130597617664" TargetMode="External"/><Relationship Id="rId5642" Type="http://schemas.openxmlformats.org/officeDocument/2006/relationships/hyperlink" Target="http://twitter.com/Dougwriter/statuses/1520888504615686152" TargetMode="External"/><Relationship Id="rId452" Type="http://schemas.openxmlformats.org/officeDocument/2006/relationships/hyperlink" Target="http://twitter.com/OdoyleCharlotte/statuses/1521065187582824449" TargetMode="External"/><Relationship Id="rId1289" Type="http://schemas.openxmlformats.org/officeDocument/2006/relationships/hyperlink" Target="http://pbs.twimg.com/profile_images/1368650254489444359/7Xowq82b_normal.jpg" TargetMode="External"/><Relationship Id="rId4313" Type="http://schemas.openxmlformats.org/officeDocument/2006/relationships/hyperlink" Target="http://pbs.twimg.com/profile_images/789563834679889920/vUJof0N9_normal.jpg" TargetMode="External"/><Relationship Id="rId5643" Type="http://schemas.openxmlformats.org/officeDocument/2006/relationships/hyperlink" Target="http://pbs.twimg.com/profile_images/1487212180227383297/Xe1jS6kX_normal.jpg" TargetMode="External"/><Relationship Id="rId3018" Type="http://schemas.openxmlformats.org/officeDocument/2006/relationships/hyperlink" Target="http://twitter.com/CyrilMurphy171/statuses/1521019108476792832" TargetMode="External"/><Relationship Id="rId4349" Type="http://schemas.openxmlformats.org/officeDocument/2006/relationships/hyperlink" Target="http://abs.twimg.com/sticky/default_profile_images/default_profile_normal.png" TargetMode="External"/><Relationship Id="rId3017" Type="http://schemas.openxmlformats.org/officeDocument/2006/relationships/hyperlink" Target="http://pbs.twimg.com/profile_images/1474962342848966656/buiHfyI5_normal.jpg" TargetMode="External"/><Relationship Id="rId4348" Type="http://schemas.openxmlformats.org/officeDocument/2006/relationships/hyperlink" Target="http://twitter.com/DoddsLindsay/statuses/1520978254114533377" TargetMode="External"/><Relationship Id="rId5679" Type="http://schemas.openxmlformats.org/officeDocument/2006/relationships/hyperlink" Target="http://pbs.twimg.com/profile_images/1426308195706974208/sssyFFoI_normal.jpg" TargetMode="External"/><Relationship Id="rId3019" Type="http://schemas.openxmlformats.org/officeDocument/2006/relationships/hyperlink" Target="http://abs.twimg.com/sticky/default_profile_images/default_profile_normal.png" TargetMode="External"/><Relationship Id="rId491" Type="http://schemas.openxmlformats.org/officeDocument/2006/relationships/hyperlink" Target="http://pbs.twimg.com/profile_images/1504090457487380485/sycLvwlQ_normal.jpg" TargetMode="External"/><Relationship Id="rId490" Type="http://schemas.openxmlformats.org/officeDocument/2006/relationships/hyperlink" Target="http://twitter.com/CliffBondCo/statuses/1521064884997431297" TargetMode="External"/><Relationship Id="rId489" Type="http://schemas.openxmlformats.org/officeDocument/2006/relationships/hyperlink" Target="http://pbs.twimg.com/profile_images/665985959427768322/R634wooT_normal.jpg" TargetMode="External"/><Relationship Id="rId5670" Type="http://schemas.openxmlformats.org/officeDocument/2006/relationships/hyperlink" Target="http://twitter.com/andycymro/statuses/1520887927353618432" TargetMode="External"/><Relationship Id="rId484" Type="http://schemas.openxmlformats.org/officeDocument/2006/relationships/hyperlink" Target="http://twitter.com/wilsoniana/statuses/1521064920082698242" TargetMode="External"/><Relationship Id="rId3010" Type="http://schemas.openxmlformats.org/officeDocument/2006/relationships/hyperlink" Target="http://twitter.com/SueHorsley7/statuses/1521019298881359873" TargetMode="External"/><Relationship Id="rId4341" Type="http://schemas.openxmlformats.org/officeDocument/2006/relationships/hyperlink" Target="http://pbs.twimg.com/profile_images/1089649775547478016/DNAyowP-_normal.jpg" TargetMode="External"/><Relationship Id="rId5673" Type="http://schemas.openxmlformats.org/officeDocument/2006/relationships/hyperlink" Target="http://pbs.twimg.com/profile_images/1497471667794284552/ZJfIkw1c_normal.jpg" TargetMode="External"/><Relationship Id="rId483" Type="http://schemas.openxmlformats.org/officeDocument/2006/relationships/hyperlink" Target="http://pbs.twimg.com/profile_images/1500593322469081090/L1t_qcBC_normal.jpg" TargetMode="External"/><Relationship Id="rId4340" Type="http://schemas.openxmlformats.org/officeDocument/2006/relationships/hyperlink" Target="http://twitter.com/EnglishNRomania/statuses/1520979523671633920" TargetMode="External"/><Relationship Id="rId5674" Type="http://schemas.openxmlformats.org/officeDocument/2006/relationships/hyperlink" Target="http://twitter.com/tad123/statuses/1520887740665106433" TargetMode="External"/><Relationship Id="rId482" Type="http://schemas.openxmlformats.org/officeDocument/2006/relationships/hyperlink" Target="http://twitter.com/LegionAOD/statuses/1521064972863868930" TargetMode="External"/><Relationship Id="rId3012" Type="http://schemas.openxmlformats.org/officeDocument/2006/relationships/hyperlink" Target="http://twitter.com/pyle_lynne/statuses/1521019256950898688" TargetMode="External"/><Relationship Id="rId4343" Type="http://schemas.openxmlformats.org/officeDocument/2006/relationships/hyperlink" Target="http://abs.twimg.com/sticky/default_profile_images/default_profile_normal.png" TargetMode="External"/><Relationship Id="rId5671" Type="http://schemas.openxmlformats.org/officeDocument/2006/relationships/hyperlink" Target="http://pbs.twimg.com/profile_images/1490092204366442508/HDtOOMuI_normal.jpg" TargetMode="External"/><Relationship Id="rId481" Type="http://schemas.openxmlformats.org/officeDocument/2006/relationships/hyperlink" Target="http://pbs.twimg.com/profile_images/1481230157109252099/obRDHOsY_normal.jpg" TargetMode="External"/><Relationship Id="rId3011" Type="http://schemas.openxmlformats.org/officeDocument/2006/relationships/hyperlink" Target="http://pbs.twimg.com/profile_images/1324765745335730177/uFqDYfv6_normal.jpg" TargetMode="External"/><Relationship Id="rId4342" Type="http://schemas.openxmlformats.org/officeDocument/2006/relationships/hyperlink" Target="http://twitter.com/pamela_bernie/statuses/1520979363042312193" TargetMode="External"/><Relationship Id="rId5672" Type="http://schemas.openxmlformats.org/officeDocument/2006/relationships/hyperlink" Target="http://twitter.com/TeresaWeath/statuses/1520887806637268997" TargetMode="External"/><Relationship Id="rId488" Type="http://schemas.openxmlformats.org/officeDocument/2006/relationships/hyperlink" Target="http://twitter.com/BestForBritain/statuses/1521064893943853057" TargetMode="External"/><Relationship Id="rId3014" Type="http://schemas.openxmlformats.org/officeDocument/2006/relationships/hyperlink" Target="http://twitter.com/SueHorsley7/statuses/1521019200726315008" TargetMode="External"/><Relationship Id="rId4345" Type="http://schemas.openxmlformats.org/officeDocument/2006/relationships/hyperlink" Target="http://pbs.twimg.com/profile_images/1348147759245885440/By_J8-8J_normal.jpg" TargetMode="External"/><Relationship Id="rId5677" Type="http://schemas.openxmlformats.org/officeDocument/2006/relationships/hyperlink" Target="http://pbs.twimg.com/profile_images/1260902286253068288/_4vvrhoG_normal.jpg" TargetMode="External"/><Relationship Id="rId487" Type="http://schemas.openxmlformats.org/officeDocument/2006/relationships/hyperlink" Target="http://pbs.twimg.com/profile_images/1240044168833007620/vV3DzAWr_normal.jpg" TargetMode="External"/><Relationship Id="rId3013" Type="http://schemas.openxmlformats.org/officeDocument/2006/relationships/hyperlink" Target="http://pbs.twimg.com/profile_images/1105789661669216256/kqyJN3mL_normal.jpg" TargetMode="External"/><Relationship Id="rId4344" Type="http://schemas.openxmlformats.org/officeDocument/2006/relationships/hyperlink" Target="http://twitter.com/Wombat120mm/statuses/1520978436927414274" TargetMode="External"/><Relationship Id="rId5678" Type="http://schemas.openxmlformats.org/officeDocument/2006/relationships/hyperlink" Target="http://twitter.com/jillybwrafter/statuses/1520887614005522433" TargetMode="External"/><Relationship Id="rId486" Type="http://schemas.openxmlformats.org/officeDocument/2006/relationships/hyperlink" Target="http://twitter.com/GraceMurphy2/statuses/1521064913699065857" TargetMode="External"/><Relationship Id="rId3016" Type="http://schemas.openxmlformats.org/officeDocument/2006/relationships/hyperlink" Target="http://twitter.com/bellabean2/statuses/1521019157990588418" TargetMode="External"/><Relationship Id="rId4347" Type="http://schemas.openxmlformats.org/officeDocument/2006/relationships/hyperlink" Target="http://pbs.twimg.com/profile_images/1314112452297199616/rzLnPdC2_normal.jpg" TargetMode="External"/><Relationship Id="rId5675" Type="http://schemas.openxmlformats.org/officeDocument/2006/relationships/hyperlink" Target="http://pbs.twimg.com/profile_images/1289685410717806598/JarAiUqc_normal.jpg" TargetMode="External"/><Relationship Id="rId485" Type="http://schemas.openxmlformats.org/officeDocument/2006/relationships/hyperlink" Target="http://pbs.twimg.com/profile_images/889651107546398724/rBz1hAWc_normal.jpg" TargetMode="External"/><Relationship Id="rId3015" Type="http://schemas.openxmlformats.org/officeDocument/2006/relationships/hyperlink" Target="http://pbs.twimg.com/profile_images/2444776664/3eyjeowmoimiodqs94y4_normal.jpeg" TargetMode="External"/><Relationship Id="rId4346" Type="http://schemas.openxmlformats.org/officeDocument/2006/relationships/hyperlink" Target="http://twitter.com/moozersa/statuses/1520978349849518082" TargetMode="External"/><Relationship Id="rId5676" Type="http://schemas.openxmlformats.org/officeDocument/2006/relationships/hyperlink" Target="http://twitter.com/andycymro/statuses/1520887712219291655" TargetMode="External"/><Relationship Id="rId3007" Type="http://schemas.openxmlformats.org/officeDocument/2006/relationships/hyperlink" Target="http://pbs.twimg.com/profile_images/1380883650443612167/zoQoBDyK_normal.jpg" TargetMode="External"/><Relationship Id="rId4338" Type="http://schemas.openxmlformats.org/officeDocument/2006/relationships/hyperlink" Target="http://twitter.com/DeniseB92880798/statuses/1520979597810180096" TargetMode="External"/><Relationship Id="rId3006" Type="http://schemas.openxmlformats.org/officeDocument/2006/relationships/hyperlink" Target="http://twitter.com/NeilDavoDavies1/statuses/1521019305617506304" TargetMode="External"/><Relationship Id="rId4337" Type="http://schemas.openxmlformats.org/officeDocument/2006/relationships/hyperlink" Target="http://pbs.twimg.com/profile_images/1269768654410973190/m-bho-Ik_normal.jpg" TargetMode="External"/><Relationship Id="rId3009" Type="http://schemas.openxmlformats.org/officeDocument/2006/relationships/hyperlink" Target="http://pbs.twimg.com/profile_images/1105789661669216256/kqyJN3mL_normal.jpg" TargetMode="External"/><Relationship Id="rId5668" Type="http://schemas.openxmlformats.org/officeDocument/2006/relationships/hyperlink" Target="http://twitter.com/Mike_Fernandes_/statuses/1520887978591199235" TargetMode="External"/><Relationship Id="rId3008" Type="http://schemas.openxmlformats.org/officeDocument/2006/relationships/hyperlink" Target="http://twitter.com/LeeGregoryPeck/statuses/1521019302496899072" TargetMode="External"/><Relationship Id="rId4339" Type="http://schemas.openxmlformats.org/officeDocument/2006/relationships/hyperlink" Target="http://pbs.twimg.com/profile_images/1378764298143551494/C-4VeXDz_normal.jpg" TargetMode="External"/><Relationship Id="rId5669" Type="http://schemas.openxmlformats.org/officeDocument/2006/relationships/hyperlink" Target="http://pbs.twimg.com/profile_images/1289685410717806598/JarAiUqc_normal.jpg" TargetMode="External"/><Relationship Id="rId480" Type="http://schemas.openxmlformats.org/officeDocument/2006/relationships/hyperlink" Target="http://twitter.com/tory_lies/statuses/1521064999589982208" TargetMode="External"/><Relationship Id="rId479" Type="http://schemas.openxmlformats.org/officeDocument/2006/relationships/hyperlink" Target="http://pbs.twimg.com/profile_images/960285302530232326/sNLaPtQi_normal.jpg" TargetMode="External"/><Relationship Id="rId478" Type="http://schemas.openxmlformats.org/officeDocument/2006/relationships/hyperlink" Target="http://twitter.com/VincitOmniaVe18/statuses/1521065004962824192" TargetMode="External"/><Relationship Id="rId473" Type="http://schemas.openxmlformats.org/officeDocument/2006/relationships/hyperlink" Target="http://pbs.twimg.com/profile_images/1417367428649136136/--5FpoDZ_normal.jpg" TargetMode="External"/><Relationship Id="rId4330" Type="http://schemas.openxmlformats.org/officeDocument/2006/relationships/hyperlink" Target="http://twitter.com/botanic_my/statuses/1520980386989416448" TargetMode="External"/><Relationship Id="rId5662" Type="http://schemas.openxmlformats.org/officeDocument/2006/relationships/hyperlink" Target="http://twitter.com/stephen501/statuses/1520888096853835776" TargetMode="External"/><Relationship Id="rId472" Type="http://schemas.openxmlformats.org/officeDocument/2006/relationships/hyperlink" Target="http://twitter.com/tudorinjordan/statuses/1521065055894310913" TargetMode="External"/><Relationship Id="rId5663" Type="http://schemas.openxmlformats.org/officeDocument/2006/relationships/hyperlink" Target="http://pbs.twimg.com/profile_images/1500034907611054081/igloBY1Q_normal.jpg" TargetMode="External"/><Relationship Id="rId471" Type="http://schemas.openxmlformats.org/officeDocument/2006/relationships/hyperlink" Target="http://pbs.twimg.com/profile_images/1454016565708480517/0GalNM_k_normal.jpg" TargetMode="External"/><Relationship Id="rId3001" Type="http://schemas.openxmlformats.org/officeDocument/2006/relationships/hyperlink" Target="http://pbs.twimg.com/profile_images/1105789661669216256/kqyJN3mL_normal.jpg" TargetMode="External"/><Relationship Id="rId4332" Type="http://schemas.openxmlformats.org/officeDocument/2006/relationships/hyperlink" Target="http://twitter.com/geographyjazz/statuses/1520980352705208320" TargetMode="External"/><Relationship Id="rId5660" Type="http://schemas.openxmlformats.org/officeDocument/2006/relationships/hyperlink" Target="http://twitter.com/SJABradley/statuses/1520888128009129985" TargetMode="External"/><Relationship Id="rId470" Type="http://schemas.openxmlformats.org/officeDocument/2006/relationships/hyperlink" Target="http://twitter.com/Iloveautumn2/statuses/1521065078619049985" TargetMode="External"/><Relationship Id="rId3000" Type="http://schemas.openxmlformats.org/officeDocument/2006/relationships/hyperlink" Target="http://twitter.com/SueHorsley7/statuses/1521019380368297984" TargetMode="External"/><Relationship Id="rId4331" Type="http://schemas.openxmlformats.org/officeDocument/2006/relationships/hyperlink" Target="http://pbs.twimg.com/profile_images/1192493314534256645/P3c8DwGU_normal.jpg" TargetMode="External"/><Relationship Id="rId5661" Type="http://schemas.openxmlformats.org/officeDocument/2006/relationships/hyperlink" Target="http://pbs.twimg.com/profile_images/1486669873518362634/-U4teiQv_normal.jpg" TargetMode="External"/><Relationship Id="rId477" Type="http://schemas.openxmlformats.org/officeDocument/2006/relationships/hyperlink" Target="http://pbs.twimg.com/profile_images/1357289817017638912/A2Kp3HaE_normal.jpg" TargetMode="External"/><Relationship Id="rId3003" Type="http://schemas.openxmlformats.org/officeDocument/2006/relationships/hyperlink" Target="http://pbs.twimg.com/profile_images/2603575427/r4Y21y2M_normal" TargetMode="External"/><Relationship Id="rId4334" Type="http://schemas.openxmlformats.org/officeDocument/2006/relationships/hyperlink" Target="http://twitter.com/FXstreetNews/statuses/1520980094503862272" TargetMode="External"/><Relationship Id="rId5666" Type="http://schemas.openxmlformats.org/officeDocument/2006/relationships/hyperlink" Target="http://twitter.com/hugs_p/statuses/1520888004918890498" TargetMode="External"/><Relationship Id="rId476" Type="http://schemas.openxmlformats.org/officeDocument/2006/relationships/hyperlink" Target="http://twitter.com/MrsArcanum/statuses/1521065009723453441" TargetMode="External"/><Relationship Id="rId3002" Type="http://schemas.openxmlformats.org/officeDocument/2006/relationships/hyperlink" Target="http://twitter.com/SueHorsley7/statuses/1521019373506420738" TargetMode="External"/><Relationship Id="rId4333" Type="http://schemas.openxmlformats.org/officeDocument/2006/relationships/hyperlink" Target="http://pbs.twimg.com/profile_images/900669341171056640/06pIS4h4_normal.jpg" TargetMode="External"/><Relationship Id="rId5667" Type="http://schemas.openxmlformats.org/officeDocument/2006/relationships/hyperlink" Target="http://pbs.twimg.com/profile_images/1388191988785233922/aF6gR6g0_normal.jpg" TargetMode="External"/><Relationship Id="rId475" Type="http://schemas.openxmlformats.org/officeDocument/2006/relationships/hyperlink" Target="http://pbs.twimg.com/profile_images/1502608393982431234/WrXaOfZk_normal.jpg" TargetMode="External"/><Relationship Id="rId3005" Type="http://schemas.openxmlformats.org/officeDocument/2006/relationships/hyperlink" Target="http://pbs.twimg.com/profile_images/1505905259138490371/Oucu9D_A_normal.jpg" TargetMode="External"/><Relationship Id="rId4336" Type="http://schemas.openxmlformats.org/officeDocument/2006/relationships/hyperlink" Target="http://twitter.com/Citizen_1965/statuses/1520979637546926080" TargetMode="External"/><Relationship Id="rId5664" Type="http://schemas.openxmlformats.org/officeDocument/2006/relationships/hyperlink" Target="http://twitter.com/CathyPowell1/statuses/1520888080701566978" TargetMode="External"/><Relationship Id="rId474" Type="http://schemas.openxmlformats.org/officeDocument/2006/relationships/hyperlink" Target="http://twitter.com/Iloveautumn2/statuses/1521065029386313729" TargetMode="External"/><Relationship Id="rId3004" Type="http://schemas.openxmlformats.org/officeDocument/2006/relationships/hyperlink" Target="http://twitter.com/Salanais/statuses/1521019354250366976" TargetMode="External"/><Relationship Id="rId4335" Type="http://schemas.openxmlformats.org/officeDocument/2006/relationships/hyperlink" Target="http://pbs.twimg.com/profile_images/1296851563844186113/xDNBiXGS_normal.jpg" TargetMode="External"/><Relationship Id="rId5665" Type="http://schemas.openxmlformats.org/officeDocument/2006/relationships/hyperlink" Target="http://pbs.twimg.com/profile_images/749351247719923712/BYVMH-8E_normal.jpg" TargetMode="External"/><Relationship Id="rId1257" Type="http://schemas.openxmlformats.org/officeDocument/2006/relationships/hyperlink" Target="http://pbs.twimg.com/profile_images/1295487434021580800/jQw6Ka2Y_normal.jpg" TargetMode="External"/><Relationship Id="rId2588" Type="http://schemas.openxmlformats.org/officeDocument/2006/relationships/hyperlink" Target="http://twitter.com/Yvonne49788239/statuses/1521026820082077696" TargetMode="External"/><Relationship Id="rId5615" Type="http://schemas.openxmlformats.org/officeDocument/2006/relationships/hyperlink" Target="http://pbs.twimg.com/profile_images/787960963421069312/kCU2ztAj_normal.jpg" TargetMode="External"/><Relationship Id="rId1258" Type="http://schemas.openxmlformats.org/officeDocument/2006/relationships/hyperlink" Target="http://twitter.com/shabrockman/statuses/1521050311175122945" TargetMode="External"/><Relationship Id="rId2589" Type="http://schemas.openxmlformats.org/officeDocument/2006/relationships/hyperlink" Target="http://pbs.twimg.com/profile_images/1486034050045337609/UKcvExOC_normal.png" TargetMode="External"/><Relationship Id="rId5616" Type="http://schemas.openxmlformats.org/officeDocument/2006/relationships/hyperlink" Target="http://twitter.com/tr54vor/statuses/1520889218112831490" TargetMode="External"/><Relationship Id="rId1259" Type="http://schemas.openxmlformats.org/officeDocument/2006/relationships/hyperlink" Target="http://pbs.twimg.com/profile_images/1092827211638493187/dWq5WxPN_normal.jpg" TargetMode="External"/><Relationship Id="rId5613" Type="http://schemas.openxmlformats.org/officeDocument/2006/relationships/hyperlink" Target="http://pbs.twimg.com/profile_images/787960963421069312/kCU2ztAj_normal.jpg" TargetMode="External"/><Relationship Id="rId5614" Type="http://schemas.openxmlformats.org/officeDocument/2006/relationships/hyperlink" Target="http://twitter.com/tr54vor/statuses/1520889282990383110" TargetMode="External"/><Relationship Id="rId5619" Type="http://schemas.openxmlformats.org/officeDocument/2006/relationships/hyperlink" Target="http://pbs.twimg.com/profile_images/1338171886824546306/tSOfhwS3_normal.jpg" TargetMode="External"/><Relationship Id="rId5617" Type="http://schemas.openxmlformats.org/officeDocument/2006/relationships/hyperlink" Target="http://pbs.twimg.com/profile_images/787960963421069312/kCU2ztAj_normal.jpg" TargetMode="External"/><Relationship Id="rId5618" Type="http://schemas.openxmlformats.org/officeDocument/2006/relationships/hyperlink" Target="http://twitter.com/tr54vor/statuses/1520889193404243968" TargetMode="External"/><Relationship Id="rId426" Type="http://schemas.openxmlformats.org/officeDocument/2006/relationships/hyperlink" Target="http://twitter.com/MrShodijo/statuses/1521065505829838849" TargetMode="External"/><Relationship Id="rId425" Type="http://schemas.openxmlformats.org/officeDocument/2006/relationships/hyperlink" Target="http://pbs.twimg.com/profile_images/1167348497/5_Years_normal.jpg" TargetMode="External"/><Relationship Id="rId424" Type="http://schemas.openxmlformats.org/officeDocument/2006/relationships/hyperlink" Target="http://twitter.com/MrShodijo/statuses/1521065540630065158" TargetMode="External"/><Relationship Id="rId423" Type="http://schemas.openxmlformats.org/officeDocument/2006/relationships/hyperlink" Target="http://pbs.twimg.com/profile_images/1167348497/5_Years_normal.jpg" TargetMode="External"/><Relationship Id="rId429" Type="http://schemas.openxmlformats.org/officeDocument/2006/relationships/hyperlink" Target="http://pbs.twimg.com/profile_images/571410228828344321/73sqVri3_normal.png" TargetMode="External"/><Relationship Id="rId428" Type="http://schemas.openxmlformats.org/officeDocument/2006/relationships/hyperlink" Target="http://twitter.com/toadovision/statuses/1521065505125187584" TargetMode="External"/><Relationship Id="rId427" Type="http://schemas.openxmlformats.org/officeDocument/2006/relationships/hyperlink" Target="http://pbs.twimg.com/profile_images/2117127147/image_normal.jpg" TargetMode="External"/><Relationship Id="rId2580" Type="http://schemas.openxmlformats.org/officeDocument/2006/relationships/hyperlink" Target="http://twitter.com/AlportTaylor/statuses/1521026961086337024" TargetMode="External"/><Relationship Id="rId1250" Type="http://schemas.openxmlformats.org/officeDocument/2006/relationships/hyperlink" Target="http://twitter.com/BizGrowthGB/statuses/1521050473104617474" TargetMode="External"/><Relationship Id="rId2581" Type="http://schemas.openxmlformats.org/officeDocument/2006/relationships/hyperlink" Target="http://pbs.twimg.com/profile_images/1345821799997702151/t-4cg2Tg_normal.jpg" TargetMode="External"/><Relationship Id="rId1251" Type="http://schemas.openxmlformats.org/officeDocument/2006/relationships/hyperlink" Target="http://pbs.twimg.com/profile_images/1024945105713680385/SYSzqn-f_normal.jpg" TargetMode="External"/><Relationship Id="rId2582" Type="http://schemas.openxmlformats.org/officeDocument/2006/relationships/hyperlink" Target="http://twitter.com/ABsworld5/statuses/1521026956808044545" TargetMode="External"/><Relationship Id="rId1252" Type="http://schemas.openxmlformats.org/officeDocument/2006/relationships/hyperlink" Target="http://twitter.com/t_pressland/statuses/1521050436794556422" TargetMode="External"/><Relationship Id="rId2583" Type="http://schemas.openxmlformats.org/officeDocument/2006/relationships/hyperlink" Target="http://abs.twimg.com/sticky/default_profile_images/default_profile_normal.png" TargetMode="External"/><Relationship Id="rId422" Type="http://schemas.openxmlformats.org/officeDocument/2006/relationships/hyperlink" Target="http://twitter.com/gill_othen/statuses/1521065570606759936" TargetMode="External"/><Relationship Id="rId1253" Type="http://schemas.openxmlformats.org/officeDocument/2006/relationships/hyperlink" Target="http://pbs.twimg.com/profile_images/75970943/GB_presenting_normal.JPG" TargetMode="External"/><Relationship Id="rId2584" Type="http://schemas.openxmlformats.org/officeDocument/2006/relationships/hyperlink" Target="http://twitter.com/barbara_farneti/statuses/1521026915464847361" TargetMode="External"/><Relationship Id="rId5611" Type="http://schemas.openxmlformats.org/officeDocument/2006/relationships/hyperlink" Target="http://abs.twimg.com/sticky/default_profile_images/default_profile_normal.png" TargetMode="External"/><Relationship Id="rId421" Type="http://schemas.openxmlformats.org/officeDocument/2006/relationships/hyperlink" Target="http://pbs.twimg.com/profile_images/1497338611951353866/PGftmvAf_normal.jpg" TargetMode="External"/><Relationship Id="rId1254" Type="http://schemas.openxmlformats.org/officeDocument/2006/relationships/hyperlink" Target="http://twitter.com/BizGrowthGB/statuses/1521050391328305152" TargetMode="External"/><Relationship Id="rId2585" Type="http://schemas.openxmlformats.org/officeDocument/2006/relationships/hyperlink" Target="http://pbs.twimg.com/profile_images/1259832923106299904/4fahHtVO_normal.jpg" TargetMode="External"/><Relationship Id="rId5612" Type="http://schemas.openxmlformats.org/officeDocument/2006/relationships/hyperlink" Target="http://twitter.com/JimlennonLennon/statuses/1520889400821006337" TargetMode="External"/><Relationship Id="rId420" Type="http://schemas.openxmlformats.org/officeDocument/2006/relationships/hyperlink" Target="http://twitter.com/nutbrittles/statuses/1521065572104081408" TargetMode="External"/><Relationship Id="rId1255" Type="http://schemas.openxmlformats.org/officeDocument/2006/relationships/hyperlink" Target="http://pbs.twimg.com/profile_images/656046996030115840/UpSW3jZl_normal.jpg" TargetMode="External"/><Relationship Id="rId2586" Type="http://schemas.openxmlformats.org/officeDocument/2006/relationships/hyperlink" Target="http://twitter.com/MarkC33548991/statuses/1521026865879732226" TargetMode="External"/><Relationship Id="rId1256" Type="http://schemas.openxmlformats.org/officeDocument/2006/relationships/hyperlink" Target="http://twitter.com/kemp_dk/statuses/1521050362240811009" TargetMode="External"/><Relationship Id="rId2587" Type="http://schemas.openxmlformats.org/officeDocument/2006/relationships/hyperlink" Target="http://pbs.twimg.com/profile_images/1349638371027648516/O4lJEuOI_normal.jpg" TargetMode="External"/><Relationship Id="rId5610" Type="http://schemas.openxmlformats.org/officeDocument/2006/relationships/hyperlink" Target="http://twitter.com/Stu__F/statuses/1520889567984996358" TargetMode="External"/><Relationship Id="rId1246" Type="http://schemas.openxmlformats.org/officeDocument/2006/relationships/hyperlink" Target="http://twitter.com/ZebraQueen1969/statuses/1521050513659281408" TargetMode="External"/><Relationship Id="rId2577" Type="http://schemas.openxmlformats.org/officeDocument/2006/relationships/hyperlink" Target="http://pbs.twimg.com/profile_images/1650805942/Me3_normal.png" TargetMode="External"/><Relationship Id="rId5604" Type="http://schemas.openxmlformats.org/officeDocument/2006/relationships/hyperlink" Target="http://twitter.com/JennyJones1313/statuses/1520889612864008193" TargetMode="External"/><Relationship Id="rId1247" Type="http://schemas.openxmlformats.org/officeDocument/2006/relationships/hyperlink" Target="http://pbs.twimg.com/profile_images/1219605907933421570/F5QNjKwo_normal.jpg" TargetMode="External"/><Relationship Id="rId2578" Type="http://schemas.openxmlformats.org/officeDocument/2006/relationships/hyperlink" Target="http://twitter.com/bethgwen/statuses/1521026972977147904" TargetMode="External"/><Relationship Id="rId5605" Type="http://schemas.openxmlformats.org/officeDocument/2006/relationships/hyperlink" Target="http://pbs.twimg.com/profile_images/1230825925283110914/tXwf38BN_normal.jpg" TargetMode="External"/><Relationship Id="rId1248" Type="http://schemas.openxmlformats.org/officeDocument/2006/relationships/hyperlink" Target="http://twitter.com/js_editor/statuses/1521050479945560065" TargetMode="External"/><Relationship Id="rId2579" Type="http://schemas.openxmlformats.org/officeDocument/2006/relationships/hyperlink" Target="http://pbs.twimg.com/profile_images/1060223656847200258/v-Zx2YnM_normal.jpg" TargetMode="External"/><Relationship Id="rId5602" Type="http://schemas.openxmlformats.org/officeDocument/2006/relationships/hyperlink" Target="http://twitter.com/david_mcnab/statuses/1520889681528991745" TargetMode="External"/><Relationship Id="rId1249" Type="http://schemas.openxmlformats.org/officeDocument/2006/relationships/hyperlink" Target="http://pbs.twimg.com/profile_images/75970943/GB_presenting_normal.JPG" TargetMode="External"/><Relationship Id="rId5603" Type="http://schemas.openxmlformats.org/officeDocument/2006/relationships/hyperlink" Target="http://pbs.twimg.com/profile_images/1228835772998078466/3I0syXoS_normal.jpg" TargetMode="External"/><Relationship Id="rId5608" Type="http://schemas.openxmlformats.org/officeDocument/2006/relationships/hyperlink" Target="http://twitter.com/TimCR_Baker/statuses/1520889577543766020" TargetMode="External"/><Relationship Id="rId5609" Type="http://schemas.openxmlformats.org/officeDocument/2006/relationships/hyperlink" Target="http://pbs.twimg.com/profile_images/1472510548084408322/u9F5miqj_normal.jpg" TargetMode="External"/><Relationship Id="rId5606" Type="http://schemas.openxmlformats.org/officeDocument/2006/relationships/hyperlink" Target="http://twitter.com/khp_oc94/statuses/1520889586867744769" TargetMode="External"/><Relationship Id="rId5607" Type="http://schemas.openxmlformats.org/officeDocument/2006/relationships/hyperlink" Target="http://pbs.twimg.com/profile_images/1278781638953119747/hlz7I3BH_normal.jpg" TargetMode="External"/><Relationship Id="rId415" Type="http://schemas.openxmlformats.org/officeDocument/2006/relationships/hyperlink" Target="http://pbs.twimg.com/profile_images/1497338611951353866/PGftmvAf_normal.jpg" TargetMode="External"/><Relationship Id="rId414" Type="http://schemas.openxmlformats.org/officeDocument/2006/relationships/hyperlink" Target="http://twitter.com/MrShodijo/statuses/1521065615456407554" TargetMode="External"/><Relationship Id="rId413" Type="http://schemas.openxmlformats.org/officeDocument/2006/relationships/hyperlink" Target="http://pbs.twimg.com/profile_images/1167348497/5_Years_normal.jpg" TargetMode="External"/><Relationship Id="rId412" Type="http://schemas.openxmlformats.org/officeDocument/2006/relationships/hyperlink" Target="http://twitter.com/toadovision/statuses/1521065633718411265" TargetMode="External"/><Relationship Id="rId419" Type="http://schemas.openxmlformats.org/officeDocument/2006/relationships/hyperlink" Target="http://pbs.twimg.com/profile_images/1039121228567654401/Le-r-ud1_normal.jpg" TargetMode="External"/><Relationship Id="rId418" Type="http://schemas.openxmlformats.org/officeDocument/2006/relationships/hyperlink" Target="http://twitter.com/MrShodijo/statuses/1521065587438403586" TargetMode="External"/><Relationship Id="rId417" Type="http://schemas.openxmlformats.org/officeDocument/2006/relationships/hyperlink" Target="http://pbs.twimg.com/profile_images/1167348497/5_Years_normal.jpg" TargetMode="External"/><Relationship Id="rId416" Type="http://schemas.openxmlformats.org/officeDocument/2006/relationships/hyperlink" Target="http://twitter.com/gill_othen/statuses/1521065608422510596" TargetMode="External"/><Relationship Id="rId2570" Type="http://schemas.openxmlformats.org/officeDocument/2006/relationships/hyperlink" Target="http://twitter.com/enya92037321/statuses/1521027097505849344" TargetMode="External"/><Relationship Id="rId1240" Type="http://schemas.openxmlformats.org/officeDocument/2006/relationships/hyperlink" Target="http://twitter.com/AndyGerard100/statuses/1521050583792332801" TargetMode="External"/><Relationship Id="rId2571" Type="http://schemas.openxmlformats.org/officeDocument/2006/relationships/hyperlink" Target="http://pbs.twimg.com/profile_images/753990939690033152/QMEAMj8t_normal.jpg" TargetMode="External"/><Relationship Id="rId1241" Type="http://schemas.openxmlformats.org/officeDocument/2006/relationships/hyperlink" Target="http://pbs.twimg.com/profile_images/1349090927655202816/5sUPTRUS_normal.jpg" TargetMode="External"/><Relationship Id="rId2572" Type="http://schemas.openxmlformats.org/officeDocument/2006/relationships/hyperlink" Target="http://twitter.com/spaghjunc/statuses/1521027034083909632" TargetMode="External"/><Relationship Id="rId411" Type="http://schemas.openxmlformats.org/officeDocument/2006/relationships/hyperlink" Target="http://pbs.twimg.com/profile_images/2117127147/image_normal.jpg" TargetMode="External"/><Relationship Id="rId1242" Type="http://schemas.openxmlformats.org/officeDocument/2006/relationships/hyperlink" Target="http://twitter.com/Dringcarol/statuses/1521050581896474624" TargetMode="External"/><Relationship Id="rId2573" Type="http://schemas.openxmlformats.org/officeDocument/2006/relationships/hyperlink" Target="http://abs.twimg.com/sticky/default_profile_images/default_profile_normal.png" TargetMode="External"/><Relationship Id="rId5600" Type="http://schemas.openxmlformats.org/officeDocument/2006/relationships/hyperlink" Target="http://twitter.com/AllyParry/statuses/1520889689057767429" TargetMode="External"/><Relationship Id="rId410" Type="http://schemas.openxmlformats.org/officeDocument/2006/relationships/hyperlink" Target="http://twitter.com/MrShodijo/statuses/1521065644866912257" TargetMode="External"/><Relationship Id="rId1243" Type="http://schemas.openxmlformats.org/officeDocument/2006/relationships/hyperlink" Target="http://pbs.twimg.com/profile_images/75970943/GB_presenting_normal.JPG" TargetMode="External"/><Relationship Id="rId2574" Type="http://schemas.openxmlformats.org/officeDocument/2006/relationships/hyperlink" Target="http://twitter.com/WNB50/statuses/1521027001619992576" TargetMode="External"/><Relationship Id="rId5601" Type="http://schemas.openxmlformats.org/officeDocument/2006/relationships/hyperlink" Target="http://pbs.twimg.com/profile_images/1338171886824546306/tSOfhwS3_normal.jpg" TargetMode="External"/><Relationship Id="rId1244" Type="http://schemas.openxmlformats.org/officeDocument/2006/relationships/hyperlink" Target="http://twitter.com/BizGrowthGB/statuses/1521050573834969089" TargetMode="External"/><Relationship Id="rId2575" Type="http://schemas.openxmlformats.org/officeDocument/2006/relationships/hyperlink" Target="http://pbs.twimg.com/profile_images/1132064597693870080/JlGuTeQt_normal.png" TargetMode="External"/><Relationship Id="rId1245" Type="http://schemas.openxmlformats.org/officeDocument/2006/relationships/hyperlink" Target="http://pbs.twimg.com/profile_images/1281627143961751552/22JXdJBS_normal.jpg" TargetMode="External"/><Relationship Id="rId2576" Type="http://schemas.openxmlformats.org/officeDocument/2006/relationships/hyperlink" Target="http://twitter.com/jdportes/statuses/1521026985060876288" TargetMode="External"/><Relationship Id="rId1279" Type="http://schemas.openxmlformats.org/officeDocument/2006/relationships/hyperlink" Target="http://pbs.twimg.com/profile_images/1423594592658731008/MUhkJ_C4_normal.jpg" TargetMode="External"/><Relationship Id="rId4305" Type="http://schemas.openxmlformats.org/officeDocument/2006/relationships/hyperlink" Target="http://pbs.twimg.com/profile_images/919493087075950592/fcDtwShF_normal.jpg" TargetMode="External"/><Relationship Id="rId5637" Type="http://schemas.openxmlformats.org/officeDocument/2006/relationships/hyperlink" Target="http://pbs.twimg.com/profile_images/1471151616250322957/Un05P9bW_normal.jpg" TargetMode="External"/><Relationship Id="rId4304" Type="http://schemas.openxmlformats.org/officeDocument/2006/relationships/hyperlink" Target="http://twitter.com/Rainbow_July/statuses/1520982689305841669" TargetMode="External"/><Relationship Id="rId5638" Type="http://schemas.openxmlformats.org/officeDocument/2006/relationships/hyperlink" Target="http://twitter.com/InaudibleMum/statuses/1520888594604470277" TargetMode="External"/><Relationship Id="rId4307" Type="http://schemas.openxmlformats.org/officeDocument/2006/relationships/hyperlink" Target="http://pbs.twimg.com/profile_images/919493087075950592/fcDtwShF_normal.jpg" TargetMode="External"/><Relationship Id="rId5635" Type="http://schemas.openxmlformats.org/officeDocument/2006/relationships/hyperlink" Target="http://pbs.twimg.com/profile_images/1346402902546534400/j1p9qCXy_normal.jpg" TargetMode="External"/><Relationship Id="rId4306" Type="http://schemas.openxmlformats.org/officeDocument/2006/relationships/hyperlink" Target="http://twitter.com/kadams0/statuses/1520982667910852608" TargetMode="External"/><Relationship Id="rId5636" Type="http://schemas.openxmlformats.org/officeDocument/2006/relationships/hyperlink" Target="http://twitter.com/buy1_best/statuses/1520888848540217344" TargetMode="External"/><Relationship Id="rId4309" Type="http://schemas.openxmlformats.org/officeDocument/2006/relationships/hyperlink" Target="http://pbs.twimg.com/profile_images/662694463458967552/n3BKfcti_normal.jpg" TargetMode="External"/><Relationship Id="rId4308" Type="http://schemas.openxmlformats.org/officeDocument/2006/relationships/hyperlink" Target="http://twitter.com/kadams0/statuses/1520982606053257217" TargetMode="External"/><Relationship Id="rId5639" Type="http://schemas.openxmlformats.org/officeDocument/2006/relationships/hyperlink" Target="http://pbs.twimg.com/profile_images/767076862464057344/Kji4pGTa_normal.jpg" TargetMode="External"/><Relationship Id="rId448" Type="http://schemas.openxmlformats.org/officeDocument/2006/relationships/hyperlink" Target="http://twitter.com/SillyDeity/statuses/1521065240577855489" TargetMode="External"/><Relationship Id="rId447" Type="http://schemas.openxmlformats.org/officeDocument/2006/relationships/hyperlink" Target="http://pbs.twimg.com/profile_images/1369238621388038147/-f7YDohr_normal.png" TargetMode="External"/><Relationship Id="rId446" Type="http://schemas.openxmlformats.org/officeDocument/2006/relationships/hyperlink" Target="http://twitter.com/magicofthemind/statuses/1521065249343819776" TargetMode="External"/><Relationship Id="rId445" Type="http://schemas.openxmlformats.org/officeDocument/2006/relationships/hyperlink" Target="http://pbs.twimg.com/profile_images/1504843071355342849/Inupfm6e_normal.jpg" TargetMode="External"/><Relationship Id="rId449" Type="http://schemas.openxmlformats.org/officeDocument/2006/relationships/hyperlink" Target="http://pbs.twimg.com/profile_images/717315905781383168/AtzPJzux_normal.jpg" TargetMode="External"/><Relationship Id="rId1270" Type="http://schemas.openxmlformats.org/officeDocument/2006/relationships/hyperlink" Target="http://twitter.com/alextonemusic/statuses/1521050103057899520" TargetMode="External"/><Relationship Id="rId440" Type="http://schemas.openxmlformats.org/officeDocument/2006/relationships/hyperlink" Target="http://twitter.com/ianbirrell/statuses/1521065361306755072" TargetMode="External"/><Relationship Id="rId1271" Type="http://schemas.openxmlformats.org/officeDocument/2006/relationships/hyperlink" Target="http://pbs.twimg.com/profile_images/1486402364345044993/UTmcGH-S_normal.jpg" TargetMode="External"/><Relationship Id="rId1272" Type="http://schemas.openxmlformats.org/officeDocument/2006/relationships/hyperlink" Target="http://twitter.com/simunch1/statuses/1521050080463183872" TargetMode="External"/><Relationship Id="rId5630" Type="http://schemas.openxmlformats.org/officeDocument/2006/relationships/hyperlink" Target="http://twitter.com/sarahkcoleman/statuses/1520889090299813889" TargetMode="External"/><Relationship Id="rId1273" Type="http://schemas.openxmlformats.org/officeDocument/2006/relationships/hyperlink" Target="http://pbs.twimg.com/profile_images/1486402364345044993/UTmcGH-S_normal.jpg" TargetMode="External"/><Relationship Id="rId1274" Type="http://schemas.openxmlformats.org/officeDocument/2006/relationships/hyperlink" Target="http://twitter.com/simunch1/statuses/1521050042081099776" TargetMode="External"/><Relationship Id="rId444" Type="http://schemas.openxmlformats.org/officeDocument/2006/relationships/hyperlink" Target="http://twitter.com/MirandaWhiting/statuses/1521065273624875009" TargetMode="External"/><Relationship Id="rId1275" Type="http://schemas.openxmlformats.org/officeDocument/2006/relationships/hyperlink" Target="http://pbs.twimg.com/profile_images/751442339256754176/3-vkpNZv_normal.jpg" TargetMode="External"/><Relationship Id="rId4301" Type="http://schemas.openxmlformats.org/officeDocument/2006/relationships/hyperlink" Target="http://pbs.twimg.com/profile_images/919493087075950592/fcDtwShF_normal.jpg" TargetMode="External"/><Relationship Id="rId5633" Type="http://schemas.openxmlformats.org/officeDocument/2006/relationships/hyperlink" Target="http://pbs.twimg.com/profile_images/1508766960313643011/RzNk6_Ea_normal.jpg" TargetMode="External"/><Relationship Id="rId443" Type="http://schemas.openxmlformats.org/officeDocument/2006/relationships/hyperlink" Target="http://pbs.twimg.com/profile_images/876449801625382912/qucDQzGS_normal.jpg" TargetMode="External"/><Relationship Id="rId1276" Type="http://schemas.openxmlformats.org/officeDocument/2006/relationships/hyperlink" Target="http://twitter.com/slasherphobe/statuses/1521050006379192321" TargetMode="External"/><Relationship Id="rId4300" Type="http://schemas.openxmlformats.org/officeDocument/2006/relationships/hyperlink" Target="http://twitter.com/kadams0/statuses/1520982787452715009" TargetMode="External"/><Relationship Id="rId5634" Type="http://schemas.openxmlformats.org/officeDocument/2006/relationships/hyperlink" Target="http://twitter.com/Francis72035738/statuses/1520888931369336834" TargetMode="External"/><Relationship Id="rId442" Type="http://schemas.openxmlformats.org/officeDocument/2006/relationships/hyperlink" Target="http://twitter.com/Catwomanx6/statuses/1521065327034978305" TargetMode="External"/><Relationship Id="rId1277" Type="http://schemas.openxmlformats.org/officeDocument/2006/relationships/hyperlink" Target="http://pbs.twimg.com/profile_images/1725753694/image_normal.jpg" TargetMode="External"/><Relationship Id="rId4303" Type="http://schemas.openxmlformats.org/officeDocument/2006/relationships/hyperlink" Target="http://pbs.twimg.com/profile_images/1475493191214407686/E9aNqWsr_normal.jpg" TargetMode="External"/><Relationship Id="rId5631" Type="http://schemas.openxmlformats.org/officeDocument/2006/relationships/hyperlink" Target="http://pbs.twimg.com/profile_images/1186176066395746305/qwmK3IbX_normal.jpg" TargetMode="External"/><Relationship Id="rId441" Type="http://schemas.openxmlformats.org/officeDocument/2006/relationships/hyperlink" Target="http://pbs.twimg.com/profile_images/1503636698189684736/GZbPl6JT_normal.jpg" TargetMode="External"/><Relationship Id="rId1278" Type="http://schemas.openxmlformats.org/officeDocument/2006/relationships/hyperlink" Target="http://twitter.com/brightonianmiss/statuses/1521049962263592960" TargetMode="External"/><Relationship Id="rId4302" Type="http://schemas.openxmlformats.org/officeDocument/2006/relationships/hyperlink" Target="http://twitter.com/kadams0/statuses/1520982737846677504" TargetMode="External"/><Relationship Id="rId5632" Type="http://schemas.openxmlformats.org/officeDocument/2006/relationships/hyperlink" Target="http://twitter.com/MrChrisBrand/statuses/1520889068128768006" TargetMode="External"/><Relationship Id="rId1268" Type="http://schemas.openxmlformats.org/officeDocument/2006/relationships/hyperlink" Target="http://twitter.com/GemmaBee9/statuses/1521050113438801920" TargetMode="External"/><Relationship Id="rId2599" Type="http://schemas.openxmlformats.org/officeDocument/2006/relationships/hyperlink" Target="http://pbs.twimg.com/profile_images/1114490162162098176/TgvnA8GP_normal.jpg" TargetMode="External"/><Relationship Id="rId5626" Type="http://schemas.openxmlformats.org/officeDocument/2006/relationships/hyperlink" Target="http://twitter.com/colin_macl/statuses/1520889139167739905" TargetMode="External"/><Relationship Id="rId1269" Type="http://schemas.openxmlformats.org/officeDocument/2006/relationships/hyperlink" Target="http://pbs.twimg.com/profile_images/623129098659823617/e44DcDFw_normal.jpg" TargetMode="External"/><Relationship Id="rId5627" Type="http://schemas.openxmlformats.org/officeDocument/2006/relationships/hyperlink" Target="http://pbs.twimg.com/profile_images/1338171886824546306/tSOfhwS3_normal.jpg" TargetMode="External"/><Relationship Id="rId5624" Type="http://schemas.openxmlformats.org/officeDocument/2006/relationships/hyperlink" Target="http://twitter.com/pauldav46312233/statuses/1520889139884920839" TargetMode="External"/><Relationship Id="rId5625" Type="http://schemas.openxmlformats.org/officeDocument/2006/relationships/hyperlink" Target="http://pbs.twimg.com/profile_images/1263858963071881216/gyCknda8_normal.jpg" TargetMode="External"/><Relationship Id="rId5628" Type="http://schemas.openxmlformats.org/officeDocument/2006/relationships/hyperlink" Target="http://twitter.com/david_mcnab/statuses/1520889118997237765" TargetMode="External"/><Relationship Id="rId5629" Type="http://schemas.openxmlformats.org/officeDocument/2006/relationships/hyperlink" Target="http://pbs.twimg.com/profile_images/1190222036842496001/1rqwJa91_normal.jpg" TargetMode="External"/><Relationship Id="rId437" Type="http://schemas.openxmlformats.org/officeDocument/2006/relationships/hyperlink" Target="http://pbs.twimg.com/profile_images/1482063207447646214/nhmMaU1m_normal.jpg" TargetMode="External"/><Relationship Id="rId436" Type="http://schemas.openxmlformats.org/officeDocument/2006/relationships/hyperlink" Target="http://twitter.com/gill_othen/statuses/1521065381200375808" TargetMode="External"/><Relationship Id="rId435" Type="http://schemas.openxmlformats.org/officeDocument/2006/relationships/hyperlink" Target="http://pbs.twimg.com/profile_images/1497338611951353866/PGftmvAf_normal.jpg" TargetMode="External"/><Relationship Id="rId434" Type="http://schemas.openxmlformats.org/officeDocument/2006/relationships/hyperlink" Target="http://twitter.com/JumbleRates/statuses/1521065384971218944" TargetMode="External"/><Relationship Id="rId439" Type="http://schemas.openxmlformats.org/officeDocument/2006/relationships/hyperlink" Target="http://pbs.twimg.com/profile_images/1308683587919769601/r5SJ4hBY_normal.jpg" TargetMode="External"/><Relationship Id="rId438" Type="http://schemas.openxmlformats.org/officeDocument/2006/relationships/hyperlink" Target="http://twitter.com/BastionBucks/statuses/1521065379904241666" TargetMode="External"/><Relationship Id="rId2590" Type="http://schemas.openxmlformats.org/officeDocument/2006/relationships/hyperlink" Target="http://twitter.com/annacandr/statuses/1521026785831526400" TargetMode="External"/><Relationship Id="rId1260" Type="http://schemas.openxmlformats.org/officeDocument/2006/relationships/hyperlink" Target="http://twitter.com/cork_kb/statuses/1521050259450994689" TargetMode="External"/><Relationship Id="rId2591" Type="http://schemas.openxmlformats.org/officeDocument/2006/relationships/hyperlink" Target="http://pbs.twimg.com/profile_images/584637324929138688/wWCJhfOk_normal.jpg" TargetMode="External"/><Relationship Id="rId1261" Type="http://schemas.openxmlformats.org/officeDocument/2006/relationships/hyperlink" Target="http://pbs.twimg.com/profile_images/1497848248941297665/uhYreNvH_normal.jpg" TargetMode="External"/><Relationship Id="rId2592" Type="http://schemas.openxmlformats.org/officeDocument/2006/relationships/hyperlink" Target="http://twitter.com/Northern21a/statuses/1521026778428551168" TargetMode="External"/><Relationship Id="rId1262" Type="http://schemas.openxmlformats.org/officeDocument/2006/relationships/hyperlink" Target="http://twitter.com/hartsfleurs/statuses/1521050254401052672" TargetMode="External"/><Relationship Id="rId2593" Type="http://schemas.openxmlformats.org/officeDocument/2006/relationships/hyperlink" Target="http://pbs.twimg.com/profile_images/619600466759041025/xtg_1NP1_normal.jpg" TargetMode="External"/><Relationship Id="rId1263" Type="http://schemas.openxmlformats.org/officeDocument/2006/relationships/hyperlink" Target="http://pbs.twimg.com/profile_images/1250448404192415744/1g28Gb3c_normal.jpg" TargetMode="External"/><Relationship Id="rId2594" Type="http://schemas.openxmlformats.org/officeDocument/2006/relationships/hyperlink" Target="http://twitter.com/Gcw25Wood/statuses/1521026713144147970" TargetMode="External"/><Relationship Id="rId433" Type="http://schemas.openxmlformats.org/officeDocument/2006/relationships/hyperlink" Target="http://pbs.twimg.com/profile_images/1504734539184234531/-nE4ysYq_normal.jpg" TargetMode="External"/><Relationship Id="rId1264" Type="http://schemas.openxmlformats.org/officeDocument/2006/relationships/hyperlink" Target="http://twitter.com/TheCPDiary/statuses/1521050240383696896" TargetMode="External"/><Relationship Id="rId2595" Type="http://schemas.openxmlformats.org/officeDocument/2006/relationships/hyperlink" Target="http://pbs.twimg.com/profile_images/1341211966690521090/IwCyQj4o_normal.png" TargetMode="External"/><Relationship Id="rId5622" Type="http://schemas.openxmlformats.org/officeDocument/2006/relationships/hyperlink" Target="http://twitter.com/tad123/statuses/1520889159703048193" TargetMode="External"/><Relationship Id="rId432" Type="http://schemas.openxmlformats.org/officeDocument/2006/relationships/hyperlink" Target="http://twitter.com/TheSocReview/statuses/1521065447390593025" TargetMode="External"/><Relationship Id="rId1265" Type="http://schemas.openxmlformats.org/officeDocument/2006/relationships/hyperlink" Target="http://pbs.twimg.com/profile_images/983838576155742208/eZdhbWfp_normal.jpg" TargetMode="External"/><Relationship Id="rId2596" Type="http://schemas.openxmlformats.org/officeDocument/2006/relationships/hyperlink" Target="http://twitter.com/giselle97/statuses/1521026710250172416" TargetMode="External"/><Relationship Id="rId5623" Type="http://schemas.openxmlformats.org/officeDocument/2006/relationships/hyperlink" Target="http://pbs.twimg.com/profile_images/1493170575027720194/wbHjx0lk_normal.png" TargetMode="External"/><Relationship Id="rId431" Type="http://schemas.openxmlformats.org/officeDocument/2006/relationships/hyperlink" Target="http://pbs.twimg.com/profile_images/1382255122508566529/fqHRp_Jd_normal.png" TargetMode="External"/><Relationship Id="rId1266" Type="http://schemas.openxmlformats.org/officeDocument/2006/relationships/hyperlink" Target="http://twitter.com/SunandMoon15/statuses/1521050172180074498" TargetMode="External"/><Relationship Id="rId2597" Type="http://schemas.openxmlformats.org/officeDocument/2006/relationships/hyperlink" Target="http://pbs.twimg.com/profile_images/2048170491/image_normal.jpg" TargetMode="External"/><Relationship Id="rId5620" Type="http://schemas.openxmlformats.org/officeDocument/2006/relationships/hyperlink" Target="http://twitter.com/david_mcnab/statuses/1520889190002708485" TargetMode="External"/><Relationship Id="rId430" Type="http://schemas.openxmlformats.org/officeDocument/2006/relationships/hyperlink" Target="http://twitter.com/Allyjambo/statuses/1521065504168947714" TargetMode="External"/><Relationship Id="rId1267" Type="http://schemas.openxmlformats.org/officeDocument/2006/relationships/hyperlink" Target="http://abs.twimg.com/sticky/default_profile_images/default_profile_normal.png" TargetMode="External"/><Relationship Id="rId2598" Type="http://schemas.openxmlformats.org/officeDocument/2006/relationships/hyperlink" Target="http://twitter.com/8enoit/statuses/1521026707372793857" TargetMode="External"/><Relationship Id="rId5621" Type="http://schemas.openxmlformats.org/officeDocument/2006/relationships/hyperlink" Target="http://pbs.twimg.com/profile_images/1497471667794284552/ZJfIkw1c_normal.jpg" TargetMode="External"/><Relationship Id="rId3070" Type="http://schemas.openxmlformats.org/officeDocument/2006/relationships/hyperlink" Target="http://twitter.com/e_evison/statuses/1521018252117295105" TargetMode="External"/><Relationship Id="rId3072" Type="http://schemas.openxmlformats.org/officeDocument/2006/relationships/hyperlink" Target="http://twitter.com/TribeIceni/statuses/1521018213991124992" TargetMode="External"/><Relationship Id="rId3071" Type="http://schemas.openxmlformats.org/officeDocument/2006/relationships/hyperlink" Target="http://pbs.twimg.com/profile_images/1349084028473929728/rh-kUNnB_normal.jpg" TargetMode="External"/><Relationship Id="rId3074" Type="http://schemas.openxmlformats.org/officeDocument/2006/relationships/hyperlink" Target="http://twitter.com/barry_gabjack/statuses/1521018151273734146" TargetMode="External"/><Relationship Id="rId3073" Type="http://schemas.openxmlformats.org/officeDocument/2006/relationships/hyperlink" Target="http://pbs.twimg.com/profile_images/1505114774920704009/Hv77Hnov_normal.jpg" TargetMode="External"/><Relationship Id="rId3076" Type="http://schemas.openxmlformats.org/officeDocument/2006/relationships/hyperlink" Target="http://twitter.com/itsFrankBoff/statuses/1521018147033210880" TargetMode="External"/><Relationship Id="rId3075" Type="http://schemas.openxmlformats.org/officeDocument/2006/relationships/hyperlink" Target="http://pbs.twimg.com/profile_images/1273274054796087296/eEneCgSO_normal.jpg" TargetMode="External"/><Relationship Id="rId3078" Type="http://schemas.openxmlformats.org/officeDocument/2006/relationships/hyperlink" Target="http://twitter.com/nickymonkey/statuses/1521018126288277505" TargetMode="External"/><Relationship Id="rId3077" Type="http://schemas.openxmlformats.org/officeDocument/2006/relationships/hyperlink" Target="http://pbs.twimg.com/profile_images/1292798172973223936/da3I9DJo_normal.jpg" TargetMode="External"/><Relationship Id="rId3079" Type="http://schemas.openxmlformats.org/officeDocument/2006/relationships/hyperlink" Target="http://abs.twimg.com/sticky/default_profile_images/default_profile_normal.png" TargetMode="External"/><Relationship Id="rId4390" Type="http://schemas.openxmlformats.org/officeDocument/2006/relationships/hyperlink" Target="http://twitter.com/Rob_Kimbell/statuses/1520974466779688960" TargetMode="External"/><Relationship Id="rId3061" Type="http://schemas.openxmlformats.org/officeDocument/2006/relationships/hyperlink" Target="http://abs.twimg.com/sticky/default_profile_images/default_profile_normal.png" TargetMode="External"/><Relationship Id="rId4392" Type="http://schemas.openxmlformats.org/officeDocument/2006/relationships/hyperlink" Target="http://twitter.com/AHaglington/statuses/1520974415412056064" TargetMode="External"/><Relationship Id="rId3060" Type="http://schemas.openxmlformats.org/officeDocument/2006/relationships/hyperlink" Target="http://twitter.com/abigail_energy/statuses/1521018471001305097" TargetMode="External"/><Relationship Id="rId4391" Type="http://schemas.openxmlformats.org/officeDocument/2006/relationships/hyperlink" Target="http://pbs.twimg.com/profile_images/1371036955169976320/gzeB8qQs_normal.jpg" TargetMode="External"/><Relationship Id="rId3063" Type="http://schemas.openxmlformats.org/officeDocument/2006/relationships/hyperlink" Target="http://abs.twimg.com/sticky/default_profile_images/default_profile_normal.png" TargetMode="External"/><Relationship Id="rId4394" Type="http://schemas.openxmlformats.org/officeDocument/2006/relationships/hyperlink" Target="http://twitter.com/AHaglington/statuses/1520973447404392454" TargetMode="External"/><Relationship Id="rId3062" Type="http://schemas.openxmlformats.org/officeDocument/2006/relationships/hyperlink" Target="http://twitter.com/Pru88057472/statuses/1521018431864250368" TargetMode="External"/><Relationship Id="rId4393" Type="http://schemas.openxmlformats.org/officeDocument/2006/relationships/hyperlink" Target="http://pbs.twimg.com/profile_images/1371036955169976320/gzeB8qQs_normal.jpg" TargetMode="External"/><Relationship Id="rId3065" Type="http://schemas.openxmlformats.org/officeDocument/2006/relationships/hyperlink" Target="http://pbs.twimg.com/profile_images/1107681539658260482/zZrjtntS_normal.jpg" TargetMode="External"/><Relationship Id="rId4396" Type="http://schemas.openxmlformats.org/officeDocument/2006/relationships/hyperlink" Target="http://twitter.com/BrexitLalaland/statuses/1520973116930994178" TargetMode="External"/><Relationship Id="rId3064" Type="http://schemas.openxmlformats.org/officeDocument/2006/relationships/hyperlink" Target="http://twitter.com/Pru88057472/statuses/1521018403393355776" TargetMode="External"/><Relationship Id="rId4395" Type="http://schemas.openxmlformats.org/officeDocument/2006/relationships/hyperlink" Target="http://pbs.twimg.com/profile_images/835976168700534786/nkI_roQQ_normal.jpg" TargetMode="External"/><Relationship Id="rId3067" Type="http://schemas.openxmlformats.org/officeDocument/2006/relationships/hyperlink" Target="http://pbs.twimg.com/profile_images/1165877016660533249/Uf-ht0E3_normal.jpg" TargetMode="External"/><Relationship Id="rId4398" Type="http://schemas.openxmlformats.org/officeDocument/2006/relationships/hyperlink" Target="http://twitter.com/BrexitLalaland/statuses/1520973103089782786" TargetMode="External"/><Relationship Id="rId3066" Type="http://schemas.openxmlformats.org/officeDocument/2006/relationships/hyperlink" Target="http://twitter.com/catherinemc40/statuses/1521018369197096961" TargetMode="External"/><Relationship Id="rId4397" Type="http://schemas.openxmlformats.org/officeDocument/2006/relationships/hyperlink" Target="http://pbs.twimg.com/profile_images/835976168700534786/nkI_roQQ_normal.jpg" TargetMode="External"/><Relationship Id="rId3069" Type="http://schemas.openxmlformats.org/officeDocument/2006/relationships/hyperlink" Target="http://pbs.twimg.com/profile_images/1183812113480978432/XxjCd12r_normal.jpg" TargetMode="External"/><Relationship Id="rId3068" Type="http://schemas.openxmlformats.org/officeDocument/2006/relationships/hyperlink" Target="http://twitter.com/LewesEUnity/statuses/1521018327618969600" TargetMode="External"/><Relationship Id="rId4399" Type="http://schemas.openxmlformats.org/officeDocument/2006/relationships/hyperlink" Target="http://pbs.twimg.com/profile_images/835976168700534786/nkI_roQQ_normal.jpg" TargetMode="External"/><Relationship Id="rId3090" Type="http://schemas.openxmlformats.org/officeDocument/2006/relationships/hyperlink" Target="http://twitter.com/maxibutbut/statuses/1521017987469352961" TargetMode="External"/><Relationship Id="rId3092" Type="http://schemas.openxmlformats.org/officeDocument/2006/relationships/hyperlink" Target="http://twitter.com/Jackywacky51/statuses/1521017982138335233" TargetMode="External"/><Relationship Id="rId3091" Type="http://schemas.openxmlformats.org/officeDocument/2006/relationships/hyperlink" Target="http://pbs.twimg.com/profile_images/1457133901067997192/mZJg8Tta_normal.jpg" TargetMode="External"/><Relationship Id="rId3094" Type="http://schemas.openxmlformats.org/officeDocument/2006/relationships/hyperlink" Target="http://twitter.com/Losing_Streak42/statuses/1521017966850199552" TargetMode="External"/><Relationship Id="rId3093" Type="http://schemas.openxmlformats.org/officeDocument/2006/relationships/hyperlink" Target="http://pbs.twimg.com/profile_images/779686111941722112/eZ0d1p4i_normal.jpg" TargetMode="External"/><Relationship Id="rId3096" Type="http://schemas.openxmlformats.org/officeDocument/2006/relationships/hyperlink" Target="http://twitter.com/Pokerspace1/statuses/1521017946432225280" TargetMode="External"/><Relationship Id="rId3095" Type="http://schemas.openxmlformats.org/officeDocument/2006/relationships/hyperlink" Target="http://pbs.twimg.com/profile_images/1338511915/eskimoneb-431x320_normal.jpg" TargetMode="External"/><Relationship Id="rId3098" Type="http://schemas.openxmlformats.org/officeDocument/2006/relationships/hyperlink" Target="http://twitter.com/toadovision/statuses/1521017931286646785" TargetMode="External"/><Relationship Id="rId3097" Type="http://schemas.openxmlformats.org/officeDocument/2006/relationships/hyperlink" Target="http://pbs.twimg.com/profile_images/2117127147/image_normal.jpg" TargetMode="External"/><Relationship Id="rId3099" Type="http://schemas.openxmlformats.org/officeDocument/2006/relationships/hyperlink" Target="http://pbs.twimg.com/profile_images/1509087714943156226/Mrx6L4Ug_normal.jpg" TargetMode="External"/><Relationship Id="rId3081" Type="http://schemas.openxmlformats.org/officeDocument/2006/relationships/hyperlink" Target="http://pbs.twimg.com/profile_images/1517836250388078595/CpVILFuk_normal.jpg" TargetMode="External"/><Relationship Id="rId3080" Type="http://schemas.openxmlformats.org/officeDocument/2006/relationships/hyperlink" Target="http://twitter.com/JohnCur74968742/statuses/1521018087876841472" TargetMode="External"/><Relationship Id="rId3083" Type="http://schemas.openxmlformats.org/officeDocument/2006/relationships/hyperlink" Target="http://pbs.twimg.com/profile_images/1044560851104124929/jxHNNQGe_normal.jpg" TargetMode="External"/><Relationship Id="rId3082" Type="http://schemas.openxmlformats.org/officeDocument/2006/relationships/hyperlink" Target="http://twitter.com/CharenteMec/statuses/1521018024081383424" TargetMode="External"/><Relationship Id="rId3085" Type="http://schemas.openxmlformats.org/officeDocument/2006/relationships/hyperlink" Target="http://pbs.twimg.com/profile_images/984768666414780416/nAHLH6OG_normal.jpg" TargetMode="External"/><Relationship Id="rId3084" Type="http://schemas.openxmlformats.org/officeDocument/2006/relationships/hyperlink" Target="http://twitter.com/DavidHo57450429/statuses/1521018010751938561" TargetMode="External"/><Relationship Id="rId3087" Type="http://schemas.openxmlformats.org/officeDocument/2006/relationships/hyperlink" Target="http://pbs.twimg.com/profile_images/1382600022668234755/i7weEXP3_normal.jpg" TargetMode="External"/><Relationship Id="rId3086" Type="http://schemas.openxmlformats.org/officeDocument/2006/relationships/hyperlink" Target="http://twitter.com/Mapdisk/statuses/1521018010743541761" TargetMode="External"/><Relationship Id="rId3089" Type="http://schemas.openxmlformats.org/officeDocument/2006/relationships/hyperlink" Target="http://pbs.twimg.com/profile_images/824386159887388672/Z6YMWIPl_normal.jpg" TargetMode="External"/><Relationship Id="rId3088" Type="http://schemas.openxmlformats.org/officeDocument/2006/relationships/hyperlink" Target="http://twitter.com/aopearl/statuses/1521017988379459584" TargetMode="External"/><Relationship Id="rId3039" Type="http://schemas.openxmlformats.org/officeDocument/2006/relationships/hyperlink" Target="http://pbs.twimg.com/profile_images/747049756413861888/wbkswwGI_normal.jpg" TargetMode="External"/><Relationship Id="rId1" Type="http://schemas.openxmlformats.org/officeDocument/2006/relationships/hyperlink" Target="http://pbs.twimg.com/profile_images/1359700927142313987/10DCVAqF_normal.jpg" TargetMode="External"/><Relationship Id="rId2" Type="http://schemas.openxmlformats.org/officeDocument/2006/relationships/hyperlink" Target="http://twitter.com/tarisgal42/statuses/1521074047710285825" TargetMode="External"/><Relationship Id="rId3" Type="http://schemas.openxmlformats.org/officeDocument/2006/relationships/hyperlink" Target="http://pbs.twimg.com/profile_images/1166837111443591169/oa4iJSzV_normal.jpg" TargetMode="External"/><Relationship Id="rId4" Type="http://schemas.openxmlformats.org/officeDocument/2006/relationships/hyperlink" Target="http://twitter.com/Factanonverba73/statuses/1521073640632164353" TargetMode="External"/><Relationship Id="rId5691" Type="http://schemas.openxmlformats.org/officeDocument/2006/relationships/hyperlink" Target="http://pbs.twimg.com/profile_images/889253337463443458/538gA0Q-_normal.jpg" TargetMode="External"/><Relationship Id="rId5692" Type="http://schemas.openxmlformats.org/officeDocument/2006/relationships/hyperlink" Target="http://twitter.com/RonPatton1/statuses/1520887329862340617" TargetMode="External"/><Relationship Id="rId3030" Type="http://schemas.openxmlformats.org/officeDocument/2006/relationships/hyperlink" Target="http://twitter.com/memneon/statuses/1521018924078452744" TargetMode="External"/><Relationship Id="rId4361" Type="http://schemas.openxmlformats.org/officeDocument/2006/relationships/hyperlink" Target="http://pbs.twimg.com/profile_images/498410564188512258/LAwhd3lh_normal.jpeg" TargetMode="External"/><Relationship Id="rId4360" Type="http://schemas.openxmlformats.org/officeDocument/2006/relationships/hyperlink" Target="http://twitter.com/AlisonmarYr/statuses/1520977749095165953" TargetMode="External"/><Relationship Id="rId5690" Type="http://schemas.openxmlformats.org/officeDocument/2006/relationships/hyperlink" Target="http://twitter.com/MsAlliance/statuses/1520887472527495175" TargetMode="External"/><Relationship Id="rId9" Type="http://schemas.openxmlformats.org/officeDocument/2006/relationships/hyperlink" Target="http://pbs.twimg.com/profile_images/1344603621925773312/DDdf4X9D_normal.jpg" TargetMode="External"/><Relationship Id="rId3032" Type="http://schemas.openxmlformats.org/officeDocument/2006/relationships/hyperlink" Target="http://twitter.com/DawnConnor/statuses/1521018884727488512" TargetMode="External"/><Relationship Id="rId4363" Type="http://schemas.openxmlformats.org/officeDocument/2006/relationships/hyperlink" Target="http://pbs.twimg.com/profile_images/498410564188512258/LAwhd3lh_normal.jpeg" TargetMode="External"/><Relationship Id="rId5695" Type="http://schemas.openxmlformats.org/officeDocument/2006/relationships/hyperlink" Target="http://pbs.twimg.com/profile_images/1490092204366442508/HDtOOMuI_normal.jpg" TargetMode="External"/><Relationship Id="rId3031" Type="http://schemas.openxmlformats.org/officeDocument/2006/relationships/hyperlink" Target="http://pbs.twimg.com/profile_images/1497305088133632004/VzYQrYpw_normal.jpg" TargetMode="External"/><Relationship Id="rId4362" Type="http://schemas.openxmlformats.org/officeDocument/2006/relationships/hyperlink" Target="http://twitter.com/peterabird/statuses/1520977718313201664" TargetMode="External"/><Relationship Id="rId5696" Type="http://schemas.openxmlformats.org/officeDocument/2006/relationships/hyperlink" Target="http://twitter.com/TeresaWeath/statuses/1520887315979198464" TargetMode="External"/><Relationship Id="rId3034" Type="http://schemas.openxmlformats.org/officeDocument/2006/relationships/hyperlink" Target="http://twitter.com/michellemck0/statuses/1521018867337809922" TargetMode="External"/><Relationship Id="rId4365" Type="http://schemas.openxmlformats.org/officeDocument/2006/relationships/hyperlink" Target="http://pbs.twimg.com/profile_images/498410564188512258/LAwhd3lh_normal.jpeg" TargetMode="External"/><Relationship Id="rId5693" Type="http://schemas.openxmlformats.org/officeDocument/2006/relationships/hyperlink" Target="http://pbs.twimg.com/profile_images/1379501478457483266/k2VZmKd8_normal.png" TargetMode="External"/><Relationship Id="rId3033" Type="http://schemas.openxmlformats.org/officeDocument/2006/relationships/hyperlink" Target="http://pbs.twimg.com/profile_images/1519045888538255372/6D3Kr6ir_normal.jpg" TargetMode="External"/><Relationship Id="rId4364" Type="http://schemas.openxmlformats.org/officeDocument/2006/relationships/hyperlink" Target="http://twitter.com/peterabird/statuses/1520977668942008321" TargetMode="External"/><Relationship Id="rId5694" Type="http://schemas.openxmlformats.org/officeDocument/2006/relationships/hyperlink" Target="http://twitter.com/HuwpHuw/statuses/1520887319397638147" TargetMode="External"/><Relationship Id="rId5" Type="http://schemas.openxmlformats.org/officeDocument/2006/relationships/hyperlink" Target="http://pbs.twimg.com/profile_images/1122605886541791237/RtcznP9-_normal.jpg" TargetMode="External"/><Relationship Id="rId3036" Type="http://schemas.openxmlformats.org/officeDocument/2006/relationships/hyperlink" Target="http://twitter.com/PoliticalPaddy/statuses/1521018834471292928" TargetMode="External"/><Relationship Id="rId4367" Type="http://schemas.openxmlformats.org/officeDocument/2006/relationships/hyperlink" Target="http://pbs.twimg.com/profile_images/2801453735/dd501ca71226502c54434c6d6c3f4eaf_normal.jpeg" TargetMode="External"/><Relationship Id="rId5699" Type="http://schemas.openxmlformats.org/officeDocument/2006/relationships/hyperlink" Target="http://pbs.twimg.com/profile_images/1379501478457483266/k2VZmKd8_normal.png" TargetMode="External"/><Relationship Id="rId6" Type="http://schemas.openxmlformats.org/officeDocument/2006/relationships/hyperlink" Target="http://twitter.com/BelfastUnionist/statuses/1521073635305431040" TargetMode="External"/><Relationship Id="rId3035" Type="http://schemas.openxmlformats.org/officeDocument/2006/relationships/hyperlink" Target="http://pbs.twimg.com/profile_images/1470119399063498760/VWtDLXm2_normal.jpg" TargetMode="External"/><Relationship Id="rId4366" Type="http://schemas.openxmlformats.org/officeDocument/2006/relationships/hyperlink" Target="http://twitter.com/peterabird/statuses/1520977617385574400" TargetMode="External"/><Relationship Id="rId7" Type="http://schemas.openxmlformats.org/officeDocument/2006/relationships/hyperlink" Target="http://pbs.twimg.com/profile_images/1457820769510100996/Ko1Xx1bp_normal.jpg" TargetMode="External"/><Relationship Id="rId3038" Type="http://schemas.openxmlformats.org/officeDocument/2006/relationships/hyperlink" Target="http://twitter.com/welshroots/statuses/1521018813764059136" TargetMode="External"/><Relationship Id="rId4369" Type="http://schemas.openxmlformats.org/officeDocument/2006/relationships/hyperlink" Target="http://pbs.twimg.com/profile_images/895572315584573440/F4BcXECG_normal.jpg" TargetMode="External"/><Relationship Id="rId5697" Type="http://schemas.openxmlformats.org/officeDocument/2006/relationships/hyperlink" Target="http://pbs.twimg.com/profile_images/1379501478457483266/k2VZmKd8_normal.png" TargetMode="External"/><Relationship Id="rId8" Type="http://schemas.openxmlformats.org/officeDocument/2006/relationships/hyperlink" Target="http://twitter.com/nerans1/statuses/1521073407231733763" TargetMode="External"/><Relationship Id="rId3037" Type="http://schemas.openxmlformats.org/officeDocument/2006/relationships/hyperlink" Target="http://pbs.twimg.com/profile_images/1477208744924790791/DUj-HE2F_normal.jpg" TargetMode="External"/><Relationship Id="rId4368" Type="http://schemas.openxmlformats.org/officeDocument/2006/relationships/hyperlink" Target="http://twitter.com/euanfar/statuses/1520977606002237441" TargetMode="External"/><Relationship Id="rId5698" Type="http://schemas.openxmlformats.org/officeDocument/2006/relationships/hyperlink" Target="http://twitter.com/HuwpHuw/statuses/1520887301596925952" TargetMode="External"/><Relationship Id="rId3029" Type="http://schemas.openxmlformats.org/officeDocument/2006/relationships/hyperlink" Target="http://pbs.twimg.com/profile_images/1184390609353748480/HQkEbKIM_normal.jpg" TargetMode="External"/><Relationship Id="rId3028" Type="http://schemas.openxmlformats.org/officeDocument/2006/relationships/hyperlink" Target="http://twitter.com/n0_kidding_/statuses/1521018987630538753" TargetMode="External"/><Relationship Id="rId4359" Type="http://schemas.openxmlformats.org/officeDocument/2006/relationships/hyperlink" Target="http://abs.twimg.com/sticky/default_profile_images/default_profile_normal.png" TargetMode="External"/><Relationship Id="rId5680" Type="http://schemas.openxmlformats.org/officeDocument/2006/relationships/hyperlink" Target="http://twitter.com/esther_livesey/statuses/1520887604463509505" TargetMode="External"/><Relationship Id="rId5681" Type="http://schemas.openxmlformats.org/officeDocument/2006/relationships/hyperlink" Target="http://pbs.twimg.com/profile_images/1033129235697885184/zocVQUJG_normal.jpg" TargetMode="External"/><Relationship Id="rId4350" Type="http://schemas.openxmlformats.org/officeDocument/2006/relationships/hyperlink" Target="http://twitter.com/cathcart3303/statuses/1520978252826914816" TargetMode="External"/><Relationship Id="rId3021" Type="http://schemas.openxmlformats.org/officeDocument/2006/relationships/hyperlink" Target="http://pbs.twimg.com/profile_images/752423127196504064/kxN0-3lk_normal.jpg" TargetMode="External"/><Relationship Id="rId4352" Type="http://schemas.openxmlformats.org/officeDocument/2006/relationships/hyperlink" Target="http://twitter.com/carolyndare/statuses/1520978232463536129" TargetMode="External"/><Relationship Id="rId5684" Type="http://schemas.openxmlformats.org/officeDocument/2006/relationships/hyperlink" Target="http://twitter.com/MaddestMa/statuses/1520887541444059140" TargetMode="External"/><Relationship Id="rId3020" Type="http://schemas.openxmlformats.org/officeDocument/2006/relationships/hyperlink" Target="http://twitter.com/ElaineOkmolley/statuses/1521019100578856960" TargetMode="External"/><Relationship Id="rId4351" Type="http://schemas.openxmlformats.org/officeDocument/2006/relationships/hyperlink" Target="http://pbs.twimg.com/profile_images/381003308/Carolyn2_normal.jpg" TargetMode="External"/><Relationship Id="rId5685" Type="http://schemas.openxmlformats.org/officeDocument/2006/relationships/hyperlink" Target="http://pbs.twimg.com/profile_images/378800000858682338/qFgks8LI_normal.jpeg" TargetMode="External"/><Relationship Id="rId3023" Type="http://schemas.openxmlformats.org/officeDocument/2006/relationships/hyperlink" Target="http://pbs.twimg.com/profile_images/1160910848531083266/9qF7Zfas_normal.jpg" TargetMode="External"/><Relationship Id="rId4354" Type="http://schemas.openxmlformats.org/officeDocument/2006/relationships/hyperlink" Target="http://twitter.com/bronwen_brown1/statuses/1520978108471558144" TargetMode="External"/><Relationship Id="rId5682" Type="http://schemas.openxmlformats.org/officeDocument/2006/relationships/hyperlink" Target="http://twitter.com/HereInTheHollow/statuses/1520887542136119306" TargetMode="External"/><Relationship Id="rId3022" Type="http://schemas.openxmlformats.org/officeDocument/2006/relationships/hyperlink" Target="http://twitter.com/jj_sal/statuses/1521019073949274113" TargetMode="External"/><Relationship Id="rId4353" Type="http://schemas.openxmlformats.org/officeDocument/2006/relationships/hyperlink" Target="http://pbs.twimg.com/profile_images/1377590563277565952/-m7-6dUn_normal.jpg" TargetMode="External"/><Relationship Id="rId5683" Type="http://schemas.openxmlformats.org/officeDocument/2006/relationships/hyperlink" Target="http://pbs.twimg.com/profile_images/1282009545494142980/Zy5Ddxj3_normal.jpg" TargetMode="External"/><Relationship Id="rId3025" Type="http://schemas.openxmlformats.org/officeDocument/2006/relationships/hyperlink" Target="http://abs.twimg.com/sticky/default_profile_images/default_profile_normal.png" TargetMode="External"/><Relationship Id="rId4356" Type="http://schemas.openxmlformats.org/officeDocument/2006/relationships/hyperlink" Target="http://twitter.com/Sajad_Faz/statuses/1520977974018908160" TargetMode="External"/><Relationship Id="rId5688" Type="http://schemas.openxmlformats.org/officeDocument/2006/relationships/hyperlink" Target="http://twitter.com/Jaymorton8/statuses/1520887488138649600" TargetMode="External"/><Relationship Id="rId3024" Type="http://schemas.openxmlformats.org/officeDocument/2006/relationships/hyperlink" Target="http://twitter.com/mondonova/statuses/1521019056874299393" TargetMode="External"/><Relationship Id="rId4355" Type="http://schemas.openxmlformats.org/officeDocument/2006/relationships/hyperlink" Target="http://pbs.twimg.com/profile_images/1300584542571581446/UDc07u8-_normal.jpg" TargetMode="External"/><Relationship Id="rId5689" Type="http://schemas.openxmlformats.org/officeDocument/2006/relationships/hyperlink" Target="http://pbs.twimg.com/profile_images/1515586107458699264/AlUFM7j-_normal.jpg" TargetMode="External"/><Relationship Id="rId3027" Type="http://schemas.openxmlformats.org/officeDocument/2006/relationships/hyperlink" Target="http://pbs.twimg.com/profile_images/1502380163769720840/J8cujaMR_normal.jpg" TargetMode="External"/><Relationship Id="rId4358" Type="http://schemas.openxmlformats.org/officeDocument/2006/relationships/hyperlink" Target="http://twitter.com/AlisonmarYr/statuses/1520977799703674880" TargetMode="External"/><Relationship Id="rId5686" Type="http://schemas.openxmlformats.org/officeDocument/2006/relationships/hyperlink" Target="http://twitter.com/eyejosh/statuses/1520887496703455234" TargetMode="External"/><Relationship Id="rId3026" Type="http://schemas.openxmlformats.org/officeDocument/2006/relationships/hyperlink" Target="http://twitter.com/Cathy30099750/statuses/1521019035638448131" TargetMode="External"/><Relationship Id="rId4357" Type="http://schemas.openxmlformats.org/officeDocument/2006/relationships/hyperlink" Target="http://abs.twimg.com/sticky/default_profile_images/default_profile_normal.png" TargetMode="External"/><Relationship Id="rId5687" Type="http://schemas.openxmlformats.org/officeDocument/2006/relationships/hyperlink" Target="http://pbs.twimg.com/profile_images/1307216409081061376/FUjrlxUj_normal.jpg" TargetMode="External"/><Relationship Id="rId3050" Type="http://schemas.openxmlformats.org/officeDocument/2006/relationships/hyperlink" Target="http://twitter.com/abigail_energy/statuses/1521018608108941314" TargetMode="External"/><Relationship Id="rId4381" Type="http://schemas.openxmlformats.org/officeDocument/2006/relationships/hyperlink" Target="http://pbs.twimg.com/profile_images/1458891210433642501/hQR9X9fs_normal.jpg" TargetMode="External"/><Relationship Id="rId4380" Type="http://schemas.openxmlformats.org/officeDocument/2006/relationships/hyperlink" Target="http://twitter.com/julie_dutto/statuses/1520976071264509952" TargetMode="External"/><Relationship Id="rId3052" Type="http://schemas.openxmlformats.org/officeDocument/2006/relationships/hyperlink" Target="http://twitter.com/sallyhoughton20/statuses/1521018573417857024" TargetMode="External"/><Relationship Id="rId4383" Type="http://schemas.openxmlformats.org/officeDocument/2006/relationships/hyperlink" Target="http://pbs.twimg.com/profile_images/1471132466152980486/bewSiKpU_normal.jpg" TargetMode="External"/><Relationship Id="rId3051" Type="http://schemas.openxmlformats.org/officeDocument/2006/relationships/hyperlink" Target="http://pbs.twimg.com/profile_images/1501163891040133126/cc48-3h6_normal.jpg" TargetMode="External"/><Relationship Id="rId4382" Type="http://schemas.openxmlformats.org/officeDocument/2006/relationships/hyperlink" Target="http://twitter.com/jamie_saris/statuses/1520976031859023872" TargetMode="External"/><Relationship Id="rId3054" Type="http://schemas.openxmlformats.org/officeDocument/2006/relationships/hyperlink" Target="http://twitter.com/tweet2chris2/statuses/1521018556321873920" TargetMode="External"/><Relationship Id="rId4385" Type="http://schemas.openxmlformats.org/officeDocument/2006/relationships/hyperlink" Target="http://pbs.twimg.com/profile_images/1353466011572445184/x7f2x_vQ_normal.jpg" TargetMode="External"/><Relationship Id="rId3053" Type="http://schemas.openxmlformats.org/officeDocument/2006/relationships/hyperlink" Target="http://pbs.twimg.com/profile_images/1293251230064611329/ABDOrsgn_normal.jpg" TargetMode="External"/><Relationship Id="rId4384" Type="http://schemas.openxmlformats.org/officeDocument/2006/relationships/hyperlink" Target="http://twitter.com/16Sharkey/statuses/1520975671182475264" TargetMode="External"/><Relationship Id="rId3056" Type="http://schemas.openxmlformats.org/officeDocument/2006/relationships/hyperlink" Target="http://twitter.com/Fitness4London/statuses/1521018514194280449" TargetMode="External"/><Relationship Id="rId4387" Type="http://schemas.openxmlformats.org/officeDocument/2006/relationships/hyperlink" Target="http://pbs.twimg.com/profile_images/1024336560618176513/tdqrvdMw_normal.jpg" TargetMode="External"/><Relationship Id="rId3055" Type="http://schemas.openxmlformats.org/officeDocument/2006/relationships/hyperlink" Target="http://pbs.twimg.com/profile_images/71422336/domfitness_me_pic_normal.jpg" TargetMode="External"/><Relationship Id="rId4386" Type="http://schemas.openxmlformats.org/officeDocument/2006/relationships/hyperlink" Target="http://twitter.com/cristian_ma21/statuses/1520974740634357760" TargetMode="External"/><Relationship Id="rId3058" Type="http://schemas.openxmlformats.org/officeDocument/2006/relationships/hyperlink" Target="http://twitter.com/sally_steel_/statuses/1521018482258763777" TargetMode="External"/><Relationship Id="rId4389" Type="http://schemas.openxmlformats.org/officeDocument/2006/relationships/hyperlink" Target="http://pbs.twimg.com/profile_images/1024336560618176513/tdqrvdMw_normal.jpg" TargetMode="External"/><Relationship Id="rId3057" Type="http://schemas.openxmlformats.org/officeDocument/2006/relationships/hyperlink" Target="http://pbs.twimg.com/profile_images/1224240583738298368/NHh0ysy5_normal.jpg" TargetMode="External"/><Relationship Id="rId4388" Type="http://schemas.openxmlformats.org/officeDocument/2006/relationships/hyperlink" Target="http://twitter.com/Rob_Kimbell/statuses/1520974615513686024" TargetMode="External"/><Relationship Id="rId3059" Type="http://schemas.openxmlformats.org/officeDocument/2006/relationships/hyperlink" Target="http://pbs.twimg.com/profile_images/1498179694952337408/rQ5E_Aiy_normal.jpg" TargetMode="External"/><Relationship Id="rId4370" Type="http://schemas.openxmlformats.org/officeDocument/2006/relationships/hyperlink" Target="http://twitter.com/CarolineAgent/statuses/1520977488951840774" TargetMode="External"/><Relationship Id="rId3041" Type="http://schemas.openxmlformats.org/officeDocument/2006/relationships/hyperlink" Target="http://pbs.twimg.com/profile_images/1497305088133632004/VzYQrYpw_normal.jpg" TargetMode="External"/><Relationship Id="rId4372" Type="http://schemas.openxmlformats.org/officeDocument/2006/relationships/hyperlink" Target="http://twitter.com/NanaRavers/statuses/1520976941506981888" TargetMode="External"/><Relationship Id="rId3040" Type="http://schemas.openxmlformats.org/officeDocument/2006/relationships/hyperlink" Target="http://twitter.com/dajrafa/statuses/1521018802674225153" TargetMode="External"/><Relationship Id="rId4371" Type="http://schemas.openxmlformats.org/officeDocument/2006/relationships/hyperlink" Target="http://pbs.twimg.com/profile_images/760544537643102208/Zjctn-6D_normal.jpg" TargetMode="External"/><Relationship Id="rId3043" Type="http://schemas.openxmlformats.org/officeDocument/2006/relationships/hyperlink" Target="http://pbs.twimg.com/profile_images/515796682437844993/cS8weXXV_normal.jpeg" TargetMode="External"/><Relationship Id="rId4374" Type="http://schemas.openxmlformats.org/officeDocument/2006/relationships/hyperlink" Target="http://twitter.com/AHaglington/statuses/1520976800935030784" TargetMode="External"/><Relationship Id="rId3042" Type="http://schemas.openxmlformats.org/officeDocument/2006/relationships/hyperlink" Target="http://twitter.com/DawnConnor/statuses/1521018784605220865" TargetMode="External"/><Relationship Id="rId4373" Type="http://schemas.openxmlformats.org/officeDocument/2006/relationships/hyperlink" Target="http://pbs.twimg.com/profile_images/1371036955169976320/gzeB8qQs_normal.jpg" TargetMode="External"/><Relationship Id="rId3045" Type="http://schemas.openxmlformats.org/officeDocument/2006/relationships/hyperlink" Target="http://pbs.twimg.com/profile_images/1498179694952337408/rQ5E_Aiy_normal.jpg" TargetMode="External"/><Relationship Id="rId4376" Type="http://schemas.openxmlformats.org/officeDocument/2006/relationships/hyperlink" Target="http://twitter.com/AHaglington/statuses/1520976771067396096" TargetMode="External"/><Relationship Id="rId3044" Type="http://schemas.openxmlformats.org/officeDocument/2006/relationships/hyperlink" Target="http://twitter.com/NormanStiff/statuses/1521018778737430529" TargetMode="External"/><Relationship Id="rId4375" Type="http://schemas.openxmlformats.org/officeDocument/2006/relationships/hyperlink" Target="http://pbs.twimg.com/profile_images/1371036955169976320/gzeB8qQs_normal.jpg" TargetMode="External"/><Relationship Id="rId3047" Type="http://schemas.openxmlformats.org/officeDocument/2006/relationships/hyperlink" Target="http://pbs.twimg.com/profile_images/1497682188409655296/fA_QajlQ_normal.jpg" TargetMode="External"/><Relationship Id="rId4378" Type="http://schemas.openxmlformats.org/officeDocument/2006/relationships/hyperlink" Target="http://twitter.com/political_wasp/statuses/1520976643304697857" TargetMode="External"/><Relationship Id="rId3046" Type="http://schemas.openxmlformats.org/officeDocument/2006/relationships/hyperlink" Target="http://twitter.com/abigail_energy/statuses/1521018664664940545" TargetMode="External"/><Relationship Id="rId4377" Type="http://schemas.openxmlformats.org/officeDocument/2006/relationships/hyperlink" Target="http://pbs.twimg.com/profile_images/977303634609360897/N2CDJ7W7_normal.jpg" TargetMode="External"/><Relationship Id="rId3049" Type="http://schemas.openxmlformats.org/officeDocument/2006/relationships/hyperlink" Target="http://pbs.twimg.com/profile_images/1498179694952337408/rQ5E_Aiy_normal.jpg" TargetMode="External"/><Relationship Id="rId3048" Type="http://schemas.openxmlformats.org/officeDocument/2006/relationships/hyperlink" Target="http://twitter.com/Mischiefrules/statuses/1521018653159866369" TargetMode="External"/><Relationship Id="rId4379" Type="http://schemas.openxmlformats.org/officeDocument/2006/relationships/hyperlink" Target="http://pbs.twimg.com/profile_images/1240938581901877248/0qdU1nOH_normal.jpg" TargetMode="External"/><Relationship Id="rId3911" Type="http://schemas.openxmlformats.org/officeDocument/2006/relationships/hyperlink" Target="http://pbs.twimg.com/profile_images/596979775400517632/-rtD62RI_normal.jpg" TargetMode="External"/><Relationship Id="rId3910" Type="http://schemas.openxmlformats.org/officeDocument/2006/relationships/hyperlink" Target="http://twitter.com/JackHen16271194/statuses/1521001585089855489" TargetMode="External"/><Relationship Id="rId3913" Type="http://schemas.openxmlformats.org/officeDocument/2006/relationships/hyperlink" Target="http://pbs.twimg.com/profile_images/378800000022136390/e7a2431612004b2de7b588d3e08e6cab_normal.jpeg" TargetMode="External"/><Relationship Id="rId3912" Type="http://schemas.openxmlformats.org/officeDocument/2006/relationships/hyperlink" Target="http://twitter.com/darrenoutlaw1/statuses/1521001561618628611" TargetMode="External"/><Relationship Id="rId3915" Type="http://schemas.openxmlformats.org/officeDocument/2006/relationships/hyperlink" Target="http://pbs.twimg.com/profile_images/1256234270831644673/GE3r4Shq_normal.jpg" TargetMode="External"/><Relationship Id="rId3914" Type="http://schemas.openxmlformats.org/officeDocument/2006/relationships/hyperlink" Target="http://twitter.com/thestefanmann/statuses/1521001520665350145" TargetMode="External"/><Relationship Id="rId3917" Type="http://schemas.openxmlformats.org/officeDocument/2006/relationships/hyperlink" Target="http://pbs.twimg.com/profile_images/1496892183500279816/QgGV7KZZ_normal.jpg" TargetMode="External"/><Relationship Id="rId3916" Type="http://schemas.openxmlformats.org/officeDocument/2006/relationships/hyperlink" Target="http://twitter.com/Moonstone1812/statuses/1521001374342909953" TargetMode="External"/><Relationship Id="rId3919" Type="http://schemas.openxmlformats.org/officeDocument/2006/relationships/hyperlink" Target="http://pbs.twimg.com/profile_images/1138526177684074496/tMlIuFnz_normal.jpg" TargetMode="External"/><Relationship Id="rId3918" Type="http://schemas.openxmlformats.org/officeDocument/2006/relationships/hyperlink" Target="http://twitter.com/VineyBernard/statuses/1521001364545015808" TargetMode="External"/><Relationship Id="rId3900" Type="http://schemas.openxmlformats.org/officeDocument/2006/relationships/hyperlink" Target="http://twitter.com/stuartprideaux/statuses/1521001928255324161" TargetMode="External"/><Relationship Id="rId3902" Type="http://schemas.openxmlformats.org/officeDocument/2006/relationships/hyperlink" Target="http://twitter.com/blackalicious61/statuses/1521001751641575425" TargetMode="External"/><Relationship Id="rId3901" Type="http://schemas.openxmlformats.org/officeDocument/2006/relationships/hyperlink" Target="http://pbs.twimg.com/profile_images/1432074067968942083/GqrBgP3l_normal.jpg" TargetMode="External"/><Relationship Id="rId3904" Type="http://schemas.openxmlformats.org/officeDocument/2006/relationships/hyperlink" Target="http://twitter.com/tonydoyle57/statuses/1521001732997894144" TargetMode="External"/><Relationship Id="rId3903" Type="http://schemas.openxmlformats.org/officeDocument/2006/relationships/hyperlink" Target="http://pbs.twimg.com/profile_images/1266780979051532291/21MmRHKD_normal.jpg" TargetMode="External"/><Relationship Id="rId3906" Type="http://schemas.openxmlformats.org/officeDocument/2006/relationships/hyperlink" Target="http://twitter.com/sarah324109/statuses/1521001712617771010" TargetMode="External"/><Relationship Id="rId3905" Type="http://schemas.openxmlformats.org/officeDocument/2006/relationships/hyperlink" Target="http://pbs.twimg.com/profile_images/1222623209809436672/Tz0JNipT_normal.jpg" TargetMode="External"/><Relationship Id="rId3908" Type="http://schemas.openxmlformats.org/officeDocument/2006/relationships/hyperlink" Target="http://twitter.com/AlanHPower/statuses/1521001665637326849" TargetMode="External"/><Relationship Id="rId3907" Type="http://schemas.openxmlformats.org/officeDocument/2006/relationships/hyperlink" Target="http://pbs.twimg.com/profile_images/1043545709293850625/OKdA7T75_normal.jpg" TargetMode="External"/><Relationship Id="rId3909" Type="http://schemas.openxmlformats.org/officeDocument/2006/relationships/hyperlink" Target="http://pbs.twimg.com/profile_images/1364310685103108104/fRvVL4Hv_normal.jpg" TargetMode="External"/><Relationship Id="rId3931" Type="http://schemas.openxmlformats.org/officeDocument/2006/relationships/hyperlink" Target="http://pbs.twimg.com/profile_images/1458740162113024000/gvrtQRSi_normal.jpg" TargetMode="External"/><Relationship Id="rId2600" Type="http://schemas.openxmlformats.org/officeDocument/2006/relationships/hyperlink" Target="http://twitter.com/sarahhw65/statuses/1521026689303724032" TargetMode="External"/><Relationship Id="rId3930" Type="http://schemas.openxmlformats.org/officeDocument/2006/relationships/hyperlink" Target="http://twitter.com/mark0llyn/statuses/1521000953431961606" TargetMode="External"/><Relationship Id="rId2601" Type="http://schemas.openxmlformats.org/officeDocument/2006/relationships/hyperlink" Target="http://pbs.twimg.com/profile_images/1497135168842309632/MNGGUpvs_normal.jpg" TargetMode="External"/><Relationship Id="rId3933" Type="http://schemas.openxmlformats.org/officeDocument/2006/relationships/hyperlink" Target="http://pbs.twimg.com/profile_images/1267524783358586882/yAhIsqAk_normal.jpg" TargetMode="External"/><Relationship Id="rId2602" Type="http://schemas.openxmlformats.org/officeDocument/2006/relationships/hyperlink" Target="http://twitter.com/mark0nline/statuses/1521026688842444800" TargetMode="External"/><Relationship Id="rId3932" Type="http://schemas.openxmlformats.org/officeDocument/2006/relationships/hyperlink" Target="http://twitter.com/KneePeter/statuses/1521000918124220416" TargetMode="External"/><Relationship Id="rId2603" Type="http://schemas.openxmlformats.org/officeDocument/2006/relationships/hyperlink" Target="http://pbs.twimg.com/profile_images/2840321354/75b8a9ddd61b3a1074a629d8c29f3004_normal.jpeg" TargetMode="External"/><Relationship Id="rId3935" Type="http://schemas.openxmlformats.org/officeDocument/2006/relationships/hyperlink" Target="http://pbs.twimg.com/profile_images/1267524783358586882/yAhIsqAk_normal.jpg" TargetMode="External"/><Relationship Id="rId2604" Type="http://schemas.openxmlformats.org/officeDocument/2006/relationships/hyperlink" Target="http://twitter.com/salmehta/statuses/1521026678465736704" TargetMode="External"/><Relationship Id="rId3934" Type="http://schemas.openxmlformats.org/officeDocument/2006/relationships/hyperlink" Target="http://twitter.com/jcjumble/statuses/1521000911656656896" TargetMode="External"/><Relationship Id="rId2605" Type="http://schemas.openxmlformats.org/officeDocument/2006/relationships/hyperlink" Target="http://pbs.twimg.com/profile_images/1259832923106299904/4fahHtVO_normal.jpg" TargetMode="External"/><Relationship Id="rId3937" Type="http://schemas.openxmlformats.org/officeDocument/2006/relationships/hyperlink" Target="http://pbs.twimg.com/profile_images/1505190376335974400/EuUA2O_1_normal.jpg" TargetMode="External"/><Relationship Id="rId2606" Type="http://schemas.openxmlformats.org/officeDocument/2006/relationships/hyperlink" Target="http://twitter.com/MarkC33548991/statuses/1521026665719209985" TargetMode="External"/><Relationship Id="rId3936" Type="http://schemas.openxmlformats.org/officeDocument/2006/relationships/hyperlink" Target="http://twitter.com/jcjumble/statuses/1521000875073888256" TargetMode="External"/><Relationship Id="rId808" Type="http://schemas.openxmlformats.org/officeDocument/2006/relationships/hyperlink" Target="http://twitter.com/DianaShirlaw/statuses/1521058028300259328" TargetMode="External"/><Relationship Id="rId2607" Type="http://schemas.openxmlformats.org/officeDocument/2006/relationships/hyperlink" Target="http://pbs.twimg.com/profile_images/1259832923106299904/4fahHtVO_normal.jpg" TargetMode="External"/><Relationship Id="rId3939" Type="http://schemas.openxmlformats.org/officeDocument/2006/relationships/hyperlink" Target="http://pbs.twimg.com/profile_images/1505190376335974400/EuUA2O_1_normal.jpg" TargetMode="External"/><Relationship Id="rId807" Type="http://schemas.openxmlformats.org/officeDocument/2006/relationships/hyperlink" Target="http://pbs.twimg.com/profile_images/1497608591968243715/Kzm172G5_normal.jpg" TargetMode="External"/><Relationship Id="rId2608" Type="http://schemas.openxmlformats.org/officeDocument/2006/relationships/hyperlink" Target="http://twitter.com/MarkC33548991/statuses/1521026657347379200" TargetMode="External"/><Relationship Id="rId3938" Type="http://schemas.openxmlformats.org/officeDocument/2006/relationships/hyperlink" Target="http://twitter.com/rec777777/statuses/1521000836679221248" TargetMode="External"/><Relationship Id="rId806" Type="http://schemas.openxmlformats.org/officeDocument/2006/relationships/hyperlink" Target="http://twitter.com/DesignTheFuture/statuses/1521058072118149120" TargetMode="External"/><Relationship Id="rId2609" Type="http://schemas.openxmlformats.org/officeDocument/2006/relationships/hyperlink" Target="http://abs.twimg.com/sticky/default_profile_images/default_profile_normal.png" TargetMode="External"/><Relationship Id="rId805" Type="http://schemas.openxmlformats.org/officeDocument/2006/relationships/hyperlink" Target="http://pbs.twimg.com/profile_images/753544649273438209/AqMfZw3m_normal.jpg" TargetMode="External"/><Relationship Id="rId809" Type="http://schemas.openxmlformats.org/officeDocument/2006/relationships/hyperlink" Target="http://pbs.twimg.com/profile_images/1452969033184251912/04MeLnLS_normal.jpg" TargetMode="External"/><Relationship Id="rId800" Type="http://schemas.openxmlformats.org/officeDocument/2006/relationships/hyperlink" Target="http://twitter.com/Fifilefluffter/statuses/1521058252406104066" TargetMode="External"/><Relationship Id="rId804" Type="http://schemas.openxmlformats.org/officeDocument/2006/relationships/hyperlink" Target="http://twitter.com/ApertureImage/statuses/1521058159162445824" TargetMode="External"/><Relationship Id="rId803" Type="http://schemas.openxmlformats.org/officeDocument/2006/relationships/hyperlink" Target="http://pbs.twimg.com/profile_images/1497342256986140676/GP09MFEY_normal.jpg" TargetMode="External"/><Relationship Id="rId802" Type="http://schemas.openxmlformats.org/officeDocument/2006/relationships/hyperlink" Target="http://twitter.com/Jrheyworth/statuses/1521058224610369538" TargetMode="External"/><Relationship Id="rId801" Type="http://schemas.openxmlformats.org/officeDocument/2006/relationships/hyperlink" Target="http://pbs.twimg.com/profile_images/850331460892536834/EtPtXaZ2_normal.jpg" TargetMode="External"/><Relationship Id="rId3920" Type="http://schemas.openxmlformats.org/officeDocument/2006/relationships/hyperlink" Target="http://twitter.com/enobkered1/statuses/1521001354214486023" TargetMode="External"/><Relationship Id="rId3922" Type="http://schemas.openxmlformats.org/officeDocument/2006/relationships/hyperlink" Target="http://twitter.com/ga_richardson/statuses/1521001109099229185" TargetMode="External"/><Relationship Id="rId3921" Type="http://schemas.openxmlformats.org/officeDocument/2006/relationships/hyperlink" Target="http://pbs.twimg.com/profile_images/1501361720446488581/sGLeksAX_normal.jpg" TargetMode="External"/><Relationship Id="rId3924" Type="http://schemas.openxmlformats.org/officeDocument/2006/relationships/hyperlink" Target="http://twitter.com/gilliecriosd/statuses/1521001009434222592" TargetMode="External"/><Relationship Id="rId3923" Type="http://schemas.openxmlformats.org/officeDocument/2006/relationships/hyperlink" Target="http://pbs.twimg.com/profile_images/784894275943272448/yy2ofP22_normal.jpg" TargetMode="External"/><Relationship Id="rId3926" Type="http://schemas.openxmlformats.org/officeDocument/2006/relationships/hyperlink" Target="http://twitter.com/DNewtonC/statuses/1521000998684217344" TargetMode="External"/><Relationship Id="rId3925" Type="http://schemas.openxmlformats.org/officeDocument/2006/relationships/hyperlink" Target="http://pbs.twimg.com/profile_images/1500409329266176002/YZm6pbZt_normal.jpg" TargetMode="External"/><Relationship Id="rId3928" Type="http://schemas.openxmlformats.org/officeDocument/2006/relationships/hyperlink" Target="http://twitter.com/tonyach1972/statuses/1521000973036097538" TargetMode="External"/><Relationship Id="rId3927" Type="http://schemas.openxmlformats.org/officeDocument/2006/relationships/hyperlink" Target="http://pbs.twimg.com/profile_images/1498609405708877825/Xu97b4xu_normal.jpg" TargetMode="External"/><Relationship Id="rId3929" Type="http://schemas.openxmlformats.org/officeDocument/2006/relationships/hyperlink" Target="http://pbs.twimg.com/profile_images/1511349722073677833/y1EMf1E6_normal.jpg" TargetMode="External"/><Relationship Id="rId1334" Type="http://schemas.openxmlformats.org/officeDocument/2006/relationships/hyperlink" Target="http://twitter.com/nusha_u/statuses/1521048569112936449" TargetMode="External"/><Relationship Id="rId2665" Type="http://schemas.openxmlformats.org/officeDocument/2006/relationships/hyperlink" Target="http://pbs.twimg.com/profile_images/1309947607842783232/t-O5WmAJ_normal.jpg" TargetMode="External"/><Relationship Id="rId3997" Type="http://schemas.openxmlformats.org/officeDocument/2006/relationships/hyperlink" Target="http://pbs.twimg.com/profile_images/1638554294/image_normal.jpg" TargetMode="External"/><Relationship Id="rId1335" Type="http://schemas.openxmlformats.org/officeDocument/2006/relationships/hyperlink" Target="http://pbs.twimg.com/profile_images/1323180885303316480/hcuVN5IH_normal.jpg" TargetMode="External"/><Relationship Id="rId2666" Type="http://schemas.openxmlformats.org/officeDocument/2006/relationships/hyperlink" Target="http://twitter.com/ToucheAdrian/statuses/1521025845544038400" TargetMode="External"/><Relationship Id="rId3996" Type="http://schemas.openxmlformats.org/officeDocument/2006/relationships/hyperlink" Target="http://twitter.com/Meltarps75Mel/statuses/1520999313509335046" TargetMode="External"/><Relationship Id="rId1336" Type="http://schemas.openxmlformats.org/officeDocument/2006/relationships/hyperlink" Target="http://twitter.com/MagicSybille/statuses/1521048506345181184" TargetMode="External"/><Relationship Id="rId2667" Type="http://schemas.openxmlformats.org/officeDocument/2006/relationships/hyperlink" Target="http://pbs.twimg.com/profile_images/433709124342132737/33a0o44O_normal.jpeg" TargetMode="External"/><Relationship Id="rId3999" Type="http://schemas.openxmlformats.org/officeDocument/2006/relationships/hyperlink" Target="http://pbs.twimg.com/profile_images/1520686847373893633/ZD3kgKs9_normal.jpg" TargetMode="External"/><Relationship Id="rId1337" Type="http://schemas.openxmlformats.org/officeDocument/2006/relationships/hyperlink" Target="http://pbs.twimg.com/profile_images/1361953843261673472/WMCXI6dj_normal.jpg" TargetMode="External"/><Relationship Id="rId2668" Type="http://schemas.openxmlformats.org/officeDocument/2006/relationships/hyperlink" Target="http://twitter.com/papasmitheh/statuses/1521025818780213248" TargetMode="External"/><Relationship Id="rId3998" Type="http://schemas.openxmlformats.org/officeDocument/2006/relationships/hyperlink" Target="http://twitter.com/LozzB59/statuses/1520999260002697218" TargetMode="External"/><Relationship Id="rId1338" Type="http://schemas.openxmlformats.org/officeDocument/2006/relationships/hyperlink" Target="http://twitter.com/BodyMindStudio/statuses/1521048495221878787" TargetMode="External"/><Relationship Id="rId2669" Type="http://schemas.openxmlformats.org/officeDocument/2006/relationships/hyperlink" Target="http://pbs.twimg.com/profile_images/1451879586367741952/SnTuiPl5_normal.jpg" TargetMode="External"/><Relationship Id="rId1339" Type="http://schemas.openxmlformats.org/officeDocument/2006/relationships/hyperlink" Target="http://pbs.twimg.com/profile_images/1505190376335974400/EuUA2O_1_normal.jpg" TargetMode="External"/><Relationship Id="rId745" Type="http://schemas.openxmlformats.org/officeDocument/2006/relationships/hyperlink" Target="http://pbs.twimg.com/profile_images/1244172536725868544/1DYOgz2G_normal.jpg" TargetMode="External"/><Relationship Id="rId744" Type="http://schemas.openxmlformats.org/officeDocument/2006/relationships/hyperlink" Target="http://twitter.com/BearnePeter/statuses/1521059768823128070" TargetMode="External"/><Relationship Id="rId743" Type="http://schemas.openxmlformats.org/officeDocument/2006/relationships/hyperlink" Target="http://pbs.twimg.com/profile_images/1448276214829961220/Vy8Mxmb5_normal.jpg" TargetMode="External"/><Relationship Id="rId742" Type="http://schemas.openxmlformats.org/officeDocument/2006/relationships/hyperlink" Target="http://twitter.com/damaumart1/statuses/1521059845457256449" TargetMode="External"/><Relationship Id="rId749" Type="http://schemas.openxmlformats.org/officeDocument/2006/relationships/hyperlink" Target="http://pbs.twimg.com/profile_images/1349083086202556417/ULw0iDMK_normal.jpg" TargetMode="External"/><Relationship Id="rId748" Type="http://schemas.openxmlformats.org/officeDocument/2006/relationships/hyperlink" Target="http://twitter.com/ThelmaMcNamara3/statuses/1521059549620445185" TargetMode="External"/><Relationship Id="rId747" Type="http://schemas.openxmlformats.org/officeDocument/2006/relationships/hyperlink" Target="http://pbs.twimg.com/profile_images/1200526007721172993/U-ajYGDo_normal.jpg" TargetMode="External"/><Relationship Id="rId746" Type="http://schemas.openxmlformats.org/officeDocument/2006/relationships/hyperlink" Target="http://twitter.com/its4me23/statuses/1521059695955521538" TargetMode="External"/><Relationship Id="rId3991" Type="http://schemas.openxmlformats.org/officeDocument/2006/relationships/hyperlink" Target="http://pbs.twimg.com/profile_images/1470777507431522315/SwetbKLV_normal.jpg" TargetMode="External"/><Relationship Id="rId2660" Type="http://schemas.openxmlformats.org/officeDocument/2006/relationships/hyperlink" Target="http://twitter.com/youngmullers/statuses/1521025980122476544" TargetMode="External"/><Relationship Id="rId3990" Type="http://schemas.openxmlformats.org/officeDocument/2006/relationships/hyperlink" Target="http://twitter.com/rec777777/statuses/1520999548138795008" TargetMode="External"/><Relationship Id="rId741" Type="http://schemas.openxmlformats.org/officeDocument/2006/relationships/hyperlink" Target="http://pbs.twimg.com/profile_images/666262462656872448/StbBmf68_normal.jpg" TargetMode="External"/><Relationship Id="rId1330" Type="http://schemas.openxmlformats.org/officeDocument/2006/relationships/hyperlink" Target="http://twitter.com/traceymhodgson/statuses/1521048663283445761" TargetMode="External"/><Relationship Id="rId2661" Type="http://schemas.openxmlformats.org/officeDocument/2006/relationships/hyperlink" Target="http://pbs.twimg.com/profile_images/662673222320656384/uUmlXDhH_normal.jpg" TargetMode="External"/><Relationship Id="rId3993" Type="http://schemas.openxmlformats.org/officeDocument/2006/relationships/hyperlink" Target="http://pbs.twimg.com/profile_images/1504356928255897600/SPOkqi-t_normal.jpg" TargetMode="External"/><Relationship Id="rId740" Type="http://schemas.openxmlformats.org/officeDocument/2006/relationships/hyperlink" Target="http://twitter.com/charlie001/statuses/1521059859055226881" TargetMode="External"/><Relationship Id="rId1331" Type="http://schemas.openxmlformats.org/officeDocument/2006/relationships/hyperlink" Target="http://pbs.twimg.com/profile_images/748449290637348864/Ro0XBGb8_normal.jpg" TargetMode="External"/><Relationship Id="rId2662" Type="http://schemas.openxmlformats.org/officeDocument/2006/relationships/hyperlink" Target="http://twitter.com/JustineH0213/statuses/1521025961902411776" TargetMode="External"/><Relationship Id="rId3992" Type="http://schemas.openxmlformats.org/officeDocument/2006/relationships/hyperlink" Target="http://twitter.com/Mistywoman1/statuses/1520999446229794816" TargetMode="External"/><Relationship Id="rId1332" Type="http://schemas.openxmlformats.org/officeDocument/2006/relationships/hyperlink" Target="http://twitter.com/Kindle_User/statuses/1521048609717948417" TargetMode="External"/><Relationship Id="rId2663" Type="http://schemas.openxmlformats.org/officeDocument/2006/relationships/hyperlink" Target="http://pbs.twimg.com/profile_images/810470790323990528/FxTbCUDp_normal.jpg" TargetMode="External"/><Relationship Id="rId3995" Type="http://schemas.openxmlformats.org/officeDocument/2006/relationships/hyperlink" Target="http://pbs.twimg.com/profile_images/1354083875513905154/HRqjxaUW_normal.jpg" TargetMode="External"/><Relationship Id="rId1333" Type="http://schemas.openxmlformats.org/officeDocument/2006/relationships/hyperlink" Target="http://pbs.twimg.com/profile_images/552138169479487488/-Z_OkfBj_normal.jpeg" TargetMode="External"/><Relationship Id="rId2664" Type="http://schemas.openxmlformats.org/officeDocument/2006/relationships/hyperlink" Target="http://twitter.com/NewroUgh/statuses/1521025893166108673" TargetMode="External"/><Relationship Id="rId3994" Type="http://schemas.openxmlformats.org/officeDocument/2006/relationships/hyperlink" Target="http://twitter.com/Eades_Tweets/statuses/1520999437954334722" TargetMode="External"/><Relationship Id="rId1323" Type="http://schemas.openxmlformats.org/officeDocument/2006/relationships/hyperlink" Target="http://pbs.twimg.com/profile_images/1232612324906881025/OOXMi6BH_normal.jpg" TargetMode="External"/><Relationship Id="rId2654" Type="http://schemas.openxmlformats.org/officeDocument/2006/relationships/hyperlink" Target="http://twitter.com/cmurphymurray/statuses/1521026083302297600" TargetMode="External"/><Relationship Id="rId3986" Type="http://schemas.openxmlformats.org/officeDocument/2006/relationships/hyperlink" Target="http://twitter.com/jorgeop27/statuses/1520999750404870144" TargetMode="External"/><Relationship Id="rId1324" Type="http://schemas.openxmlformats.org/officeDocument/2006/relationships/hyperlink" Target="http://twitter.com/MarkHazard2020/statuses/1521048713610903552" TargetMode="External"/><Relationship Id="rId2655" Type="http://schemas.openxmlformats.org/officeDocument/2006/relationships/hyperlink" Target="http://pbs.twimg.com/profile_images/1506363727255416832/Md8RuYWS_normal.jpg" TargetMode="External"/><Relationship Id="rId3985" Type="http://schemas.openxmlformats.org/officeDocument/2006/relationships/hyperlink" Target="http://pbs.twimg.com/profile_images/1246010539047714816/Q2u6sFNE_normal.jpg" TargetMode="External"/><Relationship Id="rId1325" Type="http://schemas.openxmlformats.org/officeDocument/2006/relationships/hyperlink" Target="http://pbs.twimg.com/profile_images/2334140319/zxtc0djak4w41aya0166_normal.jpeg" TargetMode="External"/><Relationship Id="rId2656" Type="http://schemas.openxmlformats.org/officeDocument/2006/relationships/hyperlink" Target="http://twitter.com/katieB45611594/statuses/1521026055942901769" TargetMode="External"/><Relationship Id="rId3988" Type="http://schemas.openxmlformats.org/officeDocument/2006/relationships/hyperlink" Target="http://twitter.com/rec777777/statuses/1520999632507125760" TargetMode="External"/><Relationship Id="rId1326" Type="http://schemas.openxmlformats.org/officeDocument/2006/relationships/hyperlink" Target="http://twitter.com/ChrisRamsden4/statuses/1521048699652169728" TargetMode="External"/><Relationship Id="rId2657" Type="http://schemas.openxmlformats.org/officeDocument/2006/relationships/hyperlink" Target="http://pbs.twimg.com/profile_images/1430295606401118209/UqcCUU0N_normal.jpg" TargetMode="External"/><Relationship Id="rId3987" Type="http://schemas.openxmlformats.org/officeDocument/2006/relationships/hyperlink" Target="http://pbs.twimg.com/profile_images/1505190376335974400/EuUA2O_1_normal.jpg" TargetMode="External"/><Relationship Id="rId1327" Type="http://schemas.openxmlformats.org/officeDocument/2006/relationships/hyperlink" Target="http://pbs.twimg.com/profile_images/1319762699115528195/9oFL8yo0_normal.jpg" TargetMode="External"/><Relationship Id="rId2658" Type="http://schemas.openxmlformats.org/officeDocument/2006/relationships/hyperlink" Target="http://twitter.com/KaitDuerden/statuses/1521026003350532097" TargetMode="External"/><Relationship Id="rId1328" Type="http://schemas.openxmlformats.org/officeDocument/2006/relationships/hyperlink" Target="http://twitter.com/stroppypanda/statuses/1521048677535600642" TargetMode="External"/><Relationship Id="rId2659" Type="http://schemas.openxmlformats.org/officeDocument/2006/relationships/hyperlink" Target="http://pbs.twimg.com/profile_images/1519029091831357442/RYwHKoJC_normal.jpg" TargetMode="External"/><Relationship Id="rId3989" Type="http://schemas.openxmlformats.org/officeDocument/2006/relationships/hyperlink" Target="http://pbs.twimg.com/profile_images/1505190376335974400/EuUA2O_1_normal.jpg" TargetMode="External"/><Relationship Id="rId1329" Type="http://schemas.openxmlformats.org/officeDocument/2006/relationships/hyperlink" Target="http://pbs.twimg.com/profile_images/1346989378770497537/E6HhnsQn_normal.jpg" TargetMode="External"/><Relationship Id="rId739" Type="http://schemas.openxmlformats.org/officeDocument/2006/relationships/hyperlink" Target="http://pbs.twimg.com/profile_images/1412448493130682378/7pHkSPdB_normal.jpg" TargetMode="External"/><Relationship Id="rId734" Type="http://schemas.openxmlformats.org/officeDocument/2006/relationships/hyperlink" Target="http://twitter.com/mariexcotte/statuses/1521059948624596995" TargetMode="External"/><Relationship Id="rId733" Type="http://schemas.openxmlformats.org/officeDocument/2006/relationships/hyperlink" Target="http://pbs.twimg.com/profile_images/1516709587797385222/IzEwhYku_normal.jpg" TargetMode="External"/><Relationship Id="rId732" Type="http://schemas.openxmlformats.org/officeDocument/2006/relationships/hyperlink" Target="http://twitter.com/superdupedoodle/statuses/1521059962734227457" TargetMode="External"/><Relationship Id="rId731" Type="http://schemas.openxmlformats.org/officeDocument/2006/relationships/hyperlink" Target="http://pbs.twimg.com/profile_images/1092370775363936256/lDCAltSx_normal.jpg" TargetMode="External"/><Relationship Id="rId738" Type="http://schemas.openxmlformats.org/officeDocument/2006/relationships/hyperlink" Target="http://twitter.com/graham669/statuses/1521059863442477056" TargetMode="External"/><Relationship Id="rId737" Type="http://schemas.openxmlformats.org/officeDocument/2006/relationships/hyperlink" Target="http://pbs.twimg.com/profile_images/1503664413500493826/EtrtSs48_normal.jpg" TargetMode="External"/><Relationship Id="rId736" Type="http://schemas.openxmlformats.org/officeDocument/2006/relationships/hyperlink" Target="http://twitter.com/charlie001/statuses/1521059892320215041" TargetMode="External"/><Relationship Id="rId735" Type="http://schemas.openxmlformats.org/officeDocument/2006/relationships/hyperlink" Target="http://pbs.twimg.com/profile_images/1412448493130682378/7pHkSPdB_normal.jpg" TargetMode="External"/><Relationship Id="rId3980" Type="http://schemas.openxmlformats.org/officeDocument/2006/relationships/hyperlink" Target="http://twitter.com/magapanthus/statuses/1520999796101767168" TargetMode="External"/><Relationship Id="rId730" Type="http://schemas.openxmlformats.org/officeDocument/2006/relationships/hyperlink" Target="http://twitter.com/infobancaetica/statuses/1521060011773992960" TargetMode="External"/><Relationship Id="rId2650" Type="http://schemas.openxmlformats.org/officeDocument/2006/relationships/hyperlink" Target="http://twitter.com/martarossi56/statuses/1521026114168266759" TargetMode="External"/><Relationship Id="rId3982" Type="http://schemas.openxmlformats.org/officeDocument/2006/relationships/hyperlink" Target="http://twitter.com/magapanthus/statuses/1520999785523814400" TargetMode="External"/><Relationship Id="rId1320" Type="http://schemas.openxmlformats.org/officeDocument/2006/relationships/hyperlink" Target="http://twitter.com/CookiboyCook/statuses/1521048801955434497" TargetMode="External"/><Relationship Id="rId2651" Type="http://schemas.openxmlformats.org/officeDocument/2006/relationships/hyperlink" Target="http://pbs.twimg.com/profile_images/1413379349458399232/WED3JtyT_normal.jpg" TargetMode="External"/><Relationship Id="rId3981" Type="http://schemas.openxmlformats.org/officeDocument/2006/relationships/hyperlink" Target="http://pbs.twimg.com/profile_images/872420798899904512/deKvv7gW_normal.jpg" TargetMode="External"/><Relationship Id="rId1321" Type="http://schemas.openxmlformats.org/officeDocument/2006/relationships/hyperlink" Target="http://pbs.twimg.com/profile_images/1470336420829093896/c0-D76Hd_normal.png" TargetMode="External"/><Relationship Id="rId2652" Type="http://schemas.openxmlformats.org/officeDocument/2006/relationships/hyperlink" Target="http://twitter.com/martarossi56/statuses/1521026103476953088" TargetMode="External"/><Relationship Id="rId3984" Type="http://schemas.openxmlformats.org/officeDocument/2006/relationships/hyperlink" Target="http://twitter.com/Dermot52448258/statuses/1520999773784129538" TargetMode="External"/><Relationship Id="rId1322" Type="http://schemas.openxmlformats.org/officeDocument/2006/relationships/hyperlink" Target="http://twitter.com/Bekinddietrying/statuses/1521048777964064768" TargetMode="External"/><Relationship Id="rId2653" Type="http://schemas.openxmlformats.org/officeDocument/2006/relationships/hyperlink" Target="http://pbs.twimg.com/profile_images/378800000011986895/6bcaeddf55c23578d7ba157d666d63f7_normal.jpeg" TargetMode="External"/><Relationship Id="rId3983" Type="http://schemas.openxmlformats.org/officeDocument/2006/relationships/hyperlink" Target="http://pbs.twimg.com/profile_images/1506770106814443532/FG7tf7C8_normal.jpg" TargetMode="External"/><Relationship Id="rId1356" Type="http://schemas.openxmlformats.org/officeDocument/2006/relationships/hyperlink" Target="http://twitter.com/Glaikitgit/statuses/1521048178761601025" TargetMode="External"/><Relationship Id="rId2687" Type="http://schemas.openxmlformats.org/officeDocument/2006/relationships/hyperlink" Target="http://pbs.twimg.com/profile_images/1008085368518905858/jkZt9ARv_normal.jpg" TargetMode="External"/><Relationship Id="rId5714" Type="http://schemas.openxmlformats.org/officeDocument/2006/relationships/hyperlink" Target="http://twitter.com/highcixiety/statuses/1520887186912075777" TargetMode="External"/><Relationship Id="rId1357" Type="http://schemas.openxmlformats.org/officeDocument/2006/relationships/hyperlink" Target="http://pbs.twimg.com/profile_images/1480542133882871810/lGoqgDz2_normal.jpg" TargetMode="External"/><Relationship Id="rId2688" Type="http://schemas.openxmlformats.org/officeDocument/2006/relationships/hyperlink" Target="http://twitter.com/etxberria55/statuses/1521025253056688128" TargetMode="External"/><Relationship Id="rId5715" Type="http://schemas.openxmlformats.org/officeDocument/2006/relationships/hyperlink" Target="http://pbs.twimg.com/profile_images/2459500773/a7otawx4yy9ry9xxm2l5_normal.jpeg" TargetMode="External"/><Relationship Id="rId1358" Type="http://schemas.openxmlformats.org/officeDocument/2006/relationships/hyperlink" Target="http://twitter.com/Hellena93821300/statuses/1521048175527837697" TargetMode="External"/><Relationship Id="rId2689" Type="http://schemas.openxmlformats.org/officeDocument/2006/relationships/hyperlink" Target="http://abs.twimg.com/sticky/default_profile_images/default_profile_normal.png" TargetMode="External"/><Relationship Id="rId5712" Type="http://schemas.openxmlformats.org/officeDocument/2006/relationships/hyperlink" Target="http://twitter.com/okaktzeptiert/statuses/1520887213550190594" TargetMode="External"/><Relationship Id="rId1359" Type="http://schemas.openxmlformats.org/officeDocument/2006/relationships/hyperlink" Target="http://pbs.twimg.com/profile_images/1344804875985690625/uX0US63m_normal.jpg" TargetMode="External"/><Relationship Id="rId5713" Type="http://schemas.openxmlformats.org/officeDocument/2006/relationships/hyperlink" Target="http://pbs.twimg.com/profile_images/988068615743266817/UrZKhCy-_normal.jpg" TargetMode="External"/><Relationship Id="rId5718" Type="http://schemas.openxmlformats.org/officeDocument/2006/relationships/hyperlink" Target="http://twitter.com/Anniepop2027/statuses/1520887039524282369" TargetMode="External"/><Relationship Id="rId5719" Type="http://schemas.openxmlformats.org/officeDocument/2006/relationships/hyperlink" Target="http://pbs.twimg.com/profile_images/1490092204366442508/HDtOOMuI_normal.jpg" TargetMode="External"/><Relationship Id="rId5716" Type="http://schemas.openxmlformats.org/officeDocument/2006/relationships/hyperlink" Target="http://twitter.com/mrsluc/statuses/1520887147292549120" TargetMode="External"/><Relationship Id="rId5717" Type="http://schemas.openxmlformats.org/officeDocument/2006/relationships/hyperlink" Target="http://pbs.twimg.com/profile_images/1109414204258299904/GTI9o0rT_normal.jpg" TargetMode="External"/><Relationship Id="rId767" Type="http://schemas.openxmlformats.org/officeDocument/2006/relationships/hyperlink" Target="http://pbs.twimg.com/profile_images/1229882927082803200/cd9N4yaE_normal.jpg" TargetMode="External"/><Relationship Id="rId766" Type="http://schemas.openxmlformats.org/officeDocument/2006/relationships/hyperlink" Target="http://twitter.com/mdigioiat/statuses/1521059116977995777" TargetMode="External"/><Relationship Id="rId765" Type="http://schemas.openxmlformats.org/officeDocument/2006/relationships/hyperlink" Target="http://pbs.twimg.com/profile_images/928204198776332288/ZmMuRviP_normal.jpg" TargetMode="External"/><Relationship Id="rId764" Type="http://schemas.openxmlformats.org/officeDocument/2006/relationships/hyperlink" Target="http://twitter.com/OhYesItDid/statuses/1521059295089016834" TargetMode="External"/><Relationship Id="rId769" Type="http://schemas.openxmlformats.org/officeDocument/2006/relationships/hyperlink" Target="http://pbs.twimg.com/profile_images/1498254144880136192/r5QLCG7Y_normal.jpg" TargetMode="External"/><Relationship Id="rId768" Type="http://schemas.openxmlformats.org/officeDocument/2006/relationships/hyperlink" Target="http://twitter.com/ClaireHanna/statuses/1521058898345668609" TargetMode="External"/><Relationship Id="rId2680" Type="http://schemas.openxmlformats.org/officeDocument/2006/relationships/hyperlink" Target="http://twitter.com/gingerbred79/statuses/1521025372707598336" TargetMode="External"/><Relationship Id="rId1350" Type="http://schemas.openxmlformats.org/officeDocument/2006/relationships/hyperlink" Target="http://twitter.com/dubh_sgian/statuses/1521048299968552961" TargetMode="External"/><Relationship Id="rId2681" Type="http://schemas.openxmlformats.org/officeDocument/2006/relationships/hyperlink" Target="http://pbs.twimg.com/profile_images/1476470115097001991/H1RcrukC_normal.jpg" TargetMode="External"/><Relationship Id="rId1351" Type="http://schemas.openxmlformats.org/officeDocument/2006/relationships/hyperlink" Target="http://pbs.twimg.com/profile_images/3388751120/057800734086fe7d97bd194953f4e0c6_normal.jpeg" TargetMode="External"/><Relationship Id="rId2682" Type="http://schemas.openxmlformats.org/officeDocument/2006/relationships/hyperlink" Target="http://twitter.com/Curiosity7709/statuses/1521025362205020160" TargetMode="External"/><Relationship Id="rId763" Type="http://schemas.openxmlformats.org/officeDocument/2006/relationships/hyperlink" Target="http://pbs.twimg.com/profile_images/1467081980739297285/7eTRp0o3_normal.jpg" TargetMode="External"/><Relationship Id="rId1352" Type="http://schemas.openxmlformats.org/officeDocument/2006/relationships/hyperlink" Target="http://twitter.com/DouweKorff/statuses/1521048272890212352" TargetMode="External"/><Relationship Id="rId2683" Type="http://schemas.openxmlformats.org/officeDocument/2006/relationships/hyperlink" Target="http://pbs.twimg.com/profile_images/1484951284188913667/nTBLtrLZ_normal.jpg" TargetMode="External"/><Relationship Id="rId5710" Type="http://schemas.openxmlformats.org/officeDocument/2006/relationships/hyperlink" Target="http://twitter.com/skhowden/statuses/1520887250686521346" TargetMode="External"/><Relationship Id="rId762" Type="http://schemas.openxmlformats.org/officeDocument/2006/relationships/hyperlink" Target="http://twitter.com/jfporchez/statuses/1521059318241579008" TargetMode="External"/><Relationship Id="rId1353" Type="http://schemas.openxmlformats.org/officeDocument/2006/relationships/hyperlink" Target="http://pbs.twimg.com/profile_images/1416887010892165127/J5jaKNGH_normal.jpg" TargetMode="External"/><Relationship Id="rId2684" Type="http://schemas.openxmlformats.org/officeDocument/2006/relationships/hyperlink" Target="http://twitter.com/Jenkoranian/statuses/1521025281561092096" TargetMode="External"/><Relationship Id="rId5711" Type="http://schemas.openxmlformats.org/officeDocument/2006/relationships/hyperlink" Target="http://abs.twimg.com/sticky/default_profile_images/default_profile_normal.png" TargetMode="External"/><Relationship Id="rId761" Type="http://schemas.openxmlformats.org/officeDocument/2006/relationships/hyperlink" Target="http://pbs.twimg.com/profile_images/1048538575137067010/cqcI2nvw_normal.jpg" TargetMode="External"/><Relationship Id="rId1354" Type="http://schemas.openxmlformats.org/officeDocument/2006/relationships/hyperlink" Target="http://twitter.com/BrexitPhobe/statuses/1521048232079642627" TargetMode="External"/><Relationship Id="rId2685" Type="http://schemas.openxmlformats.org/officeDocument/2006/relationships/hyperlink" Target="http://pbs.twimg.com/profile_images/2513784866/image_normal.jpg" TargetMode="External"/><Relationship Id="rId760" Type="http://schemas.openxmlformats.org/officeDocument/2006/relationships/hyperlink" Target="http://twitter.com/sterramilk/statuses/1521059354778157056" TargetMode="External"/><Relationship Id="rId1355" Type="http://schemas.openxmlformats.org/officeDocument/2006/relationships/hyperlink" Target="http://pbs.twimg.com/profile_images/1437050499229003778/0rLUh1xF_normal.jpg" TargetMode="External"/><Relationship Id="rId2686" Type="http://schemas.openxmlformats.org/officeDocument/2006/relationships/hyperlink" Target="http://twitter.com/officialstevoid/statuses/1521025276213436419" TargetMode="External"/><Relationship Id="rId1345" Type="http://schemas.openxmlformats.org/officeDocument/2006/relationships/hyperlink" Target="http://pbs.twimg.com/profile_images/1517539068363644931/jcnV1Gwf_normal.jpg" TargetMode="External"/><Relationship Id="rId2676" Type="http://schemas.openxmlformats.org/officeDocument/2006/relationships/hyperlink" Target="http://twitter.com/disasterhistory/statuses/1521025420476485637" TargetMode="External"/><Relationship Id="rId5703" Type="http://schemas.openxmlformats.org/officeDocument/2006/relationships/hyperlink" Target="http://pbs.twimg.com/profile_images/1379501478457483266/k2VZmKd8_normal.png" TargetMode="External"/><Relationship Id="rId1346" Type="http://schemas.openxmlformats.org/officeDocument/2006/relationships/hyperlink" Target="http://twitter.com/LansleyA/statuses/1521048369287901184" TargetMode="External"/><Relationship Id="rId2677" Type="http://schemas.openxmlformats.org/officeDocument/2006/relationships/hyperlink" Target="http://pbs.twimg.com/profile_images/1207031585473781760/dVuZfAuE_normal.jpg" TargetMode="External"/><Relationship Id="rId5704" Type="http://schemas.openxmlformats.org/officeDocument/2006/relationships/hyperlink" Target="http://twitter.com/HuwpHuw/statuses/1520887267186851841" TargetMode="External"/><Relationship Id="rId1347" Type="http://schemas.openxmlformats.org/officeDocument/2006/relationships/hyperlink" Target="http://pbs.twimg.com/profile_images/1225538244344938496/16id1r6l_normal.jpg" TargetMode="External"/><Relationship Id="rId2678" Type="http://schemas.openxmlformats.org/officeDocument/2006/relationships/hyperlink" Target="http://twitter.com/OwenLake/statuses/1521025391355379712" TargetMode="External"/><Relationship Id="rId5701" Type="http://schemas.openxmlformats.org/officeDocument/2006/relationships/hyperlink" Target="http://pbs.twimg.com/profile_images/495198614818275329/sPCWeWTf_normal.jpeg" TargetMode="External"/><Relationship Id="rId1348" Type="http://schemas.openxmlformats.org/officeDocument/2006/relationships/hyperlink" Target="http://twitter.com/isthisab0t/statuses/1521048361415098369" TargetMode="External"/><Relationship Id="rId2679" Type="http://schemas.openxmlformats.org/officeDocument/2006/relationships/hyperlink" Target="http://pbs.twimg.com/profile_images/678236476098879488/mN8-W-Ek_normal.jpg" TargetMode="External"/><Relationship Id="rId5702" Type="http://schemas.openxmlformats.org/officeDocument/2006/relationships/hyperlink" Target="http://twitter.com/SiobhanTurner23/statuses/1520887279635640322" TargetMode="External"/><Relationship Id="rId1349" Type="http://schemas.openxmlformats.org/officeDocument/2006/relationships/hyperlink" Target="http://pbs.twimg.com/profile_images/1371403600077975554/gyKs2pTE_normal.jpg" TargetMode="External"/><Relationship Id="rId5707" Type="http://schemas.openxmlformats.org/officeDocument/2006/relationships/hyperlink" Target="http://pbs.twimg.com/profile_images/1379501478457483266/k2VZmKd8_normal.png" TargetMode="External"/><Relationship Id="rId5708" Type="http://schemas.openxmlformats.org/officeDocument/2006/relationships/hyperlink" Target="http://twitter.com/HuwpHuw/statuses/1520887253484154883" TargetMode="External"/><Relationship Id="rId5705" Type="http://schemas.openxmlformats.org/officeDocument/2006/relationships/hyperlink" Target="http://pbs.twimg.com/profile_images/1505481099866161153/PFQYXkj6_normal.jpg" TargetMode="External"/><Relationship Id="rId5706" Type="http://schemas.openxmlformats.org/officeDocument/2006/relationships/hyperlink" Target="http://twitter.com/chestney_rose/statuses/1520887260429832193" TargetMode="External"/><Relationship Id="rId5709" Type="http://schemas.openxmlformats.org/officeDocument/2006/relationships/hyperlink" Target="http://pbs.twimg.com/profile_images/1454909609290960896/8Wz7b7zU_normal.jpg" TargetMode="External"/><Relationship Id="rId756" Type="http://schemas.openxmlformats.org/officeDocument/2006/relationships/hyperlink" Target="http://twitter.com/Georgie_g_/statuses/1521059385979584513" TargetMode="External"/><Relationship Id="rId755" Type="http://schemas.openxmlformats.org/officeDocument/2006/relationships/hyperlink" Target="http://pbs.twimg.com/profile_images/1502723715372621840/EjIe_Avw_normal.jpg" TargetMode="External"/><Relationship Id="rId754" Type="http://schemas.openxmlformats.org/officeDocument/2006/relationships/hyperlink" Target="http://twitter.com/RSSneakyTweeter/statuses/1521059427264118785" TargetMode="External"/><Relationship Id="rId753" Type="http://schemas.openxmlformats.org/officeDocument/2006/relationships/hyperlink" Target="http://pbs.twimg.com/profile_images/2449318866/owhg40otw9f12z9lbvld_normal.jpeg" TargetMode="External"/><Relationship Id="rId759" Type="http://schemas.openxmlformats.org/officeDocument/2006/relationships/hyperlink" Target="http://pbs.twimg.com/profile_images/1520842975714107398/nwXWzlX6_normal.jpg" TargetMode="External"/><Relationship Id="rId758" Type="http://schemas.openxmlformats.org/officeDocument/2006/relationships/hyperlink" Target="http://twitter.com/LindaRo79230017/statuses/1521059385396670464" TargetMode="External"/><Relationship Id="rId757" Type="http://schemas.openxmlformats.org/officeDocument/2006/relationships/hyperlink" Target="http://pbs.twimg.com/profile_images/1275424567444549632/9jgAl2qa_normal.jpg" TargetMode="External"/><Relationship Id="rId2670" Type="http://schemas.openxmlformats.org/officeDocument/2006/relationships/hyperlink" Target="http://twitter.com/somechewlip/statuses/1521025690031775747" TargetMode="External"/><Relationship Id="rId1340" Type="http://schemas.openxmlformats.org/officeDocument/2006/relationships/hyperlink" Target="http://twitter.com/rec777777/statuses/1521048468516741120" TargetMode="External"/><Relationship Id="rId2671" Type="http://schemas.openxmlformats.org/officeDocument/2006/relationships/hyperlink" Target="http://pbs.twimg.com/profile_images/451863998808350720/h6MGrp-h_normal.jpeg" TargetMode="External"/><Relationship Id="rId752" Type="http://schemas.openxmlformats.org/officeDocument/2006/relationships/hyperlink" Target="http://twitter.com/SaraGSLondon/statuses/1521059484512174080" TargetMode="External"/><Relationship Id="rId1341" Type="http://schemas.openxmlformats.org/officeDocument/2006/relationships/hyperlink" Target="http://abs.twimg.com/sticky/default_profile_images/default_profile_normal.png" TargetMode="External"/><Relationship Id="rId2672" Type="http://schemas.openxmlformats.org/officeDocument/2006/relationships/hyperlink" Target="http://twitter.com/RightAngleUK/statuses/1521025632158818305" TargetMode="External"/><Relationship Id="rId751" Type="http://schemas.openxmlformats.org/officeDocument/2006/relationships/hyperlink" Target="http://pbs.twimg.com/profile_images/1394348838362787843/R4kL_3Ui_normal.jpg" TargetMode="External"/><Relationship Id="rId1342" Type="http://schemas.openxmlformats.org/officeDocument/2006/relationships/hyperlink" Target="http://twitter.com/ArsilvanaLis/statuses/1521048446119124992" TargetMode="External"/><Relationship Id="rId2673" Type="http://schemas.openxmlformats.org/officeDocument/2006/relationships/hyperlink" Target="http://pbs.twimg.com/profile_images/1008280151615000576/t-mIv1Fx_normal.jpg" TargetMode="External"/><Relationship Id="rId5700" Type="http://schemas.openxmlformats.org/officeDocument/2006/relationships/hyperlink" Target="http://twitter.com/HuwpHuw/statuses/1520887288607256576" TargetMode="External"/><Relationship Id="rId750" Type="http://schemas.openxmlformats.org/officeDocument/2006/relationships/hyperlink" Target="http://twitter.com/cheryl_beech/statuses/1521059484956860416" TargetMode="External"/><Relationship Id="rId1343" Type="http://schemas.openxmlformats.org/officeDocument/2006/relationships/hyperlink" Target="http://pbs.twimg.com/profile_images/1503208184974290944/NXKUg3EN_normal.jpg" TargetMode="External"/><Relationship Id="rId2674" Type="http://schemas.openxmlformats.org/officeDocument/2006/relationships/hyperlink" Target="http://twitter.com/AliBunting68/statuses/1521025503653765121" TargetMode="External"/><Relationship Id="rId1344" Type="http://schemas.openxmlformats.org/officeDocument/2006/relationships/hyperlink" Target="http://twitter.com/suecresswell01/statuses/1521048437998985217" TargetMode="External"/><Relationship Id="rId2675" Type="http://schemas.openxmlformats.org/officeDocument/2006/relationships/hyperlink" Target="http://pbs.twimg.com/profile_images/1638393743/John_Museum_normal.jpg" TargetMode="External"/><Relationship Id="rId2621" Type="http://schemas.openxmlformats.org/officeDocument/2006/relationships/hyperlink" Target="http://pbs.twimg.com/profile_images/843914212770566145/fVKtH5n0_normal.jpg" TargetMode="External"/><Relationship Id="rId3953" Type="http://schemas.openxmlformats.org/officeDocument/2006/relationships/hyperlink" Target="http://pbs.twimg.com/profile_images/1421815020107747328/NjN2kEts_normal.jpg" TargetMode="External"/><Relationship Id="rId2622" Type="http://schemas.openxmlformats.org/officeDocument/2006/relationships/hyperlink" Target="http://twitter.com/JuliaHMuir/statuses/1521026565106282497" TargetMode="External"/><Relationship Id="rId3952" Type="http://schemas.openxmlformats.org/officeDocument/2006/relationships/hyperlink" Target="http://twitter.com/turrabuddie/statuses/1521000424316317696" TargetMode="External"/><Relationship Id="rId2623" Type="http://schemas.openxmlformats.org/officeDocument/2006/relationships/hyperlink" Target="http://pbs.twimg.com/profile_images/564514469259538434/Ftq6Y4Cd_normal.jpeg" TargetMode="External"/><Relationship Id="rId3955" Type="http://schemas.openxmlformats.org/officeDocument/2006/relationships/hyperlink" Target="http://pbs.twimg.com/profile_images/1101317882/Selvportrett_normal.jpg" TargetMode="External"/><Relationship Id="rId2624" Type="http://schemas.openxmlformats.org/officeDocument/2006/relationships/hyperlink" Target="http://twitter.com/peterbentley34/statuses/1521026474911965187" TargetMode="External"/><Relationship Id="rId3954" Type="http://schemas.openxmlformats.org/officeDocument/2006/relationships/hyperlink" Target="http://twitter.com/Keith99352796/statuses/1521000414593835008" TargetMode="External"/><Relationship Id="rId2625" Type="http://schemas.openxmlformats.org/officeDocument/2006/relationships/hyperlink" Target="http://pbs.twimg.com/profile_images/1471148212488708106/D-TJDf_G_normal.jpg" TargetMode="External"/><Relationship Id="rId3957" Type="http://schemas.openxmlformats.org/officeDocument/2006/relationships/hyperlink" Target="http://pbs.twimg.com/profile_images/1464632419487825923/6oYnGGy8_normal.jpg" TargetMode="External"/><Relationship Id="rId2626" Type="http://schemas.openxmlformats.org/officeDocument/2006/relationships/hyperlink" Target="http://twitter.com/scienceorgod/statuses/1521026333098356737" TargetMode="External"/><Relationship Id="rId3956" Type="http://schemas.openxmlformats.org/officeDocument/2006/relationships/hyperlink" Target="http://twitter.com/jantesays/statuses/1521000377436491776" TargetMode="External"/><Relationship Id="rId2627" Type="http://schemas.openxmlformats.org/officeDocument/2006/relationships/hyperlink" Target="http://pbs.twimg.com/profile_images/1346900466593124357/sF_MiBvL_normal.jpg" TargetMode="External"/><Relationship Id="rId3959" Type="http://schemas.openxmlformats.org/officeDocument/2006/relationships/hyperlink" Target="http://pbs.twimg.com/profile_images/2117127147/image_normal.jpg" TargetMode="External"/><Relationship Id="rId2628" Type="http://schemas.openxmlformats.org/officeDocument/2006/relationships/hyperlink" Target="http://twitter.com/jennynorthern21/statuses/1521026292187025409" TargetMode="External"/><Relationship Id="rId3958" Type="http://schemas.openxmlformats.org/officeDocument/2006/relationships/hyperlink" Target="http://twitter.com/arnold_loz/statuses/1521000374580264960" TargetMode="External"/><Relationship Id="rId709" Type="http://schemas.openxmlformats.org/officeDocument/2006/relationships/hyperlink" Target="http://pbs.twimg.com/profile_images/1414996013039898631/zsHqNMsm_normal.jpg" TargetMode="External"/><Relationship Id="rId2629" Type="http://schemas.openxmlformats.org/officeDocument/2006/relationships/hyperlink" Target="http://pbs.twimg.com/profile_images/378800000011986895/6bcaeddf55c23578d7ba157d666d63f7_normal.jpeg" TargetMode="External"/><Relationship Id="rId708" Type="http://schemas.openxmlformats.org/officeDocument/2006/relationships/hyperlink" Target="http://twitter.com/Dorothy23897725/statuses/1521060579078598656" TargetMode="External"/><Relationship Id="rId707" Type="http://schemas.openxmlformats.org/officeDocument/2006/relationships/hyperlink" Target="http://pbs.twimg.com/profile_images/1318434944025206785/yGGiCi4n_normal.jpg" TargetMode="External"/><Relationship Id="rId706" Type="http://schemas.openxmlformats.org/officeDocument/2006/relationships/hyperlink" Target="http://twitter.com/Brendan76922313/statuses/1521060587475718145" TargetMode="External"/><Relationship Id="rId701" Type="http://schemas.openxmlformats.org/officeDocument/2006/relationships/hyperlink" Target="http://pbs.twimg.com/profile_images/2592740101/iniqqdp2wxpzgsetim8i_normal.jpeg" TargetMode="External"/><Relationship Id="rId700" Type="http://schemas.openxmlformats.org/officeDocument/2006/relationships/hyperlink" Target="http://twitter.com/Ulkopolitist/statuses/1521060733794066433" TargetMode="External"/><Relationship Id="rId705" Type="http://schemas.openxmlformats.org/officeDocument/2006/relationships/hyperlink" Target="http://pbs.twimg.com/profile_images/1475065753162465281/cAZIcdCy_normal.jpg" TargetMode="External"/><Relationship Id="rId704" Type="http://schemas.openxmlformats.org/officeDocument/2006/relationships/hyperlink" Target="http://twitter.com/mgroedl/statuses/1521060626013077504" TargetMode="External"/><Relationship Id="rId703" Type="http://schemas.openxmlformats.org/officeDocument/2006/relationships/hyperlink" Target="http://pbs.twimg.com/profile_images/1388803978339700736/Ffurm3Y1_normal.jpg" TargetMode="External"/><Relationship Id="rId702" Type="http://schemas.openxmlformats.org/officeDocument/2006/relationships/hyperlink" Target="http://twitter.com/Jon_Danzig/statuses/1521060656119795713" TargetMode="External"/><Relationship Id="rId3951" Type="http://schemas.openxmlformats.org/officeDocument/2006/relationships/hyperlink" Target="http://abs.twimg.com/sticky/default_profile_images/default_profile_normal.png" TargetMode="External"/><Relationship Id="rId2620" Type="http://schemas.openxmlformats.org/officeDocument/2006/relationships/hyperlink" Target="http://twitter.com/lawrenceglyn70/statuses/1521026574837063684" TargetMode="External"/><Relationship Id="rId3950" Type="http://schemas.openxmlformats.org/officeDocument/2006/relationships/hyperlink" Target="http://twitter.com/Meltarps75Mel/statuses/1521000506457567234" TargetMode="External"/><Relationship Id="rId2610" Type="http://schemas.openxmlformats.org/officeDocument/2006/relationships/hyperlink" Target="http://twitter.com/Richard54119983/statuses/1521026648056942593" TargetMode="External"/><Relationship Id="rId3942" Type="http://schemas.openxmlformats.org/officeDocument/2006/relationships/hyperlink" Target="http://twitter.com/jcjumble/statuses/1521000765871038464" TargetMode="External"/><Relationship Id="rId2611" Type="http://schemas.openxmlformats.org/officeDocument/2006/relationships/hyperlink" Target="http://pbs.twimg.com/profile_images/864207708894920704/3R9ocGZg_normal.jpg" TargetMode="External"/><Relationship Id="rId3941" Type="http://schemas.openxmlformats.org/officeDocument/2006/relationships/hyperlink" Target="http://pbs.twimg.com/profile_images/1267524783358586882/yAhIsqAk_normal.jpg" TargetMode="External"/><Relationship Id="rId2612" Type="http://schemas.openxmlformats.org/officeDocument/2006/relationships/hyperlink" Target="http://twitter.com/IanRadcliffe4/statuses/1521026643241971712" TargetMode="External"/><Relationship Id="rId3944" Type="http://schemas.openxmlformats.org/officeDocument/2006/relationships/hyperlink" Target="http://twitter.com/jcjumble/statuses/1521000753946583042" TargetMode="External"/><Relationship Id="rId2613" Type="http://schemas.openxmlformats.org/officeDocument/2006/relationships/hyperlink" Target="http://pbs.twimg.com/profile_images/1076548224549376000/Y03n2uO4_normal.jpg" TargetMode="External"/><Relationship Id="rId3943" Type="http://schemas.openxmlformats.org/officeDocument/2006/relationships/hyperlink" Target="http://pbs.twimg.com/profile_images/1267524783358586882/yAhIsqAk_normal.jpg" TargetMode="External"/><Relationship Id="rId2614" Type="http://schemas.openxmlformats.org/officeDocument/2006/relationships/hyperlink" Target="http://twitter.com/steviemcbride/statuses/1521026635952181248" TargetMode="External"/><Relationship Id="rId3946" Type="http://schemas.openxmlformats.org/officeDocument/2006/relationships/hyperlink" Target="http://twitter.com/VincentCantrill/statuses/1521000649739186177" TargetMode="External"/><Relationship Id="rId2615" Type="http://schemas.openxmlformats.org/officeDocument/2006/relationships/hyperlink" Target="http://pbs.twimg.com/profile_images/1497860817852772353/gszflyW2_normal.jpg" TargetMode="External"/><Relationship Id="rId3945" Type="http://schemas.openxmlformats.org/officeDocument/2006/relationships/hyperlink" Target="http://pbs.twimg.com/profile_images/1353600101/VPC_0745-Edit1_copy_normal.jpg" TargetMode="External"/><Relationship Id="rId2616" Type="http://schemas.openxmlformats.org/officeDocument/2006/relationships/hyperlink" Target="http://twitter.com/SandraDunn1955/statuses/1521026582068011009" TargetMode="External"/><Relationship Id="rId3948" Type="http://schemas.openxmlformats.org/officeDocument/2006/relationships/hyperlink" Target="http://twitter.com/travellersuzy/statuses/1521000617191383041" TargetMode="External"/><Relationship Id="rId2617" Type="http://schemas.openxmlformats.org/officeDocument/2006/relationships/hyperlink" Target="http://pbs.twimg.com/profile_images/1347935052332752897/aibUd5s__normal.jpg" TargetMode="External"/><Relationship Id="rId3947" Type="http://schemas.openxmlformats.org/officeDocument/2006/relationships/hyperlink" Target="http://pbs.twimg.com/profile_images/1496817002127581184/G2SE4n1B_normal.png" TargetMode="External"/><Relationship Id="rId2618" Type="http://schemas.openxmlformats.org/officeDocument/2006/relationships/hyperlink" Target="http://twitter.com/LindsayStronaba/statuses/1521026579983388672" TargetMode="External"/><Relationship Id="rId2619" Type="http://schemas.openxmlformats.org/officeDocument/2006/relationships/hyperlink" Target="http://pbs.twimg.com/profile_images/1517154689007071241/g66k2jfI_normal.jpg" TargetMode="External"/><Relationship Id="rId3949" Type="http://schemas.openxmlformats.org/officeDocument/2006/relationships/hyperlink" Target="http://pbs.twimg.com/profile_images/1354083875513905154/HRqjxaUW_normal.jpg" TargetMode="External"/><Relationship Id="rId3940" Type="http://schemas.openxmlformats.org/officeDocument/2006/relationships/hyperlink" Target="http://twitter.com/rec777777/statuses/1521000786444046336" TargetMode="External"/><Relationship Id="rId1312" Type="http://schemas.openxmlformats.org/officeDocument/2006/relationships/hyperlink" Target="http://twitter.com/MarkHazard2020/statuses/1521048933983821824" TargetMode="External"/><Relationship Id="rId2643" Type="http://schemas.openxmlformats.org/officeDocument/2006/relationships/hyperlink" Target="http://abs.twimg.com/sticky/default_profile_images/default_profile_normal.png" TargetMode="External"/><Relationship Id="rId3975" Type="http://schemas.openxmlformats.org/officeDocument/2006/relationships/hyperlink" Target="http://pbs.twimg.com/profile_images/1267061019035217921/mff_Kyc2_normal.jpg" TargetMode="External"/><Relationship Id="rId1313" Type="http://schemas.openxmlformats.org/officeDocument/2006/relationships/hyperlink" Target="http://pbs.twimg.com/profile_images/1416887010892165127/J5jaKNGH_normal.jpg" TargetMode="External"/><Relationship Id="rId2644" Type="http://schemas.openxmlformats.org/officeDocument/2006/relationships/hyperlink" Target="http://twitter.com/BrettPmbrett/statuses/1521026198402478080" TargetMode="External"/><Relationship Id="rId3974" Type="http://schemas.openxmlformats.org/officeDocument/2006/relationships/hyperlink" Target="http://twitter.com/magapanthus/statuses/1520999858622152704" TargetMode="External"/><Relationship Id="rId1314" Type="http://schemas.openxmlformats.org/officeDocument/2006/relationships/hyperlink" Target="http://twitter.com/BrexitPhobe/statuses/1521048933870542850" TargetMode="External"/><Relationship Id="rId2645" Type="http://schemas.openxmlformats.org/officeDocument/2006/relationships/hyperlink" Target="http://pbs.twimg.com/profile_images/1513366778/Image019_normal.jpg" TargetMode="External"/><Relationship Id="rId3977" Type="http://schemas.openxmlformats.org/officeDocument/2006/relationships/hyperlink" Target="http://pbs.twimg.com/profile_images/872420798899904512/deKvv7gW_normal.jpg" TargetMode="External"/><Relationship Id="rId1315" Type="http://schemas.openxmlformats.org/officeDocument/2006/relationships/hyperlink" Target="http://pbs.twimg.com/profile_images/729990774012583937/qc5VCeOA_normal.jpg" TargetMode="External"/><Relationship Id="rId2646" Type="http://schemas.openxmlformats.org/officeDocument/2006/relationships/hyperlink" Target="http://twitter.com/tobymutz101/statuses/1521026148620189696" TargetMode="External"/><Relationship Id="rId3976" Type="http://schemas.openxmlformats.org/officeDocument/2006/relationships/hyperlink" Target="http://twitter.com/SilverSniper007/statuses/1520999849730228224" TargetMode="External"/><Relationship Id="rId1316" Type="http://schemas.openxmlformats.org/officeDocument/2006/relationships/hyperlink" Target="http://twitter.com/neilatembark/statuses/1521048910109757440" TargetMode="External"/><Relationship Id="rId2647" Type="http://schemas.openxmlformats.org/officeDocument/2006/relationships/hyperlink" Target="http://pbs.twimg.com/profile_images/560587259318386689/V_M8UGUs_normal.jpeg" TargetMode="External"/><Relationship Id="rId3979" Type="http://schemas.openxmlformats.org/officeDocument/2006/relationships/hyperlink" Target="http://pbs.twimg.com/profile_images/872420798899904512/deKvv7gW_normal.jpg" TargetMode="External"/><Relationship Id="rId1317" Type="http://schemas.openxmlformats.org/officeDocument/2006/relationships/hyperlink" Target="http://pbs.twimg.com/profile_images/1303023332766494720/yRpaeaQb_normal.jpg" TargetMode="External"/><Relationship Id="rId2648" Type="http://schemas.openxmlformats.org/officeDocument/2006/relationships/hyperlink" Target="http://twitter.com/LupacchiottoDog/statuses/1521026119759278082" TargetMode="External"/><Relationship Id="rId3978" Type="http://schemas.openxmlformats.org/officeDocument/2006/relationships/hyperlink" Target="http://twitter.com/magapanthus/statuses/1520999811465494528" TargetMode="External"/><Relationship Id="rId1318" Type="http://schemas.openxmlformats.org/officeDocument/2006/relationships/hyperlink" Target="http://twitter.com/phopfensperger/statuses/1521048815700226049" TargetMode="External"/><Relationship Id="rId2649" Type="http://schemas.openxmlformats.org/officeDocument/2006/relationships/hyperlink" Target="http://pbs.twimg.com/profile_images/1413379349458399232/WED3JtyT_normal.jpg" TargetMode="External"/><Relationship Id="rId1319" Type="http://schemas.openxmlformats.org/officeDocument/2006/relationships/hyperlink" Target="http://pbs.twimg.com/profile_images/438040772034961409/R_Hok_DS_normal.jpeg" TargetMode="External"/><Relationship Id="rId729" Type="http://schemas.openxmlformats.org/officeDocument/2006/relationships/hyperlink" Target="http://pbs.twimg.com/profile_images/2316882204/iconoInfoBancaEtica_normal.png" TargetMode="External"/><Relationship Id="rId728" Type="http://schemas.openxmlformats.org/officeDocument/2006/relationships/hyperlink" Target="http://twitter.com/reza_sharifii/statuses/1521060057290584064" TargetMode="External"/><Relationship Id="rId723" Type="http://schemas.openxmlformats.org/officeDocument/2006/relationships/hyperlink" Target="http://pbs.twimg.com/profile_images/1400186564253212674/u0Yunbw7_normal.jpg" TargetMode="External"/><Relationship Id="rId722" Type="http://schemas.openxmlformats.org/officeDocument/2006/relationships/hyperlink" Target="http://twitter.com/BearnePeter/statuses/1521060231589122048" TargetMode="External"/><Relationship Id="rId721" Type="http://schemas.openxmlformats.org/officeDocument/2006/relationships/hyperlink" Target="http://pbs.twimg.com/profile_images/1448276214829961220/Vy8Mxmb5_normal.jpg" TargetMode="External"/><Relationship Id="rId720" Type="http://schemas.openxmlformats.org/officeDocument/2006/relationships/hyperlink" Target="http://twitter.com/p2pmoneyshop/statuses/1521060248949346304" TargetMode="External"/><Relationship Id="rId727" Type="http://schemas.openxmlformats.org/officeDocument/2006/relationships/hyperlink" Target="http://pbs.twimg.com/profile_images/1505616465449390085/Y3uKOVqS_normal.jpg" TargetMode="External"/><Relationship Id="rId726" Type="http://schemas.openxmlformats.org/officeDocument/2006/relationships/hyperlink" Target="http://twitter.com/Geenimetsuri/statuses/1521060169584623622" TargetMode="External"/><Relationship Id="rId725" Type="http://schemas.openxmlformats.org/officeDocument/2006/relationships/hyperlink" Target="http://pbs.twimg.com/profile_images/1165389252886220802/gDuxwPpo_normal.jpg" TargetMode="External"/><Relationship Id="rId724" Type="http://schemas.openxmlformats.org/officeDocument/2006/relationships/hyperlink" Target="http://twitter.com/VinaigretteGirl/statuses/1521060193878040576" TargetMode="External"/><Relationship Id="rId3971" Type="http://schemas.openxmlformats.org/officeDocument/2006/relationships/hyperlink" Target="http://pbs.twimg.com/profile_images/872420798899904512/deKvv7gW_normal.jpg" TargetMode="External"/><Relationship Id="rId2640" Type="http://schemas.openxmlformats.org/officeDocument/2006/relationships/hyperlink" Target="http://twitter.com/roblwilson/statuses/1521026226802016256" TargetMode="External"/><Relationship Id="rId3970" Type="http://schemas.openxmlformats.org/officeDocument/2006/relationships/hyperlink" Target="http://twitter.com/DavidEvanJames/statuses/1521000079326433281" TargetMode="External"/><Relationship Id="rId1310" Type="http://schemas.openxmlformats.org/officeDocument/2006/relationships/hyperlink" Target="http://twitter.com/telmckeown/statuses/1521049006587142145" TargetMode="External"/><Relationship Id="rId2641" Type="http://schemas.openxmlformats.org/officeDocument/2006/relationships/hyperlink" Target="http://pbs.twimg.com/profile_images/1413379349458399232/WED3JtyT_normal.jpg" TargetMode="External"/><Relationship Id="rId3973" Type="http://schemas.openxmlformats.org/officeDocument/2006/relationships/hyperlink" Target="http://pbs.twimg.com/profile_images/872420798899904512/deKvv7gW_normal.jpg" TargetMode="External"/><Relationship Id="rId1311" Type="http://schemas.openxmlformats.org/officeDocument/2006/relationships/hyperlink" Target="http://pbs.twimg.com/profile_images/1232612324906881025/OOXMi6BH_normal.jpg" TargetMode="External"/><Relationship Id="rId2642" Type="http://schemas.openxmlformats.org/officeDocument/2006/relationships/hyperlink" Target="http://twitter.com/martarossi56/statuses/1521026221198528512" TargetMode="External"/><Relationship Id="rId3972" Type="http://schemas.openxmlformats.org/officeDocument/2006/relationships/hyperlink" Target="http://twitter.com/magapanthus/statuses/1520999878117269509" TargetMode="External"/><Relationship Id="rId1301" Type="http://schemas.openxmlformats.org/officeDocument/2006/relationships/hyperlink" Target="http://pbs.twimg.com/profile_images/1259552734212169728/4lp-hoNa_normal.jpg" TargetMode="External"/><Relationship Id="rId2632" Type="http://schemas.openxmlformats.org/officeDocument/2006/relationships/hyperlink" Target="http://twitter.com/JennyJones1313/statuses/1521026281953009664" TargetMode="External"/><Relationship Id="rId3964" Type="http://schemas.openxmlformats.org/officeDocument/2006/relationships/hyperlink" Target="http://twitter.com/dewderino/statuses/1521000088813899776" TargetMode="External"/><Relationship Id="rId1302" Type="http://schemas.openxmlformats.org/officeDocument/2006/relationships/hyperlink" Target="http://twitter.com/Alexblx/statuses/1521049228969189376" TargetMode="External"/><Relationship Id="rId2633" Type="http://schemas.openxmlformats.org/officeDocument/2006/relationships/hyperlink" Target="http://pbs.twimg.com/profile_images/1165594621/Andries_de_Graeff_buste2_normal.jpg" TargetMode="External"/><Relationship Id="rId3963" Type="http://schemas.openxmlformats.org/officeDocument/2006/relationships/hyperlink" Target="http://pbs.twimg.com/profile_images/378800000591256719/f209d0035321cfd24a86aee2c943f50b_normal.jpeg" TargetMode="External"/><Relationship Id="rId1303" Type="http://schemas.openxmlformats.org/officeDocument/2006/relationships/hyperlink" Target="http://pbs.twimg.com/profile_images/845583063077793792/iYYdfBuK_normal.jpg" TargetMode="External"/><Relationship Id="rId2634" Type="http://schemas.openxmlformats.org/officeDocument/2006/relationships/hyperlink" Target="http://twitter.com/Goldtwatter/statuses/1521026277221806080" TargetMode="External"/><Relationship Id="rId3966" Type="http://schemas.openxmlformats.org/officeDocument/2006/relationships/hyperlink" Target="http://twitter.com/LauraPh27961838/statuses/1521000086104330240" TargetMode="External"/><Relationship Id="rId1304" Type="http://schemas.openxmlformats.org/officeDocument/2006/relationships/hyperlink" Target="http://twitter.com/51TJK/statuses/1521049118377971713" TargetMode="External"/><Relationship Id="rId2635" Type="http://schemas.openxmlformats.org/officeDocument/2006/relationships/hyperlink" Target="http://pbs.twimg.com/profile_images/1228835772998078466/3I0syXoS_normal.jpg" TargetMode="External"/><Relationship Id="rId3965" Type="http://schemas.openxmlformats.org/officeDocument/2006/relationships/hyperlink" Target="http://pbs.twimg.com/profile_images/1176673565808177152/tpWrmtUq_normal.jpg" TargetMode="External"/><Relationship Id="rId1305" Type="http://schemas.openxmlformats.org/officeDocument/2006/relationships/hyperlink" Target="http://pbs.twimg.com/profile_images/1491448305922068486/yEnI9_dq_normal.jpg" TargetMode="External"/><Relationship Id="rId2636" Type="http://schemas.openxmlformats.org/officeDocument/2006/relationships/hyperlink" Target="http://twitter.com/JennyJones1313/statuses/1521026242992091137" TargetMode="External"/><Relationship Id="rId3968" Type="http://schemas.openxmlformats.org/officeDocument/2006/relationships/hyperlink" Target="http://twitter.com/icallen1/statuses/1521000084460216320" TargetMode="External"/><Relationship Id="rId1306" Type="http://schemas.openxmlformats.org/officeDocument/2006/relationships/hyperlink" Target="http://twitter.com/antisyzygy/statuses/1521049064980332546" TargetMode="External"/><Relationship Id="rId2637" Type="http://schemas.openxmlformats.org/officeDocument/2006/relationships/hyperlink" Target="http://pbs.twimg.com/profile_images/378800000011986895/6bcaeddf55c23578d7ba157d666d63f7_normal.jpeg" TargetMode="External"/><Relationship Id="rId3967" Type="http://schemas.openxmlformats.org/officeDocument/2006/relationships/hyperlink" Target="http://pbs.twimg.com/profile_images/736649264064004096/9Hlv1en2_normal.jpg" TargetMode="External"/><Relationship Id="rId1307" Type="http://schemas.openxmlformats.org/officeDocument/2006/relationships/hyperlink" Target="http://pbs.twimg.com/profile_images/1155831695834341376/ICbu_ERK_normal.jpg" TargetMode="External"/><Relationship Id="rId2638" Type="http://schemas.openxmlformats.org/officeDocument/2006/relationships/hyperlink" Target="http://twitter.com/cmurphymurray/statuses/1521026238374191111" TargetMode="External"/><Relationship Id="rId1308" Type="http://schemas.openxmlformats.org/officeDocument/2006/relationships/hyperlink" Target="http://twitter.com/ElliH53/statuses/1521049019048509440" TargetMode="External"/><Relationship Id="rId2639" Type="http://schemas.openxmlformats.org/officeDocument/2006/relationships/hyperlink" Target="http://pbs.twimg.com/profile_images/1570808713/brigha8_normal.jpg" TargetMode="External"/><Relationship Id="rId3969" Type="http://schemas.openxmlformats.org/officeDocument/2006/relationships/hyperlink" Target="http://pbs.twimg.com/profile_images/378800000716975263/febe9323464734398272c4c9841fe44a_normal.jpeg" TargetMode="External"/><Relationship Id="rId1309" Type="http://schemas.openxmlformats.org/officeDocument/2006/relationships/hyperlink" Target="http://abs.twimg.com/sticky/default_profile_images/default_profile_normal.png" TargetMode="External"/><Relationship Id="rId719" Type="http://schemas.openxmlformats.org/officeDocument/2006/relationships/hyperlink" Target="http://pbs.twimg.com/profile_images/1520063843594084359/wQOqcNx3_normal.jpg" TargetMode="External"/><Relationship Id="rId718" Type="http://schemas.openxmlformats.org/officeDocument/2006/relationships/hyperlink" Target="http://twitter.com/loubug/statuses/1521060315504517121" TargetMode="External"/><Relationship Id="rId717" Type="http://schemas.openxmlformats.org/officeDocument/2006/relationships/hyperlink" Target="http://pbs.twimg.com/profile_images/1450466420303798280/jk8DVC8D_normal.jpg" TargetMode="External"/><Relationship Id="rId712" Type="http://schemas.openxmlformats.org/officeDocument/2006/relationships/hyperlink" Target="http://twitter.com/Olicanarama/statuses/1521060500662104066" TargetMode="External"/><Relationship Id="rId711" Type="http://schemas.openxmlformats.org/officeDocument/2006/relationships/hyperlink" Target="http://pbs.twimg.com/profile_images/1345700244194029568/fbKUvmvb_normal.jpg" TargetMode="External"/><Relationship Id="rId710" Type="http://schemas.openxmlformats.org/officeDocument/2006/relationships/hyperlink" Target="http://twitter.com/strupy/statuses/1521060562100228096" TargetMode="External"/><Relationship Id="rId716" Type="http://schemas.openxmlformats.org/officeDocument/2006/relationships/hyperlink" Target="http://twitter.com/JillFox16/statuses/1521060398102978560" TargetMode="External"/><Relationship Id="rId715" Type="http://schemas.openxmlformats.org/officeDocument/2006/relationships/hyperlink" Target="http://pbs.twimg.com/profile_images/1497524763987689472/9kAfFK8w_normal.jpg" TargetMode="External"/><Relationship Id="rId714" Type="http://schemas.openxmlformats.org/officeDocument/2006/relationships/hyperlink" Target="http://twitter.com/NathanJordan81/statuses/1521060448736616450" TargetMode="External"/><Relationship Id="rId713" Type="http://schemas.openxmlformats.org/officeDocument/2006/relationships/hyperlink" Target="http://pbs.twimg.com/profile_images/1509780317523034112/87YCnUX8_normal.jpg" TargetMode="External"/><Relationship Id="rId3960" Type="http://schemas.openxmlformats.org/officeDocument/2006/relationships/hyperlink" Target="http://twitter.com/toadovision/statuses/1521000268757880832" TargetMode="External"/><Relationship Id="rId2630" Type="http://schemas.openxmlformats.org/officeDocument/2006/relationships/hyperlink" Target="http://twitter.com/cmurphymurray/statuses/1521026289028767744" TargetMode="External"/><Relationship Id="rId3962" Type="http://schemas.openxmlformats.org/officeDocument/2006/relationships/hyperlink" Target="http://twitter.com/JulieCuninghame/statuses/1521000200185290754" TargetMode="External"/><Relationship Id="rId1300" Type="http://schemas.openxmlformats.org/officeDocument/2006/relationships/hyperlink" Target="http://twitter.com/Robert291213511/statuses/1521049254646751232" TargetMode="External"/><Relationship Id="rId2631" Type="http://schemas.openxmlformats.org/officeDocument/2006/relationships/hyperlink" Target="http://pbs.twimg.com/profile_images/1228835772998078466/3I0syXoS_normal.jpg" TargetMode="External"/><Relationship Id="rId3961" Type="http://schemas.openxmlformats.org/officeDocument/2006/relationships/hyperlink" Target="http://pbs.twimg.com/profile_images/227938108/jules_normal.bmp" TargetMode="External"/><Relationship Id="rId3117" Type="http://schemas.openxmlformats.org/officeDocument/2006/relationships/hyperlink" Target="http://pbs.twimg.com/profile_images/1344675699681095682/ojw7y53j_normal.jpg" TargetMode="External"/><Relationship Id="rId4448" Type="http://schemas.openxmlformats.org/officeDocument/2006/relationships/hyperlink" Target="http://twitter.com/Tricky_1/statuses/1520966708248596480" TargetMode="External"/><Relationship Id="rId3116" Type="http://schemas.openxmlformats.org/officeDocument/2006/relationships/hyperlink" Target="http://twitter.com/dohay22/statuses/1521017694673416192" TargetMode="External"/><Relationship Id="rId4447" Type="http://schemas.openxmlformats.org/officeDocument/2006/relationships/hyperlink" Target="http://pbs.twimg.com/profile_images/1419640816000249857/Xp3dQiSr_normal.jpg" TargetMode="External"/><Relationship Id="rId3119" Type="http://schemas.openxmlformats.org/officeDocument/2006/relationships/hyperlink" Target="http://pbs.twimg.com/profile_images/704665328563818497/H7nP6Knh_normal.jpg" TargetMode="External"/><Relationship Id="rId5778" Type="http://schemas.openxmlformats.org/officeDocument/2006/relationships/hyperlink" Target="http://twitter.com/sccpen/statuses/1520885752263069697" TargetMode="External"/><Relationship Id="rId3118" Type="http://schemas.openxmlformats.org/officeDocument/2006/relationships/hyperlink" Target="http://twitter.com/Janec2011/statuses/1521017694505431040" TargetMode="External"/><Relationship Id="rId4449" Type="http://schemas.openxmlformats.org/officeDocument/2006/relationships/hyperlink" Target="http://pbs.twimg.com/profile_images/1371036955169976320/gzeB8qQs_normal.jpg" TargetMode="External"/><Relationship Id="rId5779" Type="http://schemas.openxmlformats.org/officeDocument/2006/relationships/hyperlink" Target="http://pbs.twimg.com/profile_images/1277371438580801537/hYa4OWXd_normal.jpg" TargetMode="External"/><Relationship Id="rId4440" Type="http://schemas.openxmlformats.org/officeDocument/2006/relationships/hyperlink" Target="http://twitter.com/AHaglington/statuses/1520967172780089346" TargetMode="External"/><Relationship Id="rId5772" Type="http://schemas.openxmlformats.org/officeDocument/2006/relationships/hyperlink" Target="http://twitter.com/Ponkbutler/statuses/1520885874887639058" TargetMode="External"/><Relationship Id="rId5773" Type="http://schemas.openxmlformats.org/officeDocument/2006/relationships/hyperlink" Target="http://abs.twimg.com/sticky/default_profile_images/default_profile_normal.png" TargetMode="External"/><Relationship Id="rId3111" Type="http://schemas.openxmlformats.org/officeDocument/2006/relationships/hyperlink" Target="http://pbs.twimg.com/profile_images/1387482436922130433/6lr7KIVd_normal.jpg" TargetMode="External"/><Relationship Id="rId4442" Type="http://schemas.openxmlformats.org/officeDocument/2006/relationships/hyperlink" Target="http://twitter.com/LeightonLewis4/statuses/1520967059315695616" TargetMode="External"/><Relationship Id="rId5770" Type="http://schemas.openxmlformats.org/officeDocument/2006/relationships/hyperlink" Target="http://twitter.com/Ponkbutler/statuses/1520885916411342850" TargetMode="External"/><Relationship Id="rId3110" Type="http://schemas.openxmlformats.org/officeDocument/2006/relationships/hyperlink" Target="http://twitter.com/jpiana1/statuses/1521017827674796034" TargetMode="External"/><Relationship Id="rId4441" Type="http://schemas.openxmlformats.org/officeDocument/2006/relationships/hyperlink" Target="http://pbs.twimg.com/profile_images/847236009326592000/oP1vh9Jd_normal.jpg" TargetMode="External"/><Relationship Id="rId5771" Type="http://schemas.openxmlformats.org/officeDocument/2006/relationships/hyperlink" Target="http://abs.twimg.com/sticky/default_profile_images/default_profile_normal.png" TargetMode="External"/><Relationship Id="rId3113" Type="http://schemas.openxmlformats.org/officeDocument/2006/relationships/hyperlink" Target="http://pbs.twimg.com/profile_images/1518129120122712064/JFmoR0J7_normal.jpg" TargetMode="External"/><Relationship Id="rId4444" Type="http://schemas.openxmlformats.org/officeDocument/2006/relationships/hyperlink" Target="http://twitter.com/roygrubb/statuses/1520966974443966467" TargetMode="External"/><Relationship Id="rId5776" Type="http://schemas.openxmlformats.org/officeDocument/2006/relationships/hyperlink" Target="http://twitter.com/Ponkbutler/statuses/1520885757862453248" TargetMode="External"/><Relationship Id="rId3112" Type="http://schemas.openxmlformats.org/officeDocument/2006/relationships/hyperlink" Target="http://twitter.com/gwstenby/statuses/1521017824180854787" TargetMode="External"/><Relationship Id="rId4443" Type="http://schemas.openxmlformats.org/officeDocument/2006/relationships/hyperlink" Target="http://pbs.twimg.com/profile_images/1517587542/RG-web-update4b_normal.png" TargetMode="External"/><Relationship Id="rId5777" Type="http://schemas.openxmlformats.org/officeDocument/2006/relationships/hyperlink" Target="http://pbs.twimg.com/profile_images/1500471372174274564/xKEfEvYH_normal.jpg" TargetMode="External"/><Relationship Id="rId3115" Type="http://schemas.openxmlformats.org/officeDocument/2006/relationships/hyperlink" Target="http://pbs.twimg.com/profile_images/1369257196773597190/FcPM0iAl_normal.jpg" TargetMode="External"/><Relationship Id="rId4446" Type="http://schemas.openxmlformats.org/officeDocument/2006/relationships/hyperlink" Target="http://twitter.com/jackalsbynight/statuses/1520966857431437312" TargetMode="External"/><Relationship Id="rId5774" Type="http://schemas.openxmlformats.org/officeDocument/2006/relationships/hyperlink" Target="http://twitter.com/Ponkbutler/statuses/1520885823327068160" TargetMode="External"/><Relationship Id="rId3114" Type="http://schemas.openxmlformats.org/officeDocument/2006/relationships/hyperlink" Target="http://twitter.com/SittingHard/statuses/1521017737308520449" TargetMode="External"/><Relationship Id="rId4445" Type="http://schemas.openxmlformats.org/officeDocument/2006/relationships/hyperlink" Target="http://pbs.twimg.com/profile_images/767040040786690048/jBD0SHWQ_normal.jpg" TargetMode="External"/><Relationship Id="rId5775" Type="http://schemas.openxmlformats.org/officeDocument/2006/relationships/hyperlink" Target="http://abs.twimg.com/sticky/default_profile_images/default_profile_normal.png" TargetMode="External"/><Relationship Id="rId3106" Type="http://schemas.openxmlformats.org/officeDocument/2006/relationships/hyperlink" Target="http://twitter.com/dohay22/statuses/1521017877259763712" TargetMode="External"/><Relationship Id="rId4437" Type="http://schemas.openxmlformats.org/officeDocument/2006/relationships/hyperlink" Target="http://abs.twimg.com/sticky/default_profile_images/default_profile_normal.png" TargetMode="External"/><Relationship Id="rId5769" Type="http://schemas.openxmlformats.org/officeDocument/2006/relationships/hyperlink" Target="http://abs.twimg.com/sticky/default_profile_images/default_profile_normal.png" TargetMode="External"/><Relationship Id="rId3105" Type="http://schemas.openxmlformats.org/officeDocument/2006/relationships/hyperlink" Target="http://pbs.twimg.com/profile_images/1369257196773597190/FcPM0iAl_normal.jpg" TargetMode="External"/><Relationship Id="rId4436" Type="http://schemas.openxmlformats.org/officeDocument/2006/relationships/hyperlink" Target="http://twitter.com/jackalsbynight/statuses/1520967755817697282" TargetMode="External"/><Relationship Id="rId3108" Type="http://schemas.openxmlformats.org/officeDocument/2006/relationships/hyperlink" Target="http://twitter.com/JeanRowe2/statuses/1521017851116761090" TargetMode="External"/><Relationship Id="rId4439" Type="http://schemas.openxmlformats.org/officeDocument/2006/relationships/hyperlink" Target="http://pbs.twimg.com/profile_images/1371036955169976320/gzeB8qQs_normal.jpg" TargetMode="External"/><Relationship Id="rId5767" Type="http://schemas.openxmlformats.org/officeDocument/2006/relationships/hyperlink" Target="http://abs.twimg.com/sticky/default_profile_images/default_profile_normal.png" TargetMode="External"/><Relationship Id="rId3107" Type="http://schemas.openxmlformats.org/officeDocument/2006/relationships/hyperlink" Target="http://pbs.twimg.com/profile_images/2175992636/IMG_0045_normal.JPG" TargetMode="External"/><Relationship Id="rId4438" Type="http://schemas.openxmlformats.org/officeDocument/2006/relationships/hyperlink" Target="http://twitter.com/Mand80434891/statuses/1520967197933600768" TargetMode="External"/><Relationship Id="rId5768" Type="http://schemas.openxmlformats.org/officeDocument/2006/relationships/hyperlink" Target="http://twitter.com/Ponkbutler/statuses/1520885936808247297" TargetMode="External"/><Relationship Id="rId3109" Type="http://schemas.openxmlformats.org/officeDocument/2006/relationships/hyperlink" Target="http://pbs.twimg.com/profile_images/717463818973093888/ctEYtgrY_normal.jpg" TargetMode="External"/><Relationship Id="rId5761" Type="http://schemas.openxmlformats.org/officeDocument/2006/relationships/hyperlink" Target="http://pbs.twimg.com/profile_images/1137424829051744257/7v30aTD8_normal.jpg" TargetMode="External"/><Relationship Id="rId5762" Type="http://schemas.openxmlformats.org/officeDocument/2006/relationships/hyperlink" Target="http://twitter.com/Dotspod1/statuses/1520886139317633030" TargetMode="External"/><Relationship Id="rId3100" Type="http://schemas.openxmlformats.org/officeDocument/2006/relationships/hyperlink" Target="http://twitter.com/Superbusinesz/statuses/1521017915100827649" TargetMode="External"/><Relationship Id="rId4431" Type="http://schemas.openxmlformats.org/officeDocument/2006/relationships/hyperlink" Target="http://pbs.twimg.com/profile_images/1371036955169976320/gzeB8qQs_normal.jpg" TargetMode="External"/><Relationship Id="rId4430" Type="http://schemas.openxmlformats.org/officeDocument/2006/relationships/hyperlink" Target="http://twitter.com/RJFortescue/statuses/1520969181432549376" TargetMode="External"/><Relationship Id="rId5760" Type="http://schemas.openxmlformats.org/officeDocument/2006/relationships/hyperlink" Target="http://twitter.com/CathyFitz27/statuses/1520886194195812353" TargetMode="External"/><Relationship Id="rId3102" Type="http://schemas.openxmlformats.org/officeDocument/2006/relationships/hyperlink" Target="http://twitter.com/helkala/statuses/1521017891621122048" TargetMode="External"/><Relationship Id="rId4433" Type="http://schemas.openxmlformats.org/officeDocument/2006/relationships/hyperlink" Target="http://abs.twimg.com/sticky/default_profile_images/default_profile_normal.png" TargetMode="External"/><Relationship Id="rId5765" Type="http://schemas.openxmlformats.org/officeDocument/2006/relationships/hyperlink" Target="http://pbs.twimg.com/profile_images/1512663942056792065/PqFMm9w1_normal.jpg" TargetMode="External"/><Relationship Id="rId3101" Type="http://schemas.openxmlformats.org/officeDocument/2006/relationships/hyperlink" Target="http://pbs.twimg.com/profile_images/1380405942840393728/XtfXCITP_normal.jpg" TargetMode="External"/><Relationship Id="rId4432" Type="http://schemas.openxmlformats.org/officeDocument/2006/relationships/hyperlink" Target="http://twitter.com/AHaglington/statuses/1520968098622455811" TargetMode="External"/><Relationship Id="rId5766" Type="http://schemas.openxmlformats.org/officeDocument/2006/relationships/hyperlink" Target="http://twitter.com/bear_risa/statuses/1520885949537783808" TargetMode="External"/><Relationship Id="rId3104" Type="http://schemas.openxmlformats.org/officeDocument/2006/relationships/hyperlink" Target="http://twitter.com/gwstenby/statuses/1521017885283528707" TargetMode="External"/><Relationship Id="rId4435" Type="http://schemas.openxmlformats.org/officeDocument/2006/relationships/hyperlink" Target="http://pbs.twimg.com/profile_images/767040040786690048/jBD0SHWQ_normal.jpg" TargetMode="External"/><Relationship Id="rId5763" Type="http://schemas.openxmlformats.org/officeDocument/2006/relationships/hyperlink" Target="http://pbs.twimg.com/profile_images/1519795665752276992/IlG76RKj_normal.jpg" TargetMode="External"/><Relationship Id="rId3103" Type="http://schemas.openxmlformats.org/officeDocument/2006/relationships/hyperlink" Target="http://pbs.twimg.com/profile_images/1387482436922130433/6lr7KIVd_normal.jpg" TargetMode="External"/><Relationship Id="rId4434" Type="http://schemas.openxmlformats.org/officeDocument/2006/relationships/hyperlink" Target="http://twitter.com/angela_pardoe/statuses/1520967965554135042" TargetMode="External"/><Relationship Id="rId5764" Type="http://schemas.openxmlformats.org/officeDocument/2006/relationships/hyperlink" Target="http://twitter.com/AlasSmithJones/statuses/1520885996216369153" TargetMode="External"/><Relationship Id="rId3139" Type="http://schemas.openxmlformats.org/officeDocument/2006/relationships/hyperlink" Target="http://pbs.twimg.com/profile_images/1482791998742487046/AglwQCok_normal.jpg" TargetMode="External"/><Relationship Id="rId3138" Type="http://schemas.openxmlformats.org/officeDocument/2006/relationships/hyperlink" Target="http://twitter.com/ppadfiel/statuses/1521017217357393920" TargetMode="External"/><Relationship Id="rId4469" Type="http://schemas.openxmlformats.org/officeDocument/2006/relationships/hyperlink" Target="http://pbs.twimg.com/profile_images/825896794823340032/VmZWMGXe_normal.jpg" TargetMode="External"/><Relationship Id="rId5790" Type="http://schemas.openxmlformats.org/officeDocument/2006/relationships/hyperlink" Target="http://twitter.com/Mariannebuzz/statuses/1520885525959303168" TargetMode="External"/><Relationship Id="rId5791" Type="http://schemas.openxmlformats.org/officeDocument/2006/relationships/hyperlink" Target="http://pbs.twimg.com/profile_images/719073316473081856/f8r7XVlb_normal.jpg" TargetMode="External"/><Relationship Id="rId4460" Type="http://schemas.openxmlformats.org/officeDocument/2006/relationships/hyperlink" Target="http://twitter.com/TheGlobalSpring/statuses/1520965364456165376" TargetMode="External"/><Relationship Id="rId3131" Type="http://schemas.openxmlformats.org/officeDocument/2006/relationships/hyperlink" Target="http://pbs.twimg.com/profile_images/547495234502803456/aP1f_gV9_normal.jpeg" TargetMode="External"/><Relationship Id="rId4462" Type="http://schemas.openxmlformats.org/officeDocument/2006/relationships/hyperlink" Target="http://twitter.com/botanic_my/statuses/1520965317052321792" TargetMode="External"/><Relationship Id="rId5794" Type="http://schemas.openxmlformats.org/officeDocument/2006/relationships/hyperlink" Target="http://twitter.com/Col_Bogey/statuses/1520885486490988546" TargetMode="External"/><Relationship Id="rId3130" Type="http://schemas.openxmlformats.org/officeDocument/2006/relationships/hyperlink" Target="http://twitter.com/Patrici06779076/statuses/1521017440418902017" TargetMode="External"/><Relationship Id="rId4461" Type="http://schemas.openxmlformats.org/officeDocument/2006/relationships/hyperlink" Target="http://pbs.twimg.com/profile_images/1188048406561918981/MHEPajYL_normal.jpg" TargetMode="External"/><Relationship Id="rId5795" Type="http://schemas.openxmlformats.org/officeDocument/2006/relationships/hyperlink" Target="http://pbs.twimg.com/profile_images/1497667878094618629/AU09cIhg_normal.jpg" TargetMode="External"/><Relationship Id="rId3133" Type="http://schemas.openxmlformats.org/officeDocument/2006/relationships/hyperlink" Target="http://pbs.twimg.com/profile_images/747755582866751488/HQhrB8jn_normal.jpg" TargetMode="External"/><Relationship Id="rId4464" Type="http://schemas.openxmlformats.org/officeDocument/2006/relationships/hyperlink" Target="http://twitter.com/botanic_my/statuses/1520965286693904384" TargetMode="External"/><Relationship Id="rId5792" Type="http://schemas.openxmlformats.org/officeDocument/2006/relationships/hyperlink" Target="http://twitter.com/griseldamussett/statuses/1520885524193587201" TargetMode="External"/><Relationship Id="rId3132" Type="http://schemas.openxmlformats.org/officeDocument/2006/relationships/hyperlink" Target="http://twitter.com/KennyBhoyKerr/statuses/1521017436866334720" TargetMode="External"/><Relationship Id="rId4463" Type="http://schemas.openxmlformats.org/officeDocument/2006/relationships/hyperlink" Target="http://pbs.twimg.com/profile_images/1188048406561918981/MHEPajYL_normal.jpg" TargetMode="External"/><Relationship Id="rId5793" Type="http://schemas.openxmlformats.org/officeDocument/2006/relationships/hyperlink" Target="http://pbs.twimg.com/profile_images/746248576305602561/LA4OsXql_normal.jpg" TargetMode="External"/><Relationship Id="rId3135" Type="http://schemas.openxmlformats.org/officeDocument/2006/relationships/hyperlink" Target="http://pbs.twimg.com/profile_images/1369257196773597190/FcPM0iAl_normal.jpg" TargetMode="External"/><Relationship Id="rId4466" Type="http://schemas.openxmlformats.org/officeDocument/2006/relationships/hyperlink" Target="http://twitter.com/botanic_my/statuses/1520965265248468992" TargetMode="External"/><Relationship Id="rId5798" Type="http://schemas.openxmlformats.org/officeDocument/2006/relationships/hyperlink" Target="http://twitter.com/shindaej/statuses/1520885257188347904" TargetMode="External"/><Relationship Id="rId3134" Type="http://schemas.openxmlformats.org/officeDocument/2006/relationships/hyperlink" Target="http://twitter.com/AylingMiriam/statuses/1521017359795998720" TargetMode="External"/><Relationship Id="rId4465" Type="http://schemas.openxmlformats.org/officeDocument/2006/relationships/hyperlink" Target="http://pbs.twimg.com/profile_images/1188048406561918981/MHEPajYL_normal.jpg" TargetMode="External"/><Relationship Id="rId5799" Type="http://schemas.openxmlformats.org/officeDocument/2006/relationships/hyperlink" Target="http://pbs.twimg.com/profile_images/894524829025673216/a6_vmDW7_normal.jpg" TargetMode="External"/><Relationship Id="rId3137" Type="http://schemas.openxmlformats.org/officeDocument/2006/relationships/hyperlink" Target="http://pbs.twimg.com/profile_images/1260518543856197633/D3j1aRbq_normal.jpg" TargetMode="External"/><Relationship Id="rId4468" Type="http://schemas.openxmlformats.org/officeDocument/2006/relationships/hyperlink" Target="http://twitter.com/TheGlobalSpring/statuses/1520965011098677248" TargetMode="External"/><Relationship Id="rId5796" Type="http://schemas.openxmlformats.org/officeDocument/2006/relationships/hyperlink" Target="http://twitter.com/philcox99/statuses/1520885288200978433" TargetMode="External"/><Relationship Id="rId3136" Type="http://schemas.openxmlformats.org/officeDocument/2006/relationships/hyperlink" Target="http://twitter.com/dohay22/statuses/1521017316179382272" TargetMode="External"/><Relationship Id="rId4467" Type="http://schemas.openxmlformats.org/officeDocument/2006/relationships/hyperlink" Target="http://pbs.twimg.com/profile_images/378800000221244634/b3cf7394513127e088559989ae0577ca_normal.jpeg" TargetMode="External"/><Relationship Id="rId5797" Type="http://schemas.openxmlformats.org/officeDocument/2006/relationships/hyperlink" Target="http://pbs.twimg.com/profile_images/1358717451362578434/69f0MXY1_normal.jpg" TargetMode="External"/><Relationship Id="rId3128" Type="http://schemas.openxmlformats.org/officeDocument/2006/relationships/hyperlink" Target="http://twitter.com/GeorgeH85808006/statuses/1521017475315417089" TargetMode="External"/><Relationship Id="rId4459" Type="http://schemas.openxmlformats.org/officeDocument/2006/relationships/hyperlink" Target="http://pbs.twimg.com/profile_images/378800000221244634/b3cf7394513127e088559989ae0577ca_normal.jpeg" TargetMode="External"/><Relationship Id="rId3127" Type="http://schemas.openxmlformats.org/officeDocument/2006/relationships/hyperlink" Target="http://abs.twimg.com/sticky/default_profile_images/default_profile_normal.png" TargetMode="External"/><Relationship Id="rId4458" Type="http://schemas.openxmlformats.org/officeDocument/2006/relationships/hyperlink" Target="http://twitter.com/TerryBush14/statuses/1520966018641776640" TargetMode="External"/><Relationship Id="rId5789" Type="http://schemas.openxmlformats.org/officeDocument/2006/relationships/hyperlink" Target="http://pbs.twimg.com/profile_images/873495481204211712/96endAs__normal.jpg" TargetMode="External"/><Relationship Id="rId3129" Type="http://schemas.openxmlformats.org/officeDocument/2006/relationships/hyperlink" Target="http://pbs.twimg.com/profile_images/1498633174787796994/wSl_ynyG_normal.jpg" TargetMode="External"/><Relationship Id="rId5780" Type="http://schemas.openxmlformats.org/officeDocument/2006/relationships/hyperlink" Target="http://twitter.com/TheManicBuddha/statuses/1520885662215516163" TargetMode="External"/><Relationship Id="rId3120" Type="http://schemas.openxmlformats.org/officeDocument/2006/relationships/hyperlink" Target="http://twitter.com/EastKent_EM/statuses/1521017679133425665" TargetMode="External"/><Relationship Id="rId4451" Type="http://schemas.openxmlformats.org/officeDocument/2006/relationships/hyperlink" Target="http://pbs.twimg.com/profile_images/1029102482021076993/IU8k0uQO_normal.jpg" TargetMode="External"/><Relationship Id="rId5783" Type="http://schemas.openxmlformats.org/officeDocument/2006/relationships/hyperlink" Target="http://pbs.twimg.com/profile_images/1488981874429022212/q4nhyo_R_normal.jpg" TargetMode="External"/><Relationship Id="rId4450" Type="http://schemas.openxmlformats.org/officeDocument/2006/relationships/hyperlink" Target="http://twitter.com/AHaglington/statuses/1520966678431121409" TargetMode="External"/><Relationship Id="rId5784" Type="http://schemas.openxmlformats.org/officeDocument/2006/relationships/hyperlink" Target="http://twitter.com/GavinKMurray/statuses/1520885553272664072" TargetMode="External"/><Relationship Id="rId3122" Type="http://schemas.openxmlformats.org/officeDocument/2006/relationships/hyperlink" Target="http://twitter.com/RobB_W1/statuses/1521017570857558016" TargetMode="External"/><Relationship Id="rId4453" Type="http://schemas.openxmlformats.org/officeDocument/2006/relationships/hyperlink" Target="http://pbs.twimg.com/profile_images/1109936557178404871/KJC3v4w6_normal.jpg" TargetMode="External"/><Relationship Id="rId5781" Type="http://schemas.openxmlformats.org/officeDocument/2006/relationships/hyperlink" Target="http://pbs.twimg.com/profile_images/813386765927120896/_K69hT6h_normal.jpg" TargetMode="External"/><Relationship Id="rId3121" Type="http://schemas.openxmlformats.org/officeDocument/2006/relationships/hyperlink" Target="http://pbs.twimg.com/profile_images/1511767115702878212/iwgzidMr_normal.jpg" TargetMode="External"/><Relationship Id="rId4452" Type="http://schemas.openxmlformats.org/officeDocument/2006/relationships/hyperlink" Target="http://twitter.com/FitzioJ/statuses/1520966455839592448" TargetMode="External"/><Relationship Id="rId5782" Type="http://schemas.openxmlformats.org/officeDocument/2006/relationships/hyperlink" Target="http://twitter.com/RobertFillies1/statuses/1520885657027100674" TargetMode="External"/><Relationship Id="rId3124" Type="http://schemas.openxmlformats.org/officeDocument/2006/relationships/hyperlink" Target="http://twitter.com/tomprimrose/statuses/1521017540411023362" TargetMode="External"/><Relationship Id="rId4455" Type="http://schemas.openxmlformats.org/officeDocument/2006/relationships/hyperlink" Target="http://pbs.twimg.com/profile_images/1346180517289472002/BXj9Ej9W_normal.png" TargetMode="External"/><Relationship Id="rId5787" Type="http://schemas.openxmlformats.org/officeDocument/2006/relationships/hyperlink" Target="http://pbs.twimg.com/profile_images/757867226334658560/ds6vR7aR_normal.jpg" TargetMode="External"/><Relationship Id="rId3123" Type="http://schemas.openxmlformats.org/officeDocument/2006/relationships/hyperlink" Target="http://pbs.twimg.com/profile_images/937467358486171648/0X51yser_normal.jpg" TargetMode="External"/><Relationship Id="rId4454" Type="http://schemas.openxmlformats.org/officeDocument/2006/relationships/hyperlink" Target="http://twitter.com/ValerieJStorm/statuses/1520966364713783296" TargetMode="External"/><Relationship Id="rId5788" Type="http://schemas.openxmlformats.org/officeDocument/2006/relationships/hyperlink" Target="http://twitter.com/ThatCarterBlunt/statuses/1520885540396097553" TargetMode="External"/><Relationship Id="rId3126" Type="http://schemas.openxmlformats.org/officeDocument/2006/relationships/hyperlink" Target="http://twitter.com/bionic_dread/statuses/1521017539299577857" TargetMode="External"/><Relationship Id="rId4457" Type="http://schemas.openxmlformats.org/officeDocument/2006/relationships/hyperlink" Target="http://pbs.twimg.com/profile_images/3690164733/9f4fc3c4c1b12a50d67220914fcea0c7_normal.jpeg" TargetMode="External"/><Relationship Id="rId5785" Type="http://schemas.openxmlformats.org/officeDocument/2006/relationships/hyperlink" Target="http://pbs.twimg.com/profile_images/1864891237/DSC00709_normal.JPG" TargetMode="External"/><Relationship Id="rId3125" Type="http://schemas.openxmlformats.org/officeDocument/2006/relationships/hyperlink" Target="http://pbs.twimg.com/profile_images/1379355680126201856/Ff8p8fBn_normal.png" TargetMode="External"/><Relationship Id="rId4456" Type="http://schemas.openxmlformats.org/officeDocument/2006/relationships/hyperlink" Target="http://twitter.com/RestoreHope_20/statuses/1520966347760439296" TargetMode="External"/><Relationship Id="rId5786" Type="http://schemas.openxmlformats.org/officeDocument/2006/relationships/hyperlink" Target="http://twitter.com/CaroleBee1/statuses/1520885544103911424" TargetMode="External"/><Relationship Id="rId1378" Type="http://schemas.openxmlformats.org/officeDocument/2006/relationships/hyperlink" Target="http://twitter.com/judecambridge/statuses/1521047805435027457" TargetMode="External"/><Relationship Id="rId4404" Type="http://schemas.openxmlformats.org/officeDocument/2006/relationships/hyperlink" Target="http://twitter.com/BaioniNazzareno/statuses/1520972784473714688" TargetMode="External"/><Relationship Id="rId5736" Type="http://schemas.openxmlformats.org/officeDocument/2006/relationships/hyperlink" Target="http://twitter.com/rogerBrumUK/statuses/1520886570676543488" TargetMode="External"/><Relationship Id="rId1379" Type="http://schemas.openxmlformats.org/officeDocument/2006/relationships/hyperlink" Target="http://pbs.twimg.com/profile_images/1244172536725868544/1DYOgz2G_normal.jpg" TargetMode="External"/><Relationship Id="rId4403" Type="http://schemas.openxmlformats.org/officeDocument/2006/relationships/hyperlink" Target="http://pbs.twimg.com/profile_images/1702354292/image_normal.jpg" TargetMode="External"/><Relationship Id="rId5737" Type="http://schemas.openxmlformats.org/officeDocument/2006/relationships/hyperlink" Target="http://pbs.twimg.com/profile_images/835290007975780352/-twDi0fb_normal.jpg" TargetMode="External"/><Relationship Id="rId4406" Type="http://schemas.openxmlformats.org/officeDocument/2006/relationships/hyperlink" Target="http://twitter.com/BrynCleat/statuses/1520972749971148800" TargetMode="External"/><Relationship Id="rId5734" Type="http://schemas.openxmlformats.org/officeDocument/2006/relationships/hyperlink" Target="http://twitter.com/Carlsonsports/statuses/1520886672027750406" TargetMode="External"/><Relationship Id="rId4405" Type="http://schemas.openxmlformats.org/officeDocument/2006/relationships/hyperlink" Target="http://pbs.twimg.com/profile_images/1316066824505757700/N4_m6pBq_normal.jpg" TargetMode="External"/><Relationship Id="rId5735" Type="http://schemas.openxmlformats.org/officeDocument/2006/relationships/hyperlink" Target="http://pbs.twimg.com/profile_images/1252787713/bull_normal.jpg" TargetMode="External"/><Relationship Id="rId4408" Type="http://schemas.openxmlformats.org/officeDocument/2006/relationships/hyperlink" Target="http://twitter.com/AHaglington/statuses/1520972380260249600" TargetMode="External"/><Relationship Id="rId4407" Type="http://schemas.openxmlformats.org/officeDocument/2006/relationships/hyperlink" Target="http://pbs.twimg.com/profile_images/1371036955169976320/gzeB8qQs_normal.jpg" TargetMode="External"/><Relationship Id="rId5738" Type="http://schemas.openxmlformats.org/officeDocument/2006/relationships/hyperlink" Target="http://twitter.com/mrggibson/statuses/1520886565924311040" TargetMode="External"/><Relationship Id="rId4409" Type="http://schemas.openxmlformats.org/officeDocument/2006/relationships/hyperlink" Target="http://pbs.twimg.com/profile_images/481959880132022272/f-LCTRnX_normal.png" TargetMode="External"/><Relationship Id="rId5739" Type="http://schemas.openxmlformats.org/officeDocument/2006/relationships/hyperlink" Target="http://pbs.twimg.com/profile_images/1241306485549826050/Imyq3-V-_normal.jpg" TargetMode="External"/><Relationship Id="rId789" Type="http://schemas.openxmlformats.org/officeDocument/2006/relationships/hyperlink" Target="http://pbs.twimg.com/profile_images/1091243084862627840/r6bJRGFZ_normal.jpg" TargetMode="External"/><Relationship Id="rId788" Type="http://schemas.openxmlformats.org/officeDocument/2006/relationships/hyperlink" Target="http://twitter.com/DesMchlmcgnn/statuses/1521058552776900608" TargetMode="External"/><Relationship Id="rId787" Type="http://schemas.openxmlformats.org/officeDocument/2006/relationships/hyperlink" Target="http://pbs.twimg.com/profile_images/1385599414144733192/HAunSgsL_normal.jpg" TargetMode="External"/><Relationship Id="rId786" Type="http://schemas.openxmlformats.org/officeDocument/2006/relationships/hyperlink" Target="http://twitter.com/Itsuvoman/statuses/1521058565737304066" TargetMode="External"/><Relationship Id="rId781" Type="http://schemas.openxmlformats.org/officeDocument/2006/relationships/hyperlink" Target="http://pbs.twimg.com/profile_images/1385599414144733192/HAunSgsL_normal.jpg" TargetMode="External"/><Relationship Id="rId1370" Type="http://schemas.openxmlformats.org/officeDocument/2006/relationships/hyperlink" Target="http://twitter.com/rec777777/statuses/1521047939648565249" TargetMode="External"/><Relationship Id="rId780" Type="http://schemas.openxmlformats.org/officeDocument/2006/relationships/hyperlink" Target="http://twitter.com/LindaMa32012495/statuses/1521058671983308800" TargetMode="External"/><Relationship Id="rId1371" Type="http://schemas.openxmlformats.org/officeDocument/2006/relationships/hyperlink" Target="http://abs.twimg.com/sticky/default_profile_images/default_profile_normal.png" TargetMode="External"/><Relationship Id="rId1372" Type="http://schemas.openxmlformats.org/officeDocument/2006/relationships/hyperlink" Target="http://twitter.com/Lizziea73815526/statuses/1521047932992204804" TargetMode="External"/><Relationship Id="rId1373" Type="http://schemas.openxmlformats.org/officeDocument/2006/relationships/hyperlink" Target="http://pbs.twimg.com/profile_images/1135075290/003_normal.jpg" TargetMode="External"/><Relationship Id="rId785" Type="http://schemas.openxmlformats.org/officeDocument/2006/relationships/hyperlink" Target="http://abs.twimg.com/sticky/default_profile_images/default_profile_normal.png" TargetMode="External"/><Relationship Id="rId1374" Type="http://schemas.openxmlformats.org/officeDocument/2006/relationships/hyperlink" Target="http://twitter.com/Quemerford/statuses/1521047866759954432" TargetMode="External"/><Relationship Id="rId4400" Type="http://schemas.openxmlformats.org/officeDocument/2006/relationships/hyperlink" Target="http://twitter.com/BrexitLalaland/statuses/1520973054939222018" TargetMode="External"/><Relationship Id="rId5732" Type="http://schemas.openxmlformats.org/officeDocument/2006/relationships/hyperlink" Target="http://twitter.com/TeresaWeath/statuses/1520886751224639488" TargetMode="External"/><Relationship Id="rId784" Type="http://schemas.openxmlformats.org/officeDocument/2006/relationships/hyperlink" Target="http://twitter.com/DesMchlmcgnn/statuses/1521058608565604352" TargetMode="External"/><Relationship Id="rId1375" Type="http://schemas.openxmlformats.org/officeDocument/2006/relationships/hyperlink" Target="http://pbs.twimg.com/profile_images/1161339968905719808/tSw7PgYv_normal.jpg" TargetMode="External"/><Relationship Id="rId5733" Type="http://schemas.openxmlformats.org/officeDocument/2006/relationships/hyperlink" Target="http://pbs.twimg.com/profile_images/1292830896500940804/xWMEC67Y_normal.jpg" TargetMode="External"/><Relationship Id="rId783" Type="http://schemas.openxmlformats.org/officeDocument/2006/relationships/hyperlink" Target="http://pbs.twimg.com/profile_images/1385599414144733192/HAunSgsL_normal.jpg" TargetMode="External"/><Relationship Id="rId1376" Type="http://schemas.openxmlformats.org/officeDocument/2006/relationships/hyperlink" Target="http://twitter.com/CeeMacBee/statuses/1521047855435329542" TargetMode="External"/><Relationship Id="rId4402" Type="http://schemas.openxmlformats.org/officeDocument/2006/relationships/hyperlink" Target="http://twitter.com/TheresaMayOTR/statuses/1520973001000292354" TargetMode="External"/><Relationship Id="rId5730" Type="http://schemas.openxmlformats.org/officeDocument/2006/relationships/hyperlink" Target="http://twitter.com/MinzylikesJazz/statuses/1520886799681343490" TargetMode="External"/><Relationship Id="rId782" Type="http://schemas.openxmlformats.org/officeDocument/2006/relationships/hyperlink" Target="http://twitter.com/DesMchlmcgnn/statuses/1521058632535789568" TargetMode="External"/><Relationship Id="rId1377" Type="http://schemas.openxmlformats.org/officeDocument/2006/relationships/hyperlink" Target="http://pbs.twimg.com/profile_images/1169635826780782595/jwtqXxPy_normal.jpg" TargetMode="External"/><Relationship Id="rId4401" Type="http://schemas.openxmlformats.org/officeDocument/2006/relationships/hyperlink" Target="http://pbs.twimg.com/profile_images/862274709970354176/eQcXwJaa_normal.jpg" TargetMode="External"/><Relationship Id="rId5731" Type="http://schemas.openxmlformats.org/officeDocument/2006/relationships/hyperlink" Target="http://pbs.twimg.com/profile_images/1490092204366442508/HDtOOMuI_normal.jpg" TargetMode="External"/><Relationship Id="rId1367" Type="http://schemas.openxmlformats.org/officeDocument/2006/relationships/hyperlink" Target="http://pbs.twimg.com/profile_images/330222968/Photo_14_normal.jpg" TargetMode="External"/><Relationship Id="rId2698" Type="http://schemas.openxmlformats.org/officeDocument/2006/relationships/hyperlink" Target="http://twitter.com/RightAngleUK/statuses/1521025089172611072" TargetMode="External"/><Relationship Id="rId5725" Type="http://schemas.openxmlformats.org/officeDocument/2006/relationships/hyperlink" Target="http://pbs.twimg.com/profile_images/1490092204366442508/HDtOOMuI_normal.jpg" TargetMode="External"/><Relationship Id="rId1368" Type="http://schemas.openxmlformats.org/officeDocument/2006/relationships/hyperlink" Target="http://twitter.com/dirtybone/statuses/1521048075179020289" TargetMode="External"/><Relationship Id="rId2699" Type="http://schemas.openxmlformats.org/officeDocument/2006/relationships/hyperlink" Target="http://pbs.twimg.com/profile_images/451863998808350720/h6MGrp-h_normal.jpeg" TargetMode="External"/><Relationship Id="rId5726" Type="http://schemas.openxmlformats.org/officeDocument/2006/relationships/hyperlink" Target="http://twitter.com/TeresaWeath/statuses/1520886919277776897" TargetMode="External"/><Relationship Id="rId1369" Type="http://schemas.openxmlformats.org/officeDocument/2006/relationships/hyperlink" Target="http://pbs.twimg.com/profile_images/1505190376335974400/EuUA2O_1_normal.jpg" TargetMode="External"/><Relationship Id="rId5723" Type="http://schemas.openxmlformats.org/officeDocument/2006/relationships/hyperlink" Target="http://pbs.twimg.com/profile_images/1490092204366442508/HDtOOMuI_normal.jpg" TargetMode="External"/><Relationship Id="rId5724" Type="http://schemas.openxmlformats.org/officeDocument/2006/relationships/hyperlink" Target="http://twitter.com/TeresaWeath/statuses/1520886960038060039" TargetMode="External"/><Relationship Id="rId5729" Type="http://schemas.openxmlformats.org/officeDocument/2006/relationships/hyperlink" Target="http://pbs.twimg.com/profile_images/1348255311652642823/j6x2jJYa_normal.jpg" TargetMode="External"/><Relationship Id="rId5727" Type="http://schemas.openxmlformats.org/officeDocument/2006/relationships/hyperlink" Target="http://pbs.twimg.com/profile_images/575591713575587840/4c7Ndq0C_normal.jpeg" TargetMode="External"/><Relationship Id="rId5728" Type="http://schemas.openxmlformats.org/officeDocument/2006/relationships/hyperlink" Target="http://twitter.com/2busy2bhere/statuses/1520886914945097728" TargetMode="External"/><Relationship Id="rId778" Type="http://schemas.openxmlformats.org/officeDocument/2006/relationships/hyperlink" Target="http://twitter.com/CLLo_12/statuses/1521058756154560512" TargetMode="External"/><Relationship Id="rId777" Type="http://schemas.openxmlformats.org/officeDocument/2006/relationships/hyperlink" Target="http://abs.twimg.com/sticky/default_profile_images/default_profile_normal.png" TargetMode="External"/><Relationship Id="rId776" Type="http://schemas.openxmlformats.org/officeDocument/2006/relationships/hyperlink" Target="http://twitter.com/MUvonBulow/statuses/1521058784382177280" TargetMode="External"/><Relationship Id="rId775" Type="http://schemas.openxmlformats.org/officeDocument/2006/relationships/hyperlink" Target="http://pbs.twimg.com/profile_images/1515977894258003970/-K6DVu_L_normal.jpg" TargetMode="External"/><Relationship Id="rId779" Type="http://schemas.openxmlformats.org/officeDocument/2006/relationships/hyperlink" Target="http://abs.twimg.com/sticky/default_profile_images/default_profile_normal.png" TargetMode="External"/><Relationship Id="rId770" Type="http://schemas.openxmlformats.org/officeDocument/2006/relationships/hyperlink" Target="http://twitter.com/annehadet1/statuses/1521058867693694976" TargetMode="External"/><Relationship Id="rId2690" Type="http://schemas.openxmlformats.org/officeDocument/2006/relationships/hyperlink" Target="http://twitter.com/LizaAntrim/statuses/1521025243971735552" TargetMode="External"/><Relationship Id="rId1360" Type="http://schemas.openxmlformats.org/officeDocument/2006/relationships/hyperlink" Target="http://twitter.com/MiuWasHere/statuses/1521048163439857664" TargetMode="External"/><Relationship Id="rId2691" Type="http://schemas.openxmlformats.org/officeDocument/2006/relationships/hyperlink" Target="http://pbs.twimg.com/profile_images/451863998808350720/h6MGrp-h_normal.jpeg" TargetMode="External"/><Relationship Id="rId1361" Type="http://schemas.openxmlformats.org/officeDocument/2006/relationships/hyperlink" Target="http://pbs.twimg.com/profile_images/1045962231966568449/QSdpx4UA_normal.jpg" TargetMode="External"/><Relationship Id="rId2692" Type="http://schemas.openxmlformats.org/officeDocument/2006/relationships/hyperlink" Target="http://twitter.com/RightAngleUK/statuses/1521025214359945216" TargetMode="External"/><Relationship Id="rId1362" Type="http://schemas.openxmlformats.org/officeDocument/2006/relationships/hyperlink" Target="http://twitter.com/TimInSuffolk/statuses/1521048157915947008" TargetMode="External"/><Relationship Id="rId2693" Type="http://schemas.openxmlformats.org/officeDocument/2006/relationships/hyperlink" Target="http://pbs.twimg.com/profile_images/451863998808350720/h6MGrp-h_normal.jpeg" TargetMode="External"/><Relationship Id="rId774" Type="http://schemas.openxmlformats.org/officeDocument/2006/relationships/hyperlink" Target="http://twitter.com/themarkloan/statuses/1521058840195878912" TargetMode="External"/><Relationship Id="rId1363" Type="http://schemas.openxmlformats.org/officeDocument/2006/relationships/hyperlink" Target="http://pbs.twimg.com/profile_images/1567878397/numan_6_normal.jpg" TargetMode="External"/><Relationship Id="rId2694" Type="http://schemas.openxmlformats.org/officeDocument/2006/relationships/hyperlink" Target="http://twitter.com/RightAngleUK/statuses/1521025139818876929" TargetMode="External"/><Relationship Id="rId5721" Type="http://schemas.openxmlformats.org/officeDocument/2006/relationships/hyperlink" Target="http://pbs.twimg.com/profile_images/1490092204366442508/HDtOOMuI_normal.jpg" TargetMode="External"/><Relationship Id="rId773" Type="http://schemas.openxmlformats.org/officeDocument/2006/relationships/hyperlink" Target="http://pbs.twimg.com/profile_images/378800000661847482/d27d6ea3d6cca3735db4d1d2090247d9_normal.jpeg" TargetMode="External"/><Relationship Id="rId1364" Type="http://schemas.openxmlformats.org/officeDocument/2006/relationships/hyperlink" Target="http://twitter.com/FXspacetrader/statuses/1521048138580123648" TargetMode="External"/><Relationship Id="rId2695" Type="http://schemas.openxmlformats.org/officeDocument/2006/relationships/hyperlink" Target="http://pbs.twimg.com/profile_images/608264423174762497/hv8R7vCc_normal.jpg" TargetMode="External"/><Relationship Id="rId5722" Type="http://schemas.openxmlformats.org/officeDocument/2006/relationships/hyperlink" Target="http://twitter.com/TeresaWeath/statuses/1520886996364845059" TargetMode="External"/><Relationship Id="rId772" Type="http://schemas.openxmlformats.org/officeDocument/2006/relationships/hyperlink" Target="http://twitter.com/themarkloan/statuses/1521058853416325123" TargetMode="External"/><Relationship Id="rId1365" Type="http://schemas.openxmlformats.org/officeDocument/2006/relationships/hyperlink" Target="http://abs.twimg.com/sticky/default_profile_images/default_profile_normal.png" TargetMode="External"/><Relationship Id="rId2696" Type="http://schemas.openxmlformats.org/officeDocument/2006/relationships/hyperlink" Target="http://twitter.com/wh500w/statuses/1521025110446157825" TargetMode="External"/><Relationship Id="rId771" Type="http://schemas.openxmlformats.org/officeDocument/2006/relationships/hyperlink" Target="http://pbs.twimg.com/profile_images/378800000661847482/d27d6ea3d6cca3735db4d1d2090247d9_normal.jpeg" TargetMode="External"/><Relationship Id="rId1366" Type="http://schemas.openxmlformats.org/officeDocument/2006/relationships/hyperlink" Target="http://twitter.com/jezobrien/statuses/1521048111128498178" TargetMode="External"/><Relationship Id="rId2697" Type="http://schemas.openxmlformats.org/officeDocument/2006/relationships/hyperlink" Target="http://pbs.twimg.com/profile_images/451863998808350720/h6MGrp-h_normal.jpeg" TargetMode="External"/><Relationship Id="rId5720" Type="http://schemas.openxmlformats.org/officeDocument/2006/relationships/hyperlink" Target="http://twitter.com/TeresaWeath/statuses/1520887025385234454" TargetMode="External"/><Relationship Id="rId4426" Type="http://schemas.openxmlformats.org/officeDocument/2006/relationships/hyperlink" Target="http://twitter.com/mark147852/statuses/1520969383803518976" TargetMode="External"/><Relationship Id="rId5758" Type="http://schemas.openxmlformats.org/officeDocument/2006/relationships/hyperlink" Target="http://twitter.com/jimryan68/statuses/1520886260470009861" TargetMode="External"/><Relationship Id="rId4425" Type="http://schemas.openxmlformats.org/officeDocument/2006/relationships/hyperlink" Target="http://pbs.twimg.com/profile_images/1344929783365427200/SM5QFO6A_normal.jpg" TargetMode="External"/><Relationship Id="rId5759" Type="http://schemas.openxmlformats.org/officeDocument/2006/relationships/hyperlink" Target="http://abs.twimg.com/sticky/default_profile_images/default_profile_normal.png" TargetMode="External"/><Relationship Id="rId4428" Type="http://schemas.openxmlformats.org/officeDocument/2006/relationships/hyperlink" Target="http://twitter.com/PhillipsBarrie/statuses/1520969378216382464" TargetMode="External"/><Relationship Id="rId5756" Type="http://schemas.openxmlformats.org/officeDocument/2006/relationships/hyperlink" Target="http://twitter.com/kernowsonofthor/statuses/1520886298613108742" TargetMode="External"/><Relationship Id="rId4427" Type="http://schemas.openxmlformats.org/officeDocument/2006/relationships/hyperlink" Target="http://pbs.twimg.com/profile_images/562949307423145984/on6QWZvT_normal.jpeg" TargetMode="External"/><Relationship Id="rId5757" Type="http://schemas.openxmlformats.org/officeDocument/2006/relationships/hyperlink" Target="http://pbs.twimg.com/profile_images/1374066384444002326/17RnR42Z_normal.jpg" TargetMode="External"/><Relationship Id="rId4429" Type="http://schemas.openxmlformats.org/officeDocument/2006/relationships/hyperlink" Target="http://pbs.twimg.com/profile_images/1286976158907719682/lgX4I94X_normal.jpg" TargetMode="External"/><Relationship Id="rId1390" Type="http://schemas.openxmlformats.org/officeDocument/2006/relationships/hyperlink" Target="http://twitter.com/Hubertelski/statuses/1521047576992231424" TargetMode="External"/><Relationship Id="rId1391" Type="http://schemas.openxmlformats.org/officeDocument/2006/relationships/hyperlink" Target="http://pbs.twimg.com/profile_images/1517213148784340995/ZDpGvWRK_normal.jpg" TargetMode="External"/><Relationship Id="rId1392" Type="http://schemas.openxmlformats.org/officeDocument/2006/relationships/hyperlink" Target="http://twitter.com/Lukecm68/statuses/1521047575524261889" TargetMode="External"/><Relationship Id="rId5750" Type="http://schemas.openxmlformats.org/officeDocument/2006/relationships/hyperlink" Target="http://twitter.com/EddieDa18107857/statuses/1520886392519286789" TargetMode="External"/><Relationship Id="rId1393" Type="http://schemas.openxmlformats.org/officeDocument/2006/relationships/hyperlink" Target="http://pbs.twimg.com/profile_images/1497948647115403265/IHcKF996_normal.jpg" TargetMode="External"/><Relationship Id="rId5751" Type="http://schemas.openxmlformats.org/officeDocument/2006/relationships/hyperlink" Target="http://pbs.twimg.com/profile_images/1246049471277846528/Bi1cP-hn_normal.jpg" TargetMode="External"/><Relationship Id="rId1394" Type="http://schemas.openxmlformats.org/officeDocument/2006/relationships/hyperlink" Target="http://twitter.com/HalseyJane/statuses/1521047570533003266" TargetMode="External"/><Relationship Id="rId4420" Type="http://schemas.openxmlformats.org/officeDocument/2006/relationships/hyperlink" Target="http://twitter.com/AHaglington/statuses/1520970768510853121" TargetMode="External"/><Relationship Id="rId1395" Type="http://schemas.openxmlformats.org/officeDocument/2006/relationships/hyperlink" Target="http://pbs.twimg.com/profile_images/1330962155/DOVEblue_normal.jpg" TargetMode="External"/><Relationship Id="rId1396" Type="http://schemas.openxmlformats.org/officeDocument/2006/relationships/hyperlink" Target="http://twitter.com/shotwithspirit/statuses/1521047557056647173" TargetMode="External"/><Relationship Id="rId4422" Type="http://schemas.openxmlformats.org/officeDocument/2006/relationships/hyperlink" Target="http://twitter.com/LindaStewart3/statuses/1520970171233447944" TargetMode="External"/><Relationship Id="rId5754" Type="http://schemas.openxmlformats.org/officeDocument/2006/relationships/hyperlink" Target="http://twitter.com/Pjacksdelacour/statuses/1520886365604528130" TargetMode="External"/><Relationship Id="rId1397" Type="http://schemas.openxmlformats.org/officeDocument/2006/relationships/hyperlink" Target="http://pbs.twimg.com/profile_images/1143918675554123777/exvliiB6_normal.jpg" TargetMode="External"/><Relationship Id="rId4421" Type="http://schemas.openxmlformats.org/officeDocument/2006/relationships/hyperlink" Target="http://pbs.twimg.com/profile_images/1282430255471439872/gZwr9iyR_normal.jpg" TargetMode="External"/><Relationship Id="rId5755" Type="http://schemas.openxmlformats.org/officeDocument/2006/relationships/hyperlink" Target="http://pbs.twimg.com/profile_images/1520553040947863552/IzWlmS5k_normal.jpg" TargetMode="External"/><Relationship Id="rId1398" Type="http://schemas.openxmlformats.org/officeDocument/2006/relationships/hyperlink" Target="http://twitter.com/JPLT59/statuses/1521047503969427456" TargetMode="External"/><Relationship Id="rId4424" Type="http://schemas.openxmlformats.org/officeDocument/2006/relationships/hyperlink" Target="http://twitter.com/ronbuch/statuses/1520969939649130498" TargetMode="External"/><Relationship Id="rId5752" Type="http://schemas.openxmlformats.org/officeDocument/2006/relationships/hyperlink" Target="http://twitter.com/lluna_lcluna/statuses/1520886369752690693" TargetMode="External"/><Relationship Id="rId1399" Type="http://schemas.openxmlformats.org/officeDocument/2006/relationships/hyperlink" Target="http://abs.twimg.com/sticky/default_profile_images/default_profile_normal.png" TargetMode="External"/><Relationship Id="rId4423" Type="http://schemas.openxmlformats.org/officeDocument/2006/relationships/hyperlink" Target="http://pbs.twimg.com/profile_images/1412642165843402752/CINlrLtA_normal.jpg" TargetMode="External"/><Relationship Id="rId5753" Type="http://schemas.openxmlformats.org/officeDocument/2006/relationships/hyperlink" Target="http://pbs.twimg.com/profile_images/1241306485549826050/Imyq3-V-_normal.jpg" TargetMode="External"/><Relationship Id="rId1389" Type="http://schemas.openxmlformats.org/officeDocument/2006/relationships/hyperlink" Target="http://pbs.twimg.com/profile_images/1145332215/Image002_normal.jpg" TargetMode="External"/><Relationship Id="rId4415" Type="http://schemas.openxmlformats.org/officeDocument/2006/relationships/hyperlink" Target="http://pbs.twimg.com/profile_images/1224045547192909824/ge12jZeR_normal.jpg" TargetMode="External"/><Relationship Id="rId5747" Type="http://schemas.openxmlformats.org/officeDocument/2006/relationships/hyperlink" Target="http://pbs.twimg.com/profile_images/1241306485549826050/Imyq3-V-_normal.jpg" TargetMode="External"/><Relationship Id="rId4414" Type="http://schemas.openxmlformats.org/officeDocument/2006/relationships/hyperlink" Target="http://twitter.com/PrimeFXltd/statuses/1520970950355079168" TargetMode="External"/><Relationship Id="rId5748" Type="http://schemas.openxmlformats.org/officeDocument/2006/relationships/hyperlink" Target="http://twitter.com/Pjacksdelacour/statuses/1520886447166963745" TargetMode="External"/><Relationship Id="rId4417" Type="http://schemas.openxmlformats.org/officeDocument/2006/relationships/hyperlink" Target="http://pbs.twimg.com/profile_images/1371036955169976320/gzeB8qQs_normal.jpg" TargetMode="External"/><Relationship Id="rId5745" Type="http://schemas.openxmlformats.org/officeDocument/2006/relationships/hyperlink" Target="http://abs.twimg.com/sticky/default_profile_images/default_profile_normal.png" TargetMode="External"/><Relationship Id="rId4416" Type="http://schemas.openxmlformats.org/officeDocument/2006/relationships/hyperlink" Target="http://twitter.com/jaypwright/statuses/1520970917194526720" TargetMode="External"/><Relationship Id="rId5746" Type="http://schemas.openxmlformats.org/officeDocument/2006/relationships/hyperlink" Target="http://twitter.com/Sam19803119/statuses/1520886451289866242" TargetMode="External"/><Relationship Id="rId4419" Type="http://schemas.openxmlformats.org/officeDocument/2006/relationships/hyperlink" Target="http://pbs.twimg.com/profile_images/1371036955169976320/gzeB8qQs_normal.jpg" TargetMode="External"/><Relationship Id="rId4418" Type="http://schemas.openxmlformats.org/officeDocument/2006/relationships/hyperlink" Target="http://twitter.com/AHaglington/statuses/1520970803549986821" TargetMode="External"/><Relationship Id="rId5749" Type="http://schemas.openxmlformats.org/officeDocument/2006/relationships/hyperlink" Target="http://abs.twimg.com/sticky/default_profile_images/default_profile_normal.png" TargetMode="External"/><Relationship Id="rId799" Type="http://schemas.openxmlformats.org/officeDocument/2006/relationships/hyperlink" Target="http://pbs.twimg.com/profile_images/1448343546700996614/epnc85--_normal.jpg" TargetMode="External"/><Relationship Id="rId798" Type="http://schemas.openxmlformats.org/officeDocument/2006/relationships/hyperlink" Target="http://twitter.com/June_Roche/statuses/1521058279182540800" TargetMode="External"/><Relationship Id="rId797" Type="http://schemas.openxmlformats.org/officeDocument/2006/relationships/hyperlink" Target="http://pbs.twimg.com/profile_images/912491636260777984/-bFyIEQw_normal.jpg" TargetMode="External"/><Relationship Id="rId1380" Type="http://schemas.openxmlformats.org/officeDocument/2006/relationships/hyperlink" Target="http://twitter.com/its4me23/statuses/1521047799873347585" TargetMode="External"/><Relationship Id="rId792" Type="http://schemas.openxmlformats.org/officeDocument/2006/relationships/hyperlink" Target="http://twitter.com/DesMchlmcgnn/statuses/1521058482916573184" TargetMode="External"/><Relationship Id="rId1381" Type="http://schemas.openxmlformats.org/officeDocument/2006/relationships/hyperlink" Target="http://pbs.twimg.com/profile_images/1497585812506034180/09kWNLA-_normal.jpg" TargetMode="External"/><Relationship Id="rId791" Type="http://schemas.openxmlformats.org/officeDocument/2006/relationships/hyperlink" Target="http://pbs.twimg.com/profile_images/1385599414144733192/HAunSgsL_normal.jpg" TargetMode="External"/><Relationship Id="rId1382" Type="http://schemas.openxmlformats.org/officeDocument/2006/relationships/hyperlink" Target="http://twitter.com/valuestoimpact/statuses/1521047680109223939" TargetMode="External"/><Relationship Id="rId5740" Type="http://schemas.openxmlformats.org/officeDocument/2006/relationships/hyperlink" Target="http://twitter.com/Pjacksdelacour/statuses/1520886565546905602" TargetMode="External"/><Relationship Id="rId790" Type="http://schemas.openxmlformats.org/officeDocument/2006/relationships/hyperlink" Target="http://twitter.com/Peter24P/statuses/1521058533348884480" TargetMode="External"/><Relationship Id="rId1383" Type="http://schemas.openxmlformats.org/officeDocument/2006/relationships/hyperlink" Target="http://pbs.twimg.com/profile_images/736499979662032896/zh9Xc2gN_normal.jpg" TargetMode="External"/><Relationship Id="rId1384" Type="http://schemas.openxmlformats.org/officeDocument/2006/relationships/hyperlink" Target="http://twitter.com/GreatBearJumps/statuses/1521047669044613121" TargetMode="External"/><Relationship Id="rId796" Type="http://schemas.openxmlformats.org/officeDocument/2006/relationships/hyperlink" Target="http://twitter.com/DesMchlmcgnn/statuses/1521058422975877120" TargetMode="External"/><Relationship Id="rId1385" Type="http://schemas.openxmlformats.org/officeDocument/2006/relationships/hyperlink" Target="http://pbs.twimg.com/profile_images/1416887010892165127/J5jaKNGH_normal.jpg" TargetMode="External"/><Relationship Id="rId4411" Type="http://schemas.openxmlformats.org/officeDocument/2006/relationships/hyperlink" Target="http://pbs.twimg.com/profile_images/1371036955169976320/gzeB8qQs_normal.jpg" TargetMode="External"/><Relationship Id="rId5743" Type="http://schemas.openxmlformats.org/officeDocument/2006/relationships/hyperlink" Target="http://pbs.twimg.com/profile_images/1453310569449234447/b8huP2jA_normal.jpg" TargetMode="External"/><Relationship Id="rId795" Type="http://schemas.openxmlformats.org/officeDocument/2006/relationships/hyperlink" Target="http://pbs.twimg.com/profile_images/1385599414144733192/HAunSgsL_normal.jpg" TargetMode="External"/><Relationship Id="rId1386" Type="http://schemas.openxmlformats.org/officeDocument/2006/relationships/hyperlink" Target="http://twitter.com/BrexitPhobe/statuses/1521047613327523840" TargetMode="External"/><Relationship Id="rId4410" Type="http://schemas.openxmlformats.org/officeDocument/2006/relationships/hyperlink" Target="http://twitter.com/IMMFX/statuses/1520972056288194560" TargetMode="External"/><Relationship Id="rId5744" Type="http://schemas.openxmlformats.org/officeDocument/2006/relationships/hyperlink" Target="http://twitter.com/Warzoid/statuses/1520886500166094848" TargetMode="External"/><Relationship Id="rId794" Type="http://schemas.openxmlformats.org/officeDocument/2006/relationships/hyperlink" Target="http://twitter.com/NuncTempus/statuses/1521058457532743680" TargetMode="External"/><Relationship Id="rId1387" Type="http://schemas.openxmlformats.org/officeDocument/2006/relationships/hyperlink" Target="http://pbs.twimg.com/profile_images/1438053003324493826/sUwtdxDn_normal.jpg" TargetMode="External"/><Relationship Id="rId4413" Type="http://schemas.openxmlformats.org/officeDocument/2006/relationships/hyperlink" Target="http://pbs.twimg.com/profile_images/1326864604253843456/qPPIYIq8_normal.jpg" TargetMode="External"/><Relationship Id="rId5741" Type="http://schemas.openxmlformats.org/officeDocument/2006/relationships/hyperlink" Target="http://pbs.twimg.com/profile_images/1241306485549826050/Imyq3-V-_normal.jpg" TargetMode="External"/><Relationship Id="rId793" Type="http://schemas.openxmlformats.org/officeDocument/2006/relationships/hyperlink" Target="http://pbs.twimg.com/profile_images/1037424551158792192/2kvxZjKf_normal.jpg" TargetMode="External"/><Relationship Id="rId1388" Type="http://schemas.openxmlformats.org/officeDocument/2006/relationships/hyperlink" Target="http://twitter.com/suthers/statuses/1521047577717837824" TargetMode="External"/><Relationship Id="rId4412" Type="http://schemas.openxmlformats.org/officeDocument/2006/relationships/hyperlink" Target="http://twitter.com/AHaglington/statuses/1520971971361714176" TargetMode="External"/><Relationship Id="rId5742" Type="http://schemas.openxmlformats.org/officeDocument/2006/relationships/hyperlink" Target="http://twitter.com/Pjacksdelacour/statuses/1520886506101121036" TargetMode="External"/><Relationship Id="rId3191" Type="http://schemas.openxmlformats.org/officeDocument/2006/relationships/hyperlink" Target="http://pbs.twimg.com/profile_images/582253382540374017/VG2L7-82_normal.jpg" TargetMode="External"/><Relationship Id="rId3190" Type="http://schemas.openxmlformats.org/officeDocument/2006/relationships/hyperlink" Target="http://twitter.com/HurdlePaul/statuses/1521016434897440773" TargetMode="External"/><Relationship Id="rId3193" Type="http://schemas.openxmlformats.org/officeDocument/2006/relationships/hyperlink" Target="http://pbs.twimg.com/profile_images/1425643900421779461/mmgPpItw_normal.png" TargetMode="External"/><Relationship Id="rId3192" Type="http://schemas.openxmlformats.org/officeDocument/2006/relationships/hyperlink" Target="http://twitter.com/StuBearhop/statuses/1521016403196788736" TargetMode="External"/><Relationship Id="rId3195" Type="http://schemas.openxmlformats.org/officeDocument/2006/relationships/hyperlink" Target="http://pbs.twimg.com/profile_images/476773628303126528/X86pSbd-_normal.jpeg" TargetMode="External"/><Relationship Id="rId3194" Type="http://schemas.openxmlformats.org/officeDocument/2006/relationships/hyperlink" Target="http://twitter.com/FirstLa14340074/statuses/1521016383236096000" TargetMode="External"/><Relationship Id="rId3197" Type="http://schemas.openxmlformats.org/officeDocument/2006/relationships/hyperlink" Target="http://pbs.twimg.com/profile_images/1349071400401833987/BiORcOg-_normal.jpg" TargetMode="External"/><Relationship Id="rId3196" Type="http://schemas.openxmlformats.org/officeDocument/2006/relationships/hyperlink" Target="http://twitter.com/mpfeldhoff/statuses/1521016224154537984" TargetMode="External"/><Relationship Id="rId3199" Type="http://schemas.openxmlformats.org/officeDocument/2006/relationships/hyperlink" Target="http://pbs.twimg.com/profile_images/774258218747002880/f4AaPAKg_normal.jpg" TargetMode="External"/><Relationship Id="rId3198" Type="http://schemas.openxmlformats.org/officeDocument/2006/relationships/hyperlink" Target="http://twitter.com/IvanKlass_/statuses/1521016219586940928" TargetMode="External"/><Relationship Id="rId3180" Type="http://schemas.openxmlformats.org/officeDocument/2006/relationships/hyperlink" Target="http://twitter.com/hettiewagtail/statuses/1521016750124539905" TargetMode="External"/><Relationship Id="rId3182" Type="http://schemas.openxmlformats.org/officeDocument/2006/relationships/hyperlink" Target="http://twitter.com/ThomasF86612463/statuses/1521016720290459648" TargetMode="External"/><Relationship Id="rId3181" Type="http://schemas.openxmlformats.org/officeDocument/2006/relationships/hyperlink" Target="http://abs.twimg.com/sticky/default_profile_images/default_profile_normal.png" TargetMode="External"/><Relationship Id="rId3184" Type="http://schemas.openxmlformats.org/officeDocument/2006/relationships/hyperlink" Target="http://twitter.com/jdutchman/statuses/1521016672940929025" TargetMode="External"/><Relationship Id="rId3183" Type="http://schemas.openxmlformats.org/officeDocument/2006/relationships/hyperlink" Target="http://pbs.twimg.com/profile_images/1186899485944930304/O1PM70m9_normal.jpg" TargetMode="External"/><Relationship Id="rId3186" Type="http://schemas.openxmlformats.org/officeDocument/2006/relationships/hyperlink" Target="http://twitter.com/PhilomenaColl11/statuses/1521016658562895872" TargetMode="External"/><Relationship Id="rId3185" Type="http://schemas.openxmlformats.org/officeDocument/2006/relationships/hyperlink" Target="http://abs.twimg.com/sticky/default_profile_images/default_profile_normal.png" TargetMode="External"/><Relationship Id="rId3188" Type="http://schemas.openxmlformats.org/officeDocument/2006/relationships/hyperlink" Target="http://twitter.com/BobMars53070026/statuses/1521016589071564800" TargetMode="External"/><Relationship Id="rId3187" Type="http://schemas.openxmlformats.org/officeDocument/2006/relationships/hyperlink" Target="http://abs.twimg.com/sticky/default_profile_images/default_profile_normal.png" TargetMode="External"/><Relationship Id="rId3189" Type="http://schemas.openxmlformats.org/officeDocument/2006/relationships/hyperlink" Target="http://pbs.twimg.com/profile_images/1414902771996835843/U89k1vDS_normal.jpg" TargetMode="External"/><Relationship Id="rId4480" Type="http://schemas.openxmlformats.org/officeDocument/2006/relationships/hyperlink" Target="http://twitter.com/FitzioJ/statuses/1520964017875222529" TargetMode="External"/><Relationship Id="rId3151" Type="http://schemas.openxmlformats.org/officeDocument/2006/relationships/hyperlink" Target="http://pbs.twimg.com/profile_images/926835440908247040/0rfA0T7w_normal.jpg" TargetMode="External"/><Relationship Id="rId4482" Type="http://schemas.openxmlformats.org/officeDocument/2006/relationships/hyperlink" Target="http://twitter.com/MartinDochert12/statuses/1520963965127659520" TargetMode="External"/><Relationship Id="rId3150" Type="http://schemas.openxmlformats.org/officeDocument/2006/relationships/hyperlink" Target="http://twitter.com/lionandfox6773/statuses/1521017084481884160" TargetMode="External"/><Relationship Id="rId4481" Type="http://schemas.openxmlformats.org/officeDocument/2006/relationships/hyperlink" Target="http://pbs.twimg.com/profile_images/1481187727542530052/-ZM71KE8_normal.jpg" TargetMode="External"/><Relationship Id="rId3153" Type="http://schemas.openxmlformats.org/officeDocument/2006/relationships/hyperlink" Target="http://pbs.twimg.com/profile_images/1429842012216365069/QXhdBoLN_normal.jpg" TargetMode="External"/><Relationship Id="rId4484" Type="http://schemas.openxmlformats.org/officeDocument/2006/relationships/hyperlink" Target="http://twitter.com/MuddeiA/statuses/1520963941727305728" TargetMode="External"/><Relationship Id="rId3152" Type="http://schemas.openxmlformats.org/officeDocument/2006/relationships/hyperlink" Target="http://twitter.com/trish_mn/statuses/1521017071693447168" TargetMode="External"/><Relationship Id="rId4483" Type="http://schemas.openxmlformats.org/officeDocument/2006/relationships/hyperlink" Target="http://pbs.twimg.com/profile_images/1001847699245817856/YthgfL2U_normal.jpg" TargetMode="External"/><Relationship Id="rId3155" Type="http://schemas.openxmlformats.org/officeDocument/2006/relationships/hyperlink" Target="http://pbs.twimg.com/profile_images/1449771966618034176/ecHbzl26_normal.jpg" TargetMode="External"/><Relationship Id="rId4486" Type="http://schemas.openxmlformats.org/officeDocument/2006/relationships/hyperlink" Target="http://twitter.com/MuddeiA/statuses/1520963929723518978" TargetMode="External"/><Relationship Id="rId3154" Type="http://schemas.openxmlformats.org/officeDocument/2006/relationships/hyperlink" Target="http://twitter.com/White692742/statuses/1521017068912533505" TargetMode="External"/><Relationship Id="rId4485" Type="http://schemas.openxmlformats.org/officeDocument/2006/relationships/hyperlink" Target="http://pbs.twimg.com/profile_images/1001847699245817856/YthgfL2U_normal.jpg" TargetMode="External"/><Relationship Id="rId3157" Type="http://schemas.openxmlformats.org/officeDocument/2006/relationships/hyperlink" Target="http://pbs.twimg.com/profile_images/1871790728/P8180076a_normal.jpg" TargetMode="External"/><Relationship Id="rId4488" Type="http://schemas.openxmlformats.org/officeDocument/2006/relationships/hyperlink" Target="http://twitter.com/MuddeiA/statuses/1520963919455883264" TargetMode="External"/><Relationship Id="rId3156" Type="http://schemas.openxmlformats.org/officeDocument/2006/relationships/hyperlink" Target="http://twitter.com/CarolineHutt/statuses/1521017048511434752" TargetMode="External"/><Relationship Id="rId4487" Type="http://schemas.openxmlformats.org/officeDocument/2006/relationships/hyperlink" Target="http://pbs.twimg.com/profile_images/1001847699245817856/YthgfL2U_normal.jpg" TargetMode="External"/><Relationship Id="rId3159" Type="http://schemas.openxmlformats.org/officeDocument/2006/relationships/hyperlink" Target="http://pbs.twimg.com/profile_images/2237918417/snapshot-005_normal.jpg" TargetMode="External"/><Relationship Id="rId3158" Type="http://schemas.openxmlformats.org/officeDocument/2006/relationships/hyperlink" Target="http://twitter.com/Westward_Hook/statuses/1521017043566350337" TargetMode="External"/><Relationship Id="rId4489" Type="http://schemas.openxmlformats.org/officeDocument/2006/relationships/hyperlink" Target="http://pbs.twimg.com/profile_images/1001847699245817856/YthgfL2U_normal.jpg" TargetMode="External"/><Relationship Id="rId3149" Type="http://schemas.openxmlformats.org/officeDocument/2006/relationships/hyperlink" Target="http://pbs.twimg.com/profile_images/1213186687343439872/UJ4rXi0n_normal.jpg" TargetMode="External"/><Relationship Id="rId3140" Type="http://schemas.openxmlformats.org/officeDocument/2006/relationships/hyperlink" Target="http://twitter.com/LenaLC64/statuses/1521017202996137984" TargetMode="External"/><Relationship Id="rId4471" Type="http://schemas.openxmlformats.org/officeDocument/2006/relationships/hyperlink" Target="http://pbs.twimg.com/profile_images/1029102482021076993/IU8k0uQO_normal.jpg" TargetMode="External"/><Relationship Id="rId4470" Type="http://schemas.openxmlformats.org/officeDocument/2006/relationships/hyperlink" Target="http://twitter.com/a__cubed/statuses/1520964892806713344" TargetMode="External"/><Relationship Id="rId3142" Type="http://schemas.openxmlformats.org/officeDocument/2006/relationships/hyperlink" Target="http://twitter.com/andy9962/statuses/1521017144233762817" TargetMode="External"/><Relationship Id="rId4473" Type="http://schemas.openxmlformats.org/officeDocument/2006/relationships/hyperlink" Target="http://pbs.twimg.com/profile_images/1191045604950056962/V-fq-OZ0_normal.jpg" TargetMode="External"/><Relationship Id="rId3141" Type="http://schemas.openxmlformats.org/officeDocument/2006/relationships/hyperlink" Target="http://pbs.twimg.com/profile_images/1487056130719330317/4RZY3iRz_normal.jpg" TargetMode="External"/><Relationship Id="rId4472" Type="http://schemas.openxmlformats.org/officeDocument/2006/relationships/hyperlink" Target="http://twitter.com/FitzioJ/statuses/1520964336436449281" TargetMode="External"/><Relationship Id="rId3144" Type="http://schemas.openxmlformats.org/officeDocument/2006/relationships/hyperlink" Target="http://twitter.com/CARogersNo1/statuses/1521017134842888192" TargetMode="External"/><Relationship Id="rId4475" Type="http://schemas.openxmlformats.org/officeDocument/2006/relationships/hyperlink" Target="http://pbs.twimg.com/profile_images/1029102482021076993/IU8k0uQO_normal.jpg" TargetMode="External"/><Relationship Id="rId3143" Type="http://schemas.openxmlformats.org/officeDocument/2006/relationships/hyperlink" Target="http://pbs.twimg.com/profile_images/1501854228091965444/uVna59mV_normal.jpg" TargetMode="External"/><Relationship Id="rId4474" Type="http://schemas.openxmlformats.org/officeDocument/2006/relationships/hyperlink" Target="http://twitter.com/Briannicus/statuses/1520964233545932806" TargetMode="External"/><Relationship Id="rId3146" Type="http://schemas.openxmlformats.org/officeDocument/2006/relationships/hyperlink" Target="http://twitter.com/MatthewLBishop/statuses/1521017124055134210" TargetMode="External"/><Relationship Id="rId4477" Type="http://schemas.openxmlformats.org/officeDocument/2006/relationships/hyperlink" Target="http://pbs.twimg.com/profile_images/1029102482021076993/IU8k0uQO_normal.jpg" TargetMode="External"/><Relationship Id="rId3145" Type="http://schemas.openxmlformats.org/officeDocument/2006/relationships/hyperlink" Target="http://pbs.twimg.com/profile_images/865510351135047680/5ZQJh0Yh_normal.jpg" TargetMode="External"/><Relationship Id="rId4476" Type="http://schemas.openxmlformats.org/officeDocument/2006/relationships/hyperlink" Target="http://twitter.com/FitzioJ/statuses/1520964221332516864" TargetMode="External"/><Relationship Id="rId3148" Type="http://schemas.openxmlformats.org/officeDocument/2006/relationships/hyperlink" Target="http://twitter.com/AndyHustler2/statuses/1521017096070643718" TargetMode="External"/><Relationship Id="rId4479" Type="http://schemas.openxmlformats.org/officeDocument/2006/relationships/hyperlink" Target="http://pbs.twimg.com/profile_images/1029102482021076993/IU8k0uQO_normal.jpg" TargetMode="External"/><Relationship Id="rId3147" Type="http://schemas.openxmlformats.org/officeDocument/2006/relationships/hyperlink" Target="http://pbs.twimg.com/profile_images/986562865934012416/IKS3DjYi_normal.jpg" TargetMode="External"/><Relationship Id="rId4478" Type="http://schemas.openxmlformats.org/officeDocument/2006/relationships/hyperlink" Target="http://twitter.com/FitzioJ/statuses/1520964141602680832" TargetMode="External"/><Relationship Id="rId3171" Type="http://schemas.openxmlformats.org/officeDocument/2006/relationships/hyperlink" Target="http://pbs.twimg.com/profile_images/868197077230211072/zx8S3drt_normal.jpg" TargetMode="External"/><Relationship Id="rId3170" Type="http://schemas.openxmlformats.org/officeDocument/2006/relationships/hyperlink" Target="http://twitter.com/h1llbillies/statuses/1521016862053654528" TargetMode="External"/><Relationship Id="rId3173" Type="http://schemas.openxmlformats.org/officeDocument/2006/relationships/hyperlink" Target="http://pbs.twimg.com/profile_images/1290629466654494722/lD2G32LZ_normal.jpg" TargetMode="External"/><Relationship Id="rId3172" Type="http://schemas.openxmlformats.org/officeDocument/2006/relationships/hyperlink" Target="http://twitter.com/YYvnn/statuses/1521016842676060160" TargetMode="External"/><Relationship Id="rId3175" Type="http://schemas.openxmlformats.org/officeDocument/2006/relationships/hyperlink" Target="http://pbs.twimg.com/profile_images/1501163891040133126/cc48-3h6_normal.jpg" TargetMode="External"/><Relationship Id="rId3174" Type="http://schemas.openxmlformats.org/officeDocument/2006/relationships/hyperlink" Target="http://twitter.com/fy_teigr/statuses/1521016799755747328" TargetMode="External"/><Relationship Id="rId3177" Type="http://schemas.openxmlformats.org/officeDocument/2006/relationships/hyperlink" Target="http://pbs.twimg.com/profile_images/1434428463209926657/RdfoLzlK_normal.jpg" TargetMode="External"/><Relationship Id="rId3176" Type="http://schemas.openxmlformats.org/officeDocument/2006/relationships/hyperlink" Target="http://twitter.com/sallyhoughton20/statuses/1521016786354851840" TargetMode="External"/><Relationship Id="rId3179" Type="http://schemas.openxmlformats.org/officeDocument/2006/relationships/hyperlink" Target="http://pbs.twimg.com/profile_images/3361759769/c97d39af293cdc8d33630e9026b350e6_normal.jpeg" TargetMode="External"/><Relationship Id="rId3178" Type="http://schemas.openxmlformats.org/officeDocument/2006/relationships/hyperlink" Target="http://twitter.com/stevec009/statuses/1521016758479511552" TargetMode="External"/><Relationship Id="rId3160" Type="http://schemas.openxmlformats.org/officeDocument/2006/relationships/hyperlink" Target="http://twitter.com/JohnJacksonUAL/statuses/1521017006429978624" TargetMode="External"/><Relationship Id="rId4491" Type="http://schemas.openxmlformats.org/officeDocument/2006/relationships/hyperlink" Target="http://pbs.twimg.com/profile_images/1001847699245817856/YthgfL2U_normal.jpg" TargetMode="External"/><Relationship Id="rId4490" Type="http://schemas.openxmlformats.org/officeDocument/2006/relationships/hyperlink" Target="http://twitter.com/MuddeiA/statuses/1520963908479361024" TargetMode="External"/><Relationship Id="rId3162" Type="http://schemas.openxmlformats.org/officeDocument/2006/relationships/hyperlink" Target="http://twitter.com/sandra4646/statuses/1521016994115563520" TargetMode="External"/><Relationship Id="rId4493" Type="http://schemas.openxmlformats.org/officeDocument/2006/relationships/hyperlink" Target="http://pbs.twimg.com/profile_images/824654881923493891/lfWyKUvx_normal.jpg" TargetMode="External"/><Relationship Id="rId3161" Type="http://schemas.openxmlformats.org/officeDocument/2006/relationships/hyperlink" Target="http://pbs.twimg.com/profile_images/907368719961280513/dWVPv7eX_normal.jpg" TargetMode="External"/><Relationship Id="rId4492" Type="http://schemas.openxmlformats.org/officeDocument/2006/relationships/hyperlink" Target="http://twitter.com/MuddeiA/statuses/1520963839453712386" TargetMode="External"/><Relationship Id="rId3164" Type="http://schemas.openxmlformats.org/officeDocument/2006/relationships/hyperlink" Target="http://twitter.com/andybwhittle/statuses/1521016987664670722" TargetMode="External"/><Relationship Id="rId4495" Type="http://schemas.openxmlformats.org/officeDocument/2006/relationships/hyperlink" Target="http://pbs.twimg.com/profile_images/378800000221244634/b3cf7394513127e088559989ae0577ca_normal.jpeg" TargetMode="External"/><Relationship Id="rId3163" Type="http://schemas.openxmlformats.org/officeDocument/2006/relationships/hyperlink" Target="http://pbs.twimg.com/profile_images/1442332205/IMG_5726_normal.JPG" TargetMode="External"/><Relationship Id="rId4494" Type="http://schemas.openxmlformats.org/officeDocument/2006/relationships/hyperlink" Target="http://twitter.com/NickiDee_/statuses/1520963255199748097" TargetMode="External"/><Relationship Id="rId3166" Type="http://schemas.openxmlformats.org/officeDocument/2006/relationships/hyperlink" Target="http://twitter.com/quangels/statuses/1521016981255868417" TargetMode="External"/><Relationship Id="rId4497" Type="http://schemas.openxmlformats.org/officeDocument/2006/relationships/hyperlink" Target="http://pbs.twimg.com/profile_images/824654881923493891/lfWyKUvx_normal.jpg" TargetMode="External"/><Relationship Id="rId3165" Type="http://schemas.openxmlformats.org/officeDocument/2006/relationships/hyperlink" Target="http://pbs.twimg.com/profile_images/1363153654962937856/yr4px-OE_normal.jpg" TargetMode="External"/><Relationship Id="rId4496" Type="http://schemas.openxmlformats.org/officeDocument/2006/relationships/hyperlink" Target="http://twitter.com/TheGlobalSpring/statuses/1520963043902951431" TargetMode="External"/><Relationship Id="rId3168" Type="http://schemas.openxmlformats.org/officeDocument/2006/relationships/hyperlink" Target="http://twitter.com/ifg007/statuses/1521016907683581954" TargetMode="External"/><Relationship Id="rId4499" Type="http://schemas.openxmlformats.org/officeDocument/2006/relationships/hyperlink" Target="http://pbs.twimg.com/profile_images/378800000203736022/4236550ab6739da461fd39afaade29c5_normal.jpeg" TargetMode="External"/><Relationship Id="rId3167" Type="http://schemas.openxmlformats.org/officeDocument/2006/relationships/hyperlink" Target="http://pbs.twimg.com/profile_images/916633474580336641/0ZQPmPNm_normal.jpg" TargetMode="External"/><Relationship Id="rId4498" Type="http://schemas.openxmlformats.org/officeDocument/2006/relationships/hyperlink" Target="http://twitter.com/NickiDee_/statuses/1520963001863802881" TargetMode="External"/><Relationship Id="rId3169" Type="http://schemas.openxmlformats.org/officeDocument/2006/relationships/hyperlink" Target="http://pbs.twimg.com/profile_images/1496784796864987137/ORjxUSVQ_normal.jpg" TargetMode="External"/><Relationship Id="rId2700" Type="http://schemas.openxmlformats.org/officeDocument/2006/relationships/hyperlink" Target="http://twitter.com/RightAngleUK/statuses/1521025062991802369" TargetMode="External"/><Relationship Id="rId2701" Type="http://schemas.openxmlformats.org/officeDocument/2006/relationships/hyperlink" Target="http://pbs.twimg.com/profile_images/1517863473790820355/W7RSBN2R_normal.jpg" TargetMode="External"/><Relationship Id="rId2702" Type="http://schemas.openxmlformats.org/officeDocument/2006/relationships/hyperlink" Target="http://twitter.com/trish4leave/statuses/1521025034642468864" TargetMode="External"/><Relationship Id="rId2703" Type="http://schemas.openxmlformats.org/officeDocument/2006/relationships/hyperlink" Target="http://pbs.twimg.com/profile_images/451863998808350720/h6MGrp-h_normal.jpeg" TargetMode="External"/><Relationship Id="rId2704" Type="http://schemas.openxmlformats.org/officeDocument/2006/relationships/hyperlink" Target="http://twitter.com/RightAngleUK/statuses/1521025033400983552" TargetMode="External"/><Relationship Id="rId2705" Type="http://schemas.openxmlformats.org/officeDocument/2006/relationships/hyperlink" Target="http://abs.twimg.com/sticky/default_profile_images/default_profile_normal.png" TargetMode="External"/><Relationship Id="rId2706" Type="http://schemas.openxmlformats.org/officeDocument/2006/relationships/hyperlink" Target="http://twitter.com/busby_lilian/statuses/1521024979688726528" TargetMode="External"/><Relationship Id="rId2707" Type="http://schemas.openxmlformats.org/officeDocument/2006/relationships/hyperlink" Target="http://pbs.twimg.com/profile_images/451863998808350720/h6MGrp-h_normal.jpeg" TargetMode="External"/><Relationship Id="rId2708" Type="http://schemas.openxmlformats.org/officeDocument/2006/relationships/hyperlink" Target="http://twitter.com/RightAngleUK/statuses/1521024966191374338" TargetMode="External"/><Relationship Id="rId2709" Type="http://schemas.openxmlformats.org/officeDocument/2006/relationships/hyperlink" Target="http://pbs.twimg.com/profile_images/1344917370582786049/3hTIqgcq_normal.jpg" TargetMode="External"/><Relationship Id="rId2720" Type="http://schemas.openxmlformats.org/officeDocument/2006/relationships/hyperlink" Target="http://twitter.com/neill4_neill/statuses/1521024752114151426" TargetMode="External"/><Relationship Id="rId2721" Type="http://schemas.openxmlformats.org/officeDocument/2006/relationships/hyperlink" Target="http://pbs.twimg.com/profile_images/1094645178361618433/PQKjyO63_normal.jpg" TargetMode="External"/><Relationship Id="rId2722" Type="http://schemas.openxmlformats.org/officeDocument/2006/relationships/hyperlink" Target="http://twitter.com/AlastairBreward/statuses/1521024622241755136" TargetMode="External"/><Relationship Id="rId2723" Type="http://schemas.openxmlformats.org/officeDocument/2006/relationships/hyperlink" Target="http://abs.twimg.com/sticky/default_profile_images/default_profile_normal.png" TargetMode="External"/><Relationship Id="rId2724" Type="http://schemas.openxmlformats.org/officeDocument/2006/relationships/hyperlink" Target="http://twitter.com/KbfKate/statuses/1521024603426074625" TargetMode="External"/><Relationship Id="rId2725" Type="http://schemas.openxmlformats.org/officeDocument/2006/relationships/hyperlink" Target="http://pbs.twimg.com/profile_images/704730905156444160/1ED17ls7_normal.jpg" TargetMode="External"/><Relationship Id="rId2726" Type="http://schemas.openxmlformats.org/officeDocument/2006/relationships/hyperlink" Target="http://twitter.com/Ospringe/statuses/1521024543556521984" TargetMode="External"/><Relationship Id="rId2727" Type="http://schemas.openxmlformats.org/officeDocument/2006/relationships/hyperlink" Target="http://pbs.twimg.com/profile_images/71422336/domfitness_me_pic_normal.jpg" TargetMode="External"/><Relationship Id="rId2728" Type="http://schemas.openxmlformats.org/officeDocument/2006/relationships/hyperlink" Target="http://twitter.com/Fitness4London/statuses/1521024541346181125" TargetMode="External"/><Relationship Id="rId2729" Type="http://schemas.openxmlformats.org/officeDocument/2006/relationships/hyperlink" Target="http://pbs.twimg.com/profile_images/1638393743/John_Museum_normal.jpg" TargetMode="External"/><Relationship Id="rId2710" Type="http://schemas.openxmlformats.org/officeDocument/2006/relationships/hyperlink" Target="http://twitter.com/EU_Citizen2/statuses/1521024912399478785" TargetMode="External"/><Relationship Id="rId2711" Type="http://schemas.openxmlformats.org/officeDocument/2006/relationships/hyperlink" Target="http://pbs.twimg.com/profile_images/1075125238122364928/dnX10EZK_normal.jpg" TargetMode="External"/><Relationship Id="rId2712" Type="http://schemas.openxmlformats.org/officeDocument/2006/relationships/hyperlink" Target="http://twitter.com/radiofourfan/statuses/1521024846246912000" TargetMode="External"/><Relationship Id="rId2713" Type="http://schemas.openxmlformats.org/officeDocument/2006/relationships/hyperlink" Target="http://pbs.twimg.com/profile_images/1174387244863565824/trY32ICH_normal.jpg" TargetMode="External"/><Relationship Id="rId2714" Type="http://schemas.openxmlformats.org/officeDocument/2006/relationships/hyperlink" Target="http://twitter.com/RD120/statuses/1521024826101620736" TargetMode="External"/><Relationship Id="rId2715" Type="http://schemas.openxmlformats.org/officeDocument/2006/relationships/hyperlink" Target="http://pbs.twimg.com/profile_images/542761082570305536/9XeRUdwa_normal.jpeg" TargetMode="External"/><Relationship Id="rId2716" Type="http://schemas.openxmlformats.org/officeDocument/2006/relationships/hyperlink" Target="http://twitter.com/cathybertram/statuses/1521024800382148613" TargetMode="External"/><Relationship Id="rId2717" Type="http://schemas.openxmlformats.org/officeDocument/2006/relationships/hyperlink" Target="http://abs.twimg.com/sticky/default_profile_images/default_profile_normal.png" TargetMode="External"/><Relationship Id="rId2718" Type="http://schemas.openxmlformats.org/officeDocument/2006/relationships/hyperlink" Target="http://twitter.com/morrisinator/statuses/1521024782111752194" TargetMode="External"/><Relationship Id="rId2719" Type="http://schemas.openxmlformats.org/officeDocument/2006/relationships/hyperlink" Target="http://pbs.twimg.com/profile_images/1424606743565307906/HTJF6wAt_normal.jpg" TargetMode="External"/><Relationship Id="rId1455" Type="http://schemas.openxmlformats.org/officeDocument/2006/relationships/hyperlink" Target="http://pbs.twimg.com/profile_images/548544797615861760/xPWNpltm_normal.jpeg" TargetMode="External"/><Relationship Id="rId2786" Type="http://schemas.openxmlformats.org/officeDocument/2006/relationships/hyperlink" Target="http://twitter.com/iain4europe/statuses/1521023481449746432" TargetMode="External"/><Relationship Id="rId5813" Type="http://schemas.openxmlformats.org/officeDocument/2006/relationships/hyperlink" Target="http://pbs.twimg.com/profile_images/1363258994974982147/-6nC5UbZ_normal.jpg" TargetMode="External"/><Relationship Id="rId1456" Type="http://schemas.openxmlformats.org/officeDocument/2006/relationships/hyperlink" Target="http://twitter.com/IanRobinson/statuses/1521046780472930304" TargetMode="External"/><Relationship Id="rId2787" Type="http://schemas.openxmlformats.org/officeDocument/2006/relationships/hyperlink" Target="http://abs.twimg.com/sticky/default_profile_images/default_profile_normal.png" TargetMode="External"/><Relationship Id="rId5814" Type="http://schemas.openxmlformats.org/officeDocument/2006/relationships/hyperlink" Target="http://twitter.com/Debz7172/statuses/1520885078301327360" TargetMode="External"/><Relationship Id="rId1457" Type="http://schemas.openxmlformats.org/officeDocument/2006/relationships/hyperlink" Target="http://pbs.twimg.com/profile_images/1273911753735315463/LPrbJjZC_normal.jpg" TargetMode="External"/><Relationship Id="rId2788" Type="http://schemas.openxmlformats.org/officeDocument/2006/relationships/hyperlink" Target="http://twitter.com/mannes00680860/statuses/1521023469000998914" TargetMode="External"/><Relationship Id="rId5811" Type="http://schemas.openxmlformats.org/officeDocument/2006/relationships/hyperlink" Target="http://pbs.twimg.com/profile_images/3616470499/292c908d6bc62915817b8fc4b6104b7f_normal.jpeg" TargetMode="External"/><Relationship Id="rId1458" Type="http://schemas.openxmlformats.org/officeDocument/2006/relationships/hyperlink" Target="http://twitter.com/dazzapsj1/statuses/1521046765859975168" TargetMode="External"/><Relationship Id="rId2789" Type="http://schemas.openxmlformats.org/officeDocument/2006/relationships/hyperlink" Target="http://pbs.twimg.com/profile_images/1074388856059904005/zTJLJupU_normal.jpg" TargetMode="External"/><Relationship Id="rId5812" Type="http://schemas.openxmlformats.org/officeDocument/2006/relationships/hyperlink" Target="http://twitter.com/bozenaduba/statuses/1520885083850354690" TargetMode="External"/><Relationship Id="rId1459" Type="http://schemas.openxmlformats.org/officeDocument/2006/relationships/hyperlink" Target="http://pbs.twimg.com/profile_images/1480114077590601735/Kg_1hzpo_normal.jpg" TargetMode="External"/><Relationship Id="rId5817" Type="http://schemas.openxmlformats.org/officeDocument/2006/relationships/hyperlink" Target="http://pbs.twimg.com/profile_images/1497711846945693697/ewN7oafP_normal.jpg" TargetMode="External"/><Relationship Id="rId5818" Type="http://schemas.openxmlformats.org/officeDocument/2006/relationships/hyperlink" Target="http://twitter.com/Athelwulf_wulf/statuses/1520885059015909376" TargetMode="External"/><Relationship Id="rId5815" Type="http://schemas.openxmlformats.org/officeDocument/2006/relationships/hyperlink" Target="http://pbs.twimg.com/profile_images/894524829025673216/a6_vmDW7_normal.jpg" TargetMode="External"/><Relationship Id="rId5816" Type="http://schemas.openxmlformats.org/officeDocument/2006/relationships/hyperlink" Target="http://twitter.com/thetopcaptain/statuses/1520885072601268235" TargetMode="External"/><Relationship Id="rId5819" Type="http://schemas.openxmlformats.org/officeDocument/2006/relationships/hyperlink" Target="http://pbs.twimg.com/profile_images/1497711846945693697/ewN7oafP_normal.jpg" TargetMode="External"/><Relationship Id="rId629" Type="http://schemas.openxmlformats.org/officeDocument/2006/relationships/hyperlink" Target="http://pbs.twimg.com/profile_images/1483141928229249025/wG7Qplvp_normal.jpg" TargetMode="External"/><Relationship Id="rId624" Type="http://schemas.openxmlformats.org/officeDocument/2006/relationships/hyperlink" Target="http://twitter.com/JuhaLemmetti/statuses/1521062163154092035" TargetMode="External"/><Relationship Id="rId623" Type="http://schemas.openxmlformats.org/officeDocument/2006/relationships/hyperlink" Target="http://pbs.twimg.com/profile_images/582837157850558465/St0C4Dp2_normal.jpg" TargetMode="External"/><Relationship Id="rId622" Type="http://schemas.openxmlformats.org/officeDocument/2006/relationships/hyperlink" Target="http://twitter.com/Bumbleb58352158/statuses/1521062174185168896" TargetMode="External"/><Relationship Id="rId621" Type="http://schemas.openxmlformats.org/officeDocument/2006/relationships/hyperlink" Target="http://pbs.twimg.com/profile_images/1293298670012641289/7dAwfSEA_normal.jpg" TargetMode="External"/><Relationship Id="rId628" Type="http://schemas.openxmlformats.org/officeDocument/2006/relationships/hyperlink" Target="http://twitter.com/datamanvt/statuses/1521062135677263872" TargetMode="External"/><Relationship Id="rId627" Type="http://schemas.openxmlformats.org/officeDocument/2006/relationships/hyperlink" Target="http://pbs.twimg.com/profile_images/1419610963800641542/4hfLPE6o_normal.jpg" TargetMode="External"/><Relationship Id="rId626" Type="http://schemas.openxmlformats.org/officeDocument/2006/relationships/hyperlink" Target="http://twitter.com/BakerMcGER/statuses/1521062153595363328" TargetMode="External"/><Relationship Id="rId625" Type="http://schemas.openxmlformats.org/officeDocument/2006/relationships/hyperlink" Target="http://pbs.twimg.com/profile_images/879275738402344960/cvlyauHo_normal.jpg" TargetMode="External"/><Relationship Id="rId2780" Type="http://schemas.openxmlformats.org/officeDocument/2006/relationships/hyperlink" Target="http://twitter.com/dunlin57/statuses/1521023613830320128" TargetMode="External"/><Relationship Id="rId1450" Type="http://schemas.openxmlformats.org/officeDocument/2006/relationships/hyperlink" Target="http://twitter.com/fitzjimi/statuses/1521046815017246721" TargetMode="External"/><Relationship Id="rId2781" Type="http://schemas.openxmlformats.org/officeDocument/2006/relationships/hyperlink" Target="http://abs.twimg.com/sticky/default_profile_images/default_profile_normal.png" TargetMode="External"/><Relationship Id="rId620" Type="http://schemas.openxmlformats.org/officeDocument/2006/relationships/hyperlink" Target="http://twitter.com/bobirving_green/statuses/1521062206250622976" TargetMode="External"/><Relationship Id="rId1451" Type="http://schemas.openxmlformats.org/officeDocument/2006/relationships/hyperlink" Target="http://pbs.twimg.com/profile_images/1091261290557960193/8d0mIkhC_normal.jpg" TargetMode="External"/><Relationship Id="rId2782" Type="http://schemas.openxmlformats.org/officeDocument/2006/relationships/hyperlink" Target="http://twitter.com/mannes00680860/statuses/1521023541990330368" TargetMode="External"/><Relationship Id="rId1452" Type="http://schemas.openxmlformats.org/officeDocument/2006/relationships/hyperlink" Target="http://twitter.com/mommabeartweets/statuses/1521046811531780096" TargetMode="External"/><Relationship Id="rId2783" Type="http://schemas.openxmlformats.org/officeDocument/2006/relationships/hyperlink" Target="http://abs.twimg.com/sticky/default_profile_images/default_profile_normal.png" TargetMode="External"/><Relationship Id="rId5810" Type="http://schemas.openxmlformats.org/officeDocument/2006/relationships/hyperlink" Target="http://twitter.com/rowanscott/statuses/1520885105916624896" TargetMode="External"/><Relationship Id="rId1453" Type="http://schemas.openxmlformats.org/officeDocument/2006/relationships/hyperlink" Target="http://pbs.twimg.com/profile_images/1131856110766448640/a4e6i01k_normal.jpg" TargetMode="External"/><Relationship Id="rId2784" Type="http://schemas.openxmlformats.org/officeDocument/2006/relationships/hyperlink" Target="http://twitter.com/mannes00680860/statuses/1521023506611376129" TargetMode="External"/><Relationship Id="rId1454" Type="http://schemas.openxmlformats.org/officeDocument/2006/relationships/hyperlink" Target="http://twitter.com/franjangle/statuses/1521046798487498752" TargetMode="External"/><Relationship Id="rId2785" Type="http://schemas.openxmlformats.org/officeDocument/2006/relationships/hyperlink" Target="http://pbs.twimg.com/profile_images/1227294815571914752/1goXcbB4_normal.jpg" TargetMode="External"/><Relationship Id="rId1444" Type="http://schemas.openxmlformats.org/officeDocument/2006/relationships/hyperlink" Target="http://twitter.com/mommabeartweets/statuses/1521046891177385984" TargetMode="External"/><Relationship Id="rId2775" Type="http://schemas.openxmlformats.org/officeDocument/2006/relationships/hyperlink" Target="http://pbs.twimg.com/profile_images/629012343159173120/MEMc1yP9_normal.jpg" TargetMode="External"/><Relationship Id="rId5802" Type="http://schemas.openxmlformats.org/officeDocument/2006/relationships/hyperlink" Target="http://twitter.com/3811015/statuses/1520885204000419842" TargetMode="External"/><Relationship Id="rId1445" Type="http://schemas.openxmlformats.org/officeDocument/2006/relationships/hyperlink" Target="http://pbs.twimg.com/profile_images/378800000507167216/83888c5f12f602f3330aaf2995efe306_normal.jpeg" TargetMode="External"/><Relationship Id="rId2776" Type="http://schemas.openxmlformats.org/officeDocument/2006/relationships/hyperlink" Target="http://twitter.com/KayLouiseKelly/statuses/1521023722219618305" TargetMode="External"/><Relationship Id="rId5803" Type="http://schemas.openxmlformats.org/officeDocument/2006/relationships/hyperlink" Target="http://pbs.twimg.com/profile_images/894524829025673216/a6_vmDW7_normal.jpg" TargetMode="External"/><Relationship Id="rId1446" Type="http://schemas.openxmlformats.org/officeDocument/2006/relationships/hyperlink" Target="http://twitter.com/aSweetEspresso/statuses/1521046880397918208" TargetMode="External"/><Relationship Id="rId2777" Type="http://schemas.openxmlformats.org/officeDocument/2006/relationships/hyperlink" Target="http://pbs.twimg.com/profile_images/1504857317908566016/QstKMG0D_normal.jpg" TargetMode="External"/><Relationship Id="rId5800" Type="http://schemas.openxmlformats.org/officeDocument/2006/relationships/hyperlink" Target="http://twitter.com/thetopcaptain/statuses/1520885233935171585" TargetMode="External"/><Relationship Id="rId1447" Type="http://schemas.openxmlformats.org/officeDocument/2006/relationships/hyperlink" Target="http://pbs.twimg.com/profile_images/1318251484149055490/KqkRTWPH_normal.jpg" TargetMode="External"/><Relationship Id="rId2778" Type="http://schemas.openxmlformats.org/officeDocument/2006/relationships/hyperlink" Target="http://twitter.com/OK16096635/statuses/1521023712522391552" TargetMode="External"/><Relationship Id="rId5801" Type="http://schemas.openxmlformats.org/officeDocument/2006/relationships/hyperlink" Target="http://pbs.twimg.com/profile_images/1322502737242763265/X_UOI4NR_normal.jpg" TargetMode="External"/><Relationship Id="rId1448" Type="http://schemas.openxmlformats.org/officeDocument/2006/relationships/hyperlink" Target="http://twitter.com/uniworldnews/statuses/1521046836848570368" TargetMode="External"/><Relationship Id="rId2779" Type="http://schemas.openxmlformats.org/officeDocument/2006/relationships/hyperlink" Target="http://pbs.twimg.com/profile_images/1497320135425761282/EbJaCEPu_normal.jpg" TargetMode="External"/><Relationship Id="rId5806" Type="http://schemas.openxmlformats.org/officeDocument/2006/relationships/hyperlink" Target="http://twitter.com/thetopcaptain/statuses/1520885168868929536" TargetMode="External"/><Relationship Id="rId1449" Type="http://schemas.openxmlformats.org/officeDocument/2006/relationships/hyperlink" Target="http://pbs.twimg.com/profile_images/462511785812033538/H9KYz-Mr_normal.jpeg" TargetMode="External"/><Relationship Id="rId5807" Type="http://schemas.openxmlformats.org/officeDocument/2006/relationships/hyperlink" Target="http://pbs.twimg.com/profile_images/894524829025673216/a6_vmDW7_normal.jpg" TargetMode="External"/><Relationship Id="rId5804" Type="http://schemas.openxmlformats.org/officeDocument/2006/relationships/hyperlink" Target="http://twitter.com/thetopcaptain/statuses/1520885202800816131" TargetMode="External"/><Relationship Id="rId5805" Type="http://schemas.openxmlformats.org/officeDocument/2006/relationships/hyperlink" Target="http://pbs.twimg.com/profile_images/894524829025673216/a6_vmDW7_normal.jpg" TargetMode="External"/><Relationship Id="rId619" Type="http://schemas.openxmlformats.org/officeDocument/2006/relationships/hyperlink" Target="http://pbs.twimg.com/profile_images/1330198665881939968/2PoPbITt_normal.jpg" TargetMode="External"/><Relationship Id="rId5808" Type="http://schemas.openxmlformats.org/officeDocument/2006/relationships/hyperlink" Target="http://twitter.com/thetopcaptain/statuses/1520885116230414337" TargetMode="External"/><Relationship Id="rId618" Type="http://schemas.openxmlformats.org/officeDocument/2006/relationships/hyperlink" Target="http://twitter.com/Eleanor1026/statuses/1521062277499215878" TargetMode="External"/><Relationship Id="rId5809" Type="http://schemas.openxmlformats.org/officeDocument/2006/relationships/hyperlink" Target="http://pbs.twimg.com/profile_images/1151480439389007873/e4WPxM7X_normal.jpg" TargetMode="External"/><Relationship Id="rId613" Type="http://schemas.openxmlformats.org/officeDocument/2006/relationships/hyperlink" Target="http://pbs.twimg.com/profile_images/512794861842333697/-tZr7fcL_normal.jpeg" TargetMode="External"/><Relationship Id="rId612" Type="http://schemas.openxmlformats.org/officeDocument/2006/relationships/hyperlink" Target="http://twitter.com/Lordwessenden12/statuses/1521062420801892353" TargetMode="External"/><Relationship Id="rId611" Type="http://schemas.openxmlformats.org/officeDocument/2006/relationships/hyperlink" Target="http://pbs.twimg.com/profile_images/1500395867450265601/m2wwk5QX_normal.jpg" TargetMode="External"/><Relationship Id="rId610" Type="http://schemas.openxmlformats.org/officeDocument/2006/relationships/hyperlink" Target="http://twitter.com/JulieBJewellery/statuses/1521062425096867841" TargetMode="External"/><Relationship Id="rId617" Type="http://schemas.openxmlformats.org/officeDocument/2006/relationships/hyperlink" Target="http://pbs.twimg.com/profile_images/512794861842333697/-tZr7fcL_normal.jpeg" TargetMode="External"/><Relationship Id="rId616" Type="http://schemas.openxmlformats.org/officeDocument/2006/relationships/hyperlink" Target="http://twitter.com/Eleanor1026/statuses/1521062334235656192" TargetMode="External"/><Relationship Id="rId615" Type="http://schemas.openxmlformats.org/officeDocument/2006/relationships/hyperlink" Target="http://pbs.twimg.com/profile_images/512794861842333697/-tZr7fcL_normal.jpeg" TargetMode="External"/><Relationship Id="rId614" Type="http://schemas.openxmlformats.org/officeDocument/2006/relationships/hyperlink" Target="http://twitter.com/Eleanor1026/statuses/1521062402908901379" TargetMode="External"/><Relationship Id="rId2770" Type="http://schemas.openxmlformats.org/officeDocument/2006/relationships/hyperlink" Target="http://twitter.com/ChristineJameis/statuses/1521023898380341248" TargetMode="External"/><Relationship Id="rId1440" Type="http://schemas.openxmlformats.org/officeDocument/2006/relationships/hyperlink" Target="http://twitter.com/SueKeen1/statuses/1521046930591297536" TargetMode="External"/><Relationship Id="rId2771" Type="http://schemas.openxmlformats.org/officeDocument/2006/relationships/hyperlink" Target="http://pbs.twimg.com/profile_images/1261668549506072576/t_YnInEO_normal.jpg" TargetMode="External"/><Relationship Id="rId1441" Type="http://schemas.openxmlformats.org/officeDocument/2006/relationships/hyperlink" Target="http://pbs.twimg.com/profile_images/809333067382976516/6UlAI8Xq_normal.jpg" TargetMode="External"/><Relationship Id="rId2772" Type="http://schemas.openxmlformats.org/officeDocument/2006/relationships/hyperlink" Target="http://twitter.com/SamFrance89/statuses/1521023881040912384" TargetMode="External"/><Relationship Id="rId1442" Type="http://schemas.openxmlformats.org/officeDocument/2006/relationships/hyperlink" Target="http://twitter.com/marknew1945/statuses/1521046910261501953" TargetMode="External"/><Relationship Id="rId2773" Type="http://schemas.openxmlformats.org/officeDocument/2006/relationships/hyperlink" Target="http://abs.twimg.com/sticky/default_profile_images/default_profile_normal.png" TargetMode="External"/><Relationship Id="rId1443" Type="http://schemas.openxmlformats.org/officeDocument/2006/relationships/hyperlink" Target="http://pbs.twimg.com/profile_images/1091261290557960193/8d0mIkhC_normal.jpg" TargetMode="External"/><Relationship Id="rId2774" Type="http://schemas.openxmlformats.org/officeDocument/2006/relationships/hyperlink" Target="http://twitter.com/philnooney/statuses/1521023751265136640" TargetMode="External"/><Relationship Id="rId1477" Type="http://schemas.openxmlformats.org/officeDocument/2006/relationships/hyperlink" Target="http://pbs.twimg.com/profile_images/1520041519155236868/L9WMtdIz_normal.jpg" TargetMode="External"/><Relationship Id="rId4503" Type="http://schemas.openxmlformats.org/officeDocument/2006/relationships/hyperlink" Target="http://pbs.twimg.com/profile_images/378800000203736022/4236550ab6739da461fd39afaade29c5_normal.jpeg" TargetMode="External"/><Relationship Id="rId5835" Type="http://schemas.openxmlformats.org/officeDocument/2006/relationships/hyperlink" Target="http://pbs.twimg.com/profile_images/1482451633111982086/-AVR5wZB_normal.jpg" TargetMode="External"/><Relationship Id="rId1478" Type="http://schemas.openxmlformats.org/officeDocument/2006/relationships/hyperlink" Target="http://twitter.com/kickingeap/statuses/1521046314968141826" TargetMode="External"/><Relationship Id="rId4502" Type="http://schemas.openxmlformats.org/officeDocument/2006/relationships/hyperlink" Target="http://twitter.com/pjr1007/statuses/1520962941767458816" TargetMode="External"/><Relationship Id="rId5836" Type="http://schemas.openxmlformats.org/officeDocument/2006/relationships/hyperlink" Target="http://twitter.com/GarySenior1/statuses/1520884900886372352" TargetMode="External"/><Relationship Id="rId1479" Type="http://schemas.openxmlformats.org/officeDocument/2006/relationships/hyperlink" Target="http://pbs.twimg.com/profile_images/462511785812033538/H9KYz-Mr_normal.jpeg" TargetMode="External"/><Relationship Id="rId4505" Type="http://schemas.openxmlformats.org/officeDocument/2006/relationships/hyperlink" Target="http://pbs.twimg.com/profile_images/1501541579986771978/Qfku8i5L_normal.jpg" TargetMode="External"/><Relationship Id="rId5833" Type="http://schemas.openxmlformats.org/officeDocument/2006/relationships/hyperlink" Target="http://abs.twimg.com/sticky/default_profile_images/default_profile_normal.png" TargetMode="External"/><Relationship Id="rId4504" Type="http://schemas.openxmlformats.org/officeDocument/2006/relationships/hyperlink" Target="http://twitter.com/pjr1007/statuses/1520962886260391936" TargetMode="External"/><Relationship Id="rId5834" Type="http://schemas.openxmlformats.org/officeDocument/2006/relationships/hyperlink" Target="http://twitter.com/Patthedog5/statuses/1520884909832916994" TargetMode="External"/><Relationship Id="rId4507" Type="http://schemas.openxmlformats.org/officeDocument/2006/relationships/hyperlink" Target="http://pbs.twimg.com/profile_images/1468735902579109894/pgQ3ARAz_normal.jpg" TargetMode="External"/><Relationship Id="rId5839" Type="http://schemas.openxmlformats.org/officeDocument/2006/relationships/hyperlink" Target="http://pbs.twimg.com/profile_images/1314108241060732928/16XTdYHL_normal.jpg" TargetMode="External"/><Relationship Id="rId4506" Type="http://schemas.openxmlformats.org/officeDocument/2006/relationships/hyperlink" Target="http://twitter.com/J_Andrew_Evans/statuses/1520961818113499136" TargetMode="External"/><Relationship Id="rId4509" Type="http://schemas.openxmlformats.org/officeDocument/2006/relationships/hyperlink" Target="http://abs.twimg.com/sticky/default_profile_images/default_profile_normal.png" TargetMode="External"/><Relationship Id="rId5837" Type="http://schemas.openxmlformats.org/officeDocument/2006/relationships/hyperlink" Target="http://pbs.twimg.com/profile_images/1497711846945693697/ewN7oafP_normal.jpg" TargetMode="External"/><Relationship Id="rId4508" Type="http://schemas.openxmlformats.org/officeDocument/2006/relationships/hyperlink" Target="http://twitter.com/GranataLLC/statuses/1520959795465195520" TargetMode="External"/><Relationship Id="rId5838" Type="http://schemas.openxmlformats.org/officeDocument/2006/relationships/hyperlink" Target="http://twitter.com/Athelwulf_wulf/statuses/1520884846440103936" TargetMode="External"/><Relationship Id="rId646" Type="http://schemas.openxmlformats.org/officeDocument/2006/relationships/hyperlink" Target="http://twitter.com/Reasons2Rejoin/statuses/1521061624173539329" TargetMode="External"/><Relationship Id="rId645" Type="http://schemas.openxmlformats.org/officeDocument/2006/relationships/hyperlink" Target="http://pbs.twimg.com/profile_images/719834784931979264/PvzjFM_J_normal.jpg" TargetMode="External"/><Relationship Id="rId644" Type="http://schemas.openxmlformats.org/officeDocument/2006/relationships/hyperlink" Target="http://twitter.com/mikew4EU/statuses/1521061639382085633" TargetMode="External"/><Relationship Id="rId643" Type="http://schemas.openxmlformats.org/officeDocument/2006/relationships/hyperlink" Target="http://pbs.twimg.com/profile_images/1372551209295446019/1VLlehOi_normal.jpg" TargetMode="External"/><Relationship Id="rId649" Type="http://schemas.openxmlformats.org/officeDocument/2006/relationships/hyperlink" Target="http://abs.twimg.com/sticky/default_profile_images/default_profile_normal.png" TargetMode="External"/><Relationship Id="rId648" Type="http://schemas.openxmlformats.org/officeDocument/2006/relationships/hyperlink" Target="http://twitter.com/larrietiernan/statuses/1521061607186571264" TargetMode="External"/><Relationship Id="rId647" Type="http://schemas.openxmlformats.org/officeDocument/2006/relationships/hyperlink" Target="http://pbs.twimg.com/profile_images/2399790932/gmkozko8p9ubs044km0d_normal.jpeg" TargetMode="External"/><Relationship Id="rId1470" Type="http://schemas.openxmlformats.org/officeDocument/2006/relationships/hyperlink" Target="http://twitter.com/nickraybaker/statuses/1521046392990584832" TargetMode="External"/><Relationship Id="rId1471" Type="http://schemas.openxmlformats.org/officeDocument/2006/relationships/hyperlink" Target="http://pbs.twimg.com/profile_images/462511785812033538/H9KYz-Mr_normal.jpeg" TargetMode="External"/><Relationship Id="rId1472" Type="http://schemas.openxmlformats.org/officeDocument/2006/relationships/hyperlink" Target="http://twitter.com/fitzjimi/statuses/1521046343069970433" TargetMode="External"/><Relationship Id="rId642" Type="http://schemas.openxmlformats.org/officeDocument/2006/relationships/hyperlink" Target="http://twitter.com/Macheath1/statuses/1521061700887367680" TargetMode="External"/><Relationship Id="rId1473" Type="http://schemas.openxmlformats.org/officeDocument/2006/relationships/hyperlink" Target="http://abs.twimg.com/sticky/default_profile_images/default_profile_normal.png" TargetMode="External"/><Relationship Id="rId5831" Type="http://schemas.openxmlformats.org/officeDocument/2006/relationships/hyperlink" Target="http://abs.twimg.com/sticky/default_profile_images/default_profile_normal.png" TargetMode="External"/><Relationship Id="rId641" Type="http://schemas.openxmlformats.org/officeDocument/2006/relationships/hyperlink" Target="http://pbs.twimg.com/profile_images/498066849402064896/TmDHTnCF_normal.jpeg" TargetMode="External"/><Relationship Id="rId1474" Type="http://schemas.openxmlformats.org/officeDocument/2006/relationships/hyperlink" Target="http://twitter.com/GemmaBee9/statuses/1521046324203900928" TargetMode="External"/><Relationship Id="rId5832" Type="http://schemas.openxmlformats.org/officeDocument/2006/relationships/hyperlink" Target="http://twitter.com/stephga5/statuses/1520884934617018370" TargetMode="External"/><Relationship Id="rId640" Type="http://schemas.openxmlformats.org/officeDocument/2006/relationships/hyperlink" Target="http://twitter.com/garside_geoff/statuses/1521061836292083712" TargetMode="External"/><Relationship Id="rId1475" Type="http://schemas.openxmlformats.org/officeDocument/2006/relationships/hyperlink" Target="http://pbs.twimg.com/profile_images/875395266467287041/vOkUTd_d_normal.jpg" TargetMode="External"/><Relationship Id="rId4501" Type="http://schemas.openxmlformats.org/officeDocument/2006/relationships/hyperlink" Target="http://pbs.twimg.com/profile_images/378800000203736022/4236550ab6739da461fd39afaade29c5_normal.jpeg" TargetMode="External"/><Relationship Id="rId1476" Type="http://schemas.openxmlformats.org/officeDocument/2006/relationships/hyperlink" Target="http://twitter.com/AiberdeinQuine/statuses/1521046316415082496" TargetMode="External"/><Relationship Id="rId4500" Type="http://schemas.openxmlformats.org/officeDocument/2006/relationships/hyperlink" Target="http://twitter.com/pjr1007/statuses/1520962968703610881" TargetMode="External"/><Relationship Id="rId5830" Type="http://schemas.openxmlformats.org/officeDocument/2006/relationships/hyperlink" Target="http://twitter.com/Zlitniya/statuses/1520884935099310083" TargetMode="External"/><Relationship Id="rId1466" Type="http://schemas.openxmlformats.org/officeDocument/2006/relationships/hyperlink" Target="http://twitter.com/Clarioncall18mi/statuses/1521046472531320832" TargetMode="External"/><Relationship Id="rId2797" Type="http://schemas.openxmlformats.org/officeDocument/2006/relationships/hyperlink" Target="http://pbs.twimg.com/profile_images/1509938938739400705/CXasD8FB_normal.jpg" TargetMode="External"/><Relationship Id="rId5824" Type="http://schemas.openxmlformats.org/officeDocument/2006/relationships/hyperlink" Target="http://twitter.com/doubledodge/statuses/1520884991512698881" TargetMode="External"/><Relationship Id="rId1467" Type="http://schemas.openxmlformats.org/officeDocument/2006/relationships/hyperlink" Target="http://pbs.twimg.com/profile_images/1376175483973435393/5bi8pPHG_normal.jpg" TargetMode="External"/><Relationship Id="rId2798" Type="http://schemas.openxmlformats.org/officeDocument/2006/relationships/hyperlink" Target="http://twitter.com/NickDelaney9/statuses/1521023312532590595" TargetMode="External"/><Relationship Id="rId5825" Type="http://schemas.openxmlformats.org/officeDocument/2006/relationships/hyperlink" Target="http://pbs.twimg.com/profile_images/3208513910/eaef6156ad1aaed467dfc94cff94f55f_normal.jpeg" TargetMode="External"/><Relationship Id="rId1468" Type="http://schemas.openxmlformats.org/officeDocument/2006/relationships/hyperlink" Target="http://twitter.com/michelle8969/statuses/1521046400229851137" TargetMode="External"/><Relationship Id="rId2799" Type="http://schemas.openxmlformats.org/officeDocument/2006/relationships/hyperlink" Target="http://pbs.twimg.com/profile_images/1011256691843911680/WSinp4B8_normal.jpg" TargetMode="External"/><Relationship Id="rId5822" Type="http://schemas.openxmlformats.org/officeDocument/2006/relationships/hyperlink" Target="http://twitter.com/isthisab0t/statuses/1520885036488265729" TargetMode="External"/><Relationship Id="rId1469" Type="http://schemas.openxmlformats.org/officeDocument/2006/relationships/hyperlink" Target="http://pbs.twimg.com/profile_images/756888955862315009/IIdcudRi_normal.jpg" TargetMode="External"/><Relationship Id="rId5823" Type="http://schemas.openxmlformats.org/officeDocument/2006/relationships/hyperlink" Target="http://pbs.twimg.com/profile_images/1497157437304025096/nMIX40cx_normal.jpg" TargetMode="External"/><Relationship Id="rId5828" Type="http://schemas.openxmlformats.org/officeDocument/2006/relationships/hyperlink" Target="http://twitter.com/Athelwulf_wulf/statuses/1520884939734110210" TargetMode="External"/><Relationship Id="rId5829" Type="http://schemas.openxmlformats.org/officeDocument/2006/relationships/hyperlink" Target="http://pbs.twimg.com/profile_images/1215042574353862656/8ESWCJmU_normal.jpg" TargetMode="External"/><Relationship Id="rId5826" Type="http://schemas.openxmlformats.org/officeDocument/2006/relationships/hyperlink" Target="http://twitter.com/KellerZoe/statuses/1520884951171977216" TargetMode="External"/><Relationship Id="rId5827" Type="http://schemas.openxmlformats.org/officeDocument/2006/relationships/hyperlink" Target="http://pbs.twimg.com/profile_images/1497711846945693697/ewN7oafP_normal.jpg" TargetMode="External"/><Relationship Id="rId635" Type="http://schemas.openxmlformats.org/officeDocument/2006/relationships/hyperlink" Target="http://pbs.twimg.com/profile_images/1349071400401833987/BiORcOg-_normal.jpg" TargetMode="External"/><Relationship Id="rId634" Type="http://schemas.openxmlformats.org/officeDocument/2006/relationships/hyperlink" Target="http://twitter.com/JTempowski/statuses/1521061860648312832" TargetMode="External"/><Relationship Id="rId633" Type="http://schemas.openxmlformats.org/officeDocument/2006/relationships/hyperlink" Target="http://pbs.twimg.com/profile_images/636852912040374272/L0LwvbEp_normal.png" TargetMode="External"/><Relationship Id="rId632" Type="http://schemas.openxmlformats.org/officeDocument/2006/relationships/hyperlink" Target="http://twitter.com/Raycspike/statuses/1521061900615888896" TargetMode="External"/><Relationship Id="rId639" Type="http://schemas.openxmlformats.org/officeDocument/2006/relationships/hyperlink" Target="http://pbs.twimg.com/profile_images/1496203778118369282/RdTYCX7Y_normal.jpg" TargetMode="External"/><Relationship Id="rId638" Type="http://schemas.openxmlformats.org/officeDocument/2006/relationships/hyperlink" Target="http://twitter.com/DEYCatherine1/statuses/1521061843682353152" TargetMode="External"/><Relationship Id="rId637" Type="http://schemas.openxmlformats.org/officeDocument/2006/relationships/hyperlink" Target="http://pbs.twimg.com/profile_images/1477583989674323970/eaiEdDYY_normal.jpg" TargetMode="External"/><Relationship Id="rId636" Type="http://schemas.openxmlformats.org/officeDocument/2006/relationships/hyperlink" Target="http://twitter.com/IvanKlass_/statuses/1521061847046238211" TargetMode="External"/><Relationship Id="rId2790" Type="http://schemas.openxmlformats.org/officeDocument/2006/relationships/hyperlink" Target="http://twitter.com/tydd39175761/statuses/1521023437803827201" TargetMode="External"/><Relationship Id="rId1460" Type="http://schemas.openxmlformats.org/officeDocument/2006/relationships/hyperlink" Target="http://twitter.com/ormy27/statuses/1521046646016126977" TargetMode="External"/><Relationship Id="rId2791" Type="http://schemas.openxmlformats.org/officeDocument/2006/relationships/hyperlink" Target="http://pbs.twimg.com/profile_images/1426103057511763972/_oL_ablR_normal.jpg" TargetMode="External"/><Relationship Id="rId1461" Type="http://schemas.openxmlformats.org/officeDocument/2006/relationships/hyperlink" Target="http://abs.twimg.com/sticky/default_profile_images/default_profile_normal.png" TargetMode="External"/><Relationship Id="rId2792" Type="http://schemas.openxmlformats.org/officeDocument/2006/relationships/hyperlink" Target="http://twitter.com/Wibbers13/statuses/1521023394078208000" TargetMode="External"/><Relationship Id="rId631" Type="http://schemas.openxmlformats.org/officeDocument/2006/relationships/hyperlink" Target="http://pbs.twimg.com/profile_images/1496885079922167820/4k0114CY_normal.jpg" TargetMode="External"/><Relationship Id="rId1462" Type="http://schemas.openxmlformats.org/officeDocument/2006/relationships/hyperlink" Target="http://twitter.com/DavidDsmithson1/statuses/1521046595529326592" TargetMode="External"/><Relationship Id="rId2793" Type="http://schemas.openxmlformats.org/officeDocument/2006/relationships/hyperlink" Target="http://pbs.twimg.com/profile_images/1183812113480978432/XxjCd12r_normal.jpg" TargetMode="External"/><Relationship Id="rId5820" Type="http://schemas.openxmlformats.org/officeDocument/2006/relationships/hyperlink" Target="http://twitter.com/Athelwulf_wulf/statuses/1520885037692067844" TargetMode="External"/><Relationship Id="rId630" Type="http://schemas.openxmlformats.org/officeDocument/2006/relationships/hyperlink" Target="http://twitter.com/theradgeygadgey/statuses/1521062039254405120" TargetMode="External"/><Relationship Id="rId1463" Type="http://schemas.openxmlformats.org/officeDocument/2006/relationships/hyperlink" Target="http://pbs.twimg.com/profile_images/756888955862315009/IIdcudRi_normal.jpg" TargetMode="External"/><Relationship Id="rId2794" Type="http://schemas.openxmlformats.org/officeDocument/2006/relationships/hyperlink" Target="http://twitter.com/e_evison/statuses/1521023385190514689" TargetMode="External"/><Relationship Id="rId5821" Type="http://schemas.openxmlformats.org/officeDocument/2006/relationships/hyperlink" Target="http://pbs.twimg.com/profile_images/1225538244344938496/16id1r6l_normal.jpg" TargetMode="External"/><Relationship Id="rId1464" Type="http://schemas.openxmlformats.org/officeDocument/2006/relationships/hyperlink" Target="http://twitter.com/nickraybaker/statuses/1521046541863206912" TargetMode="External"/><Relationship Id="rId2795" Type="http://schemas.openxmlformats.org/officeDocument/2006/relationships/hyperlink" Target="http://pbs.twimg.com/profile_images/1162623017370783744/JlotqT-C_normal.jpg" TargetMode="External"/><Relationship Id="rId1465" Type="http://schemas.openxmlformats.org/officeDocument/2006/relationships/hyperlink" Target="http://pbs.twimg.com/profile_images/1433899452331438087/L1Kr0cRG_normal.jpg" TargetMode="External"/><Relationship Id="rId2796" Type="http://schemas.openxmlformats.org/officeDocument/2006/relationships/hyperlink" Target="http://twitter.com/BapaArts/statuses/1521023376785121281" TargetMode="External"/><Relationship Id="rId1411" Type="http://schemas.openxmlformats.org/officeDocument/2006/relationships/hyperlink" Target="http://abs.twimg.com/sticky/default_profile_images/default_profile_normal.png" TargetMode="External"/><Relationship Id="rId2742" Type="http://schemas.openxmlformats.org/officeDocument/2006/relationships/hyperlink" Target="http://twitter.com/allbonjeff16/statuses/1521024267172909056" TargetMode="External"/><Relationship Id="rId1412" Type="http://schemas.openxmlformats.org/officeDocument/2006/relationships/hyperlink" Target="http://twitter.com/SusanBayliss6/statuses/1521047400986591233" TargetMode="External"/><Relationship Id="rId2743" Type="http://schemas.openxmlformats.org/officeDocument/2006/relationships/hyperlink" Target="http://pbs.twimg.com/profile_images/1504745838853169153/fRHnmY5W_normal.jpg" TargetMode="External"/><Relationship Id="rId1413" Type="http://schemas.openxmlformats.org/officeDocument/2006/relationships/hyperlink" Target="http://pbs.twimg.com/profile_images/1337480100972027905/xVAmDzcP_normal.jpg" TargetMode="External"/><Relationship Id="rId2744" Type="http://schemas.openxmlformats.org/officeDocument/2006/relationships/hyperlink" Target="http://twitter.com/allbonjeff16/statuses/1521024224177045504" TargetMode="External"/><Relationship Id="rId1414" Type="http://schemas.openxmlformats.org/officeDocument/2006/relationships/hyperlink" Target="http://twitter.com/leceleven/statuses/1521047296359780352" TargetMode="External"/><Relationship Id="rId2745" Type="http://schemas.openxmlformats.org/officeDocument/2006/relationships/hyperlink" Target="http://pbs.twimg.com/profile_images/903734531617955841/yX6eu23Y_normal.jpg" TargetMode="External"/><Relationship Id="rId1415" Type="http://schemas.openxmlformats.org/officeDocument/2006/relationships/hyperlink" Target="http://pbs.twimg.com/profile_images/1373747190913511436/4Icru8LT_normal.jpg" TargetMode="External"/><Relationship Id="rId2746" Type="http://schemas.openxmlformats.org/officeDocument/2006/relationships/hyperlink" Target="http://twitter.com/JoyBrook1/statuses/1521024207383056385" TargetMode="External"/><Relationship Id="rId1416" Type="http://schemas.openxmlformats.org/officeDocument/2006/relationships/hyperlink" Target="http://twitter.com/Margare55035539/statuses/1521047265678397440" TargetMode="External"/><Relationship Id="rId2747" Type="http://schemas.openxmlformats.org/officeDocument/2006/relationships/hyperlink" Target="http://pbs.twimg.com/profile_images/903734531617955841/yX6eu23Y_normal.jpg" TargetMode="External"/><Relationship Id="rId1417" Type="http://schemas.openxmlformats.org/officeDocument/2006/relationships/hyperlink" Target="http://pbs.twimg.com/profile_images/846011967525543938/uNFhYD5c_normal.jpg" TargetMode="External"/><Relationship Id="rId2748" Type="http://schemas.openxmlformats.org/officeDocument/2006/relationships/hyperlink" Target="http://twitter.com/JoyBrook1/statuses/1521024194221420544" TargetMode="External"/><Relationship Id="rId1418" Type="http://schemas.openxmlformats.org/officeDocument/2006/relationships/hyperlink" Target="http://twitter.com/JohnClarke1960/statuses/1521047249102544896" TargetMode="External"/><Relationship Id="rId2749" Type="http://schemas.openxmlformats.org/officeDocument/2006/relationships/hyperlink" Target="http://pbs.twimg.com/profile_images/1402249305616945158/53wa8E8K_normal.jpg" TargetMode="External"/><Relationship Id="rId1419" Type="http://schemas.openxmlformats.org/officeDocument/2006/relationships/hyperlink" Target="http://pbs.twimg.com/profile_images/1271793753104228354/y84L7u0Q_normal.jpg" TargetMode="External"/><Relationship Id="rId2740" Type="http://schemas.openxmlformats.org/officeDocument/2006/relationships/hyperlink" Target="http://twitter.com/OnCanter/statuses/1521024293630529537" TargetMode="External"/><Relationship Id="rId1410" Type="http://schemas.openxmlformats.org/officeDocument/2006/relationships/hyperlink" Target="http://twitter.com/allanukscotland/statuses/1521047405361348608" TargetMode="External"/><Relationship Id="rId2741" Type="http://schemas.openxmlformats.org/officeDocument/2006/relationships/hyperlink" Target="http://pbs.twimg.com/profile_images/1504745838853169153/fRHnmY5W_normal.jpg" TargetMode="External"/><Relationship Id="rId1400" Type="http://schemas.openxmlformats.org/officeDocument/2006/relationships/hyperlink" Target="http://twitter.com/JulieLesniarek/statuses/1521047460654764033" TargetMode="External"/><Relationship Id="rId2731" Type="http://schemas.openxmlformats.org/officeDocument/2006/relationships/hyperlink" Target="http://pbs.twimg.com/profile_images/1512301681765191689/Uj0cUxIb_normal.jpg" TargetMode="External"/><Relationship Id="rId1401" Type="http://schemas.openxmlformats.org/officeDocument/2006/relationships/hyperlink" Target="http://pbs.twimg.com/profile_images/1487927616271228932/pwjJv-cS_normal.jpg" TargetMode="External"/><Relationship Id="rId2732" Type="http://schemas.openxmlformats.org/officeDocument/2006/relationships/hyperlink" Target="http://twitter.com/JanineMcNair/statuses/1521024468923166720" TargetMode="External"/><Relationship Id="rId1402" Type="http://schemas.openxmlformats.org/officeDocument/2006/relationships/hyperlink" Target="http://twitter.com/OnTheSofaUK/statuses/1521047451427299329" TargetMode="External"/><Relationship Id="rId2733" Type="http://schemas.openxmlformats.org/officeDocument/2006/relationships/hyperlink" Target="http://pbs.twimg.com/profile_images/775000634324033537/24gSoNgH_normal.jpg" TargetMode="External"/><Relationship Id="rId1403" Type="http://schemas.openxmlformats.org/officeDocument/2006/relationships/hyperlink" Target="http://pbs.twimg.com/profile_images/1444134081005035522/uBl5OrlO_normal.jpg" TargetMode="External"/><Relationship Id="rId2734" Type="http://schemas.openxmlformats.org/officeDocument/2006/relationships/hyperlink" Target="http://twitter.com/MobileJustice/statuses/1521024436194926596" TargetMode="External"/><Relationship Id="rId1404" Type="http://schemas.openxmlformats.org/officeDocument/2006/relationships/hyperlink" Target="http://twitter.com/SnookMalcolm/statuses/1521047451322535938" TargetMode="External"/><Relationship Id="rId2735" Type="http://schemas.openxmlformats.org/officeDocument/2006/relationships/hyperlink" Target="http://pbs.twimg.com/profile_images/1455162145671426058/tx0W9ZY2_normal.jpg" TargetMode="External"/><Relationship Id="rId1405" Type="http://schemas.openxmlformats.org/officeDocument/2006/relationships/hyperlink" Target="http://abs.twimg.com/sticky/default_profile_images/default_profile_normal.png" TargetMode="External"/><Relationship Id="rId2736" Type="http://schemas.openxmlformats.org/officeDocument/2006/relationships/hyperlink" Target="http://twitter.com/FunnyPeculiarF5/statuses/1521024310747537408" TargetMode="External"/><Relationship Id="rId1406" Type="http://schemas.openxmlformats.org/officeDocument/2006/relationships/hyperlink" Target="http://twitter.com/jenkinskeith9/statuses/1521047418585894916" TargetMode="External"/><Relationship Id="rId2737" Type="http://schemas.openxmlformats.org/officeDocument/2006/relationships/hyperlink" Target="http://pbs.twimg.com/profile_images/1512771176736690176/VY710SJi_normal.jpg" TargetMode="External"/><Relationship Id="rId1407" Type="http://schemas.openxmlformats.org/officeDocument/2006/relationships/hyperlink" Target="http://pbs.twimg.com/profile_images/858314041416142849/YPE9efKa_normal.jpg" TargetMode="External"/><Relationship Id="rId2738" Type="http://schemas.openxmlformats.org/officeDocument/2006/relationships/hyperlink" Target="http://twitter.com/CDWalls14/statuses/1521024303109742594" TargetMode="External"/><Relationship Id="rId1408" Type="http://schemas.openxmlformats.org/officeDocument/2006/relationships/hyperlink" Target="http://twitter.com/hexham4pa/statuses/1521047409052336129" TargetMode="External"/><Relationship Id="rId2739" Type="http://schemas.openxmlformats.org/officeDocument/2006/relationships/hyperlink" Target="http://pbs.twimg.com/profile_images/1281734935120838657/0XPJNkjp_normal.jpg" TargetMode="External"/><Relationship Id="rId1409" Type="http://schemas.openxmlformats.org/officeDocument/2006/relationships/hyperlink" Target="http://pbs.twimg.com/profile_images/1777648477/allan_2_normal.jpg" TargetMode="External"/><Relationship Id="rId2730" Type="http://schemas.openxmlformats.org/officeDocument/2006/relationships/hyperlink" Target="http://twitter.com/disasterhistory/statuses/1521024540662456321" TargetMode="External"/><Relationship Id="rId1433" Type="http://schemas.openxmlformats.org/officeDocument/2006/relationships/hyperlink" Target="http://pbs.twimg.com/profile_images/1131856110766448640/a4e6i01k_normal.jpg" TargetMode="External"/><Relationship Id="rId2764" Type="http://schemas.openxmlformats.org/officeDocument/2006/relationships/hyperlink" Target="http://twitter.com/Survindar/statuses/1521023942655451136" TargetMode="External"/><Relationship Id="rId1434" Type="http://schemas.openxmlformats.org/officeDocument/2006/relationships/hyperlink" Target="http://twitter.com/franjangle/statuses/1521047067837276161" TargetMode="External"/><Relationship Id="rId2765" Type="http://schemas.openxmlformats.org/officeDocument/2006/relationships/hyperlink" Target="http://pbs.twimg.com/profile_images/1298565607856766977/xpB3D7DY_normal.jpg" TargetMode="External"/><Relationship Id="rId1435" Type="http://schemas.openxmlformats.org/officeDocument/2006/relationships/hyperlink" Target="http://pbs.twimg.com/profile_images/1131856110766448640/a4e6i01k_normal.jpg" TargetMode="External"/><Relationship Id="rId2766" Type="http://schemas.openxmlformats.org/officeDocument/2006/relationships/hyperlink" Target="http://twitter.com/muttleyarsenal9/statuses/1521023922904485888" TargetMode="External"/><Relationship Id="rId1436" Type="http://schemas.openxmlformats.org/officeDocument/2006/relationships/hyperlink" Target="http://twitter.com/franjangle/statuses/1521047057296986113" TargetMode="External"/><Relationship Id="rId2767" Type="http://schemas.openxmlformats.org/officeDocument/2006/relationships/hyperlink" Target="http://pbs.twimg.com/profile_images/1263476930990440448/ZbmFLl_T_normal.jpg" TargetMode="External"/><Relationship Id="rId1437" Type="http://schemas.openxmlformats.org/officeDocument/2006/relationships/hyperlink" Target="http://pbs.twimg.com/profile_images/1255563001907892229/MmKcTqos_normal.jpg" TargetMode="External"/><Relationship Id="rId2768" Type="http://schemas.openxmlformats.org/officeDocument/2006/relationships/hyperlink" Target="http://twitter.com/MichaelsMoss/statuses/1521023900838240258" TargetMode="External"/><Relationship Id="rId1438" Type="http://schemas.openxmlformats.org/officeDocument/2006/relationships/hyperlink" Target="http://twitter.com/gandoflam/statuses/1521046987570880512" TargetMode="External"/><Relationship Id="rId2769" Type="http://schemas.openxmlformats.org/officeDocument/2006/relationships/hyperlink" Target="http://pbs.twimg.com/profile_images/1514871725330157568/02I_WoLC_normal.jpg" TargetMode="External"/><Relationship Id="rId1439" Type="http://schemas.openxmlformats.org/officeDocument/2006/relationships/hyperlink" Target="http://pbs.twimg.com/profile_images/1340002885015318531/MT4QGTrF_normal.jpg" TargetMode="External"/><Relationship Id="rId609" Type="http://schemas.openxmlformats.org/officeDocument/2006/relationships/hyperlink" Target="http://pbs.twimg.com/profile_images/1350406548984500225/ls3sOmBf_normal.png" TargetMode="External"/><Relationship Id="rId608" Type="http://schemas.openxmlformats.org/officeDocument/2006/relationships/hyperlink" Target="http://twitter.com/fluteuphisnose/statuses/1521062432013271042" TargetMode="External"/><Relationship Id="rId607" Type="http://schemas.openxmlformats.org/officeDocument/2006/relationships/hyperlink" Target="http://pbs.twimg.com/profile_images/1346417494957944833/fWtQZMpg_normal.jpg" TargetMode="External"/><Relationship Id="rId602" Type="http://schemas.openxmlformats.org/officeDocument/2006/relationships/hyperlink" Target="http://twitter.com/Rachel_Borrill/statuses/1521062526934528000" TargetMode="External"/><Relationship Id="rId601" Type="http://schemas.openxmlformats.org/officeDocument/2006/relationships/hyperlink" Target="http://pbs.twimg.com/profile_images/2087114943/smaller_rose_normal.jpg" TargetMode="External"/><Relationship Id="rId600" Type="http://schemas.openxmlformats.org/officeDocument/2006/relationships/hyperlink" Target="http://twitter.com/LordFluffon/statuses/1521062567946465280" TargetMode="External"/><Relationship Id="rId606" Type="http://schemas.openxmlformats.org/officeDocument/2006/relationships/hyperlink" Target="http://twitter.com/Eleanor1026/statuses/1521062475004796928" TargetMode="External"/><Relationship Id="rId605" Type="http://schemas.openxmlformats.org/officeDocument/2006/relationships/hyperlink" Target="http://pbs.twimg.com/profile_images/512794861842333697/-tZr7fcL_normal.jpeg" TargetMode="External"/><Relationship Id="rId604" Type="http://schemas.openxmlformats.org/officeDocument/2006/relationships/hyperlink" Target="http://twitter.com/lucysqueetle/statuses/1521062493032005633" TargetMode="External"/><Relationship Id="rId603" Type="http://schemas.openxmlformats.org/officeDocument/2006/relationships/hyperlink" Target="http://pbs.twimg.com/profile_images/1005013058840940544/dyZhNtTA_normal.jpg" TargetMode="External"/><Relationship Id="rId2760" Type="http://schemas.openxmlformats.org/officeDocument/2006/relationships/hyperlink" Target="http://twitter.com/Emmacochrane9/statuses/1521024062885183490" TargetMode="External"/><Relationship Id="rId1430" Type="http://schemas.openxmlformats.org/officeDocument/2006/relationships/hyperlink" Target="http://twitter.com/Chazz0505/statuses/1521047110279434241" TargetMode="External"/><Relationship Id="rId2761" Type="http://schemas.openxmlformats.org/officeDocument/2006/relationships/hyperlink" Target="http://pbs.twimg.com/profile_images/1132184434675994625/uBUGenML_normal.jpg" TargetMode="External"/><Relationship Id="rId1431" Type="http://schemas.openxmlformats.org/officeDocument/2006/relationships/hyperlink" Target="http://pbs.twimg.com/profile_images/1505190376335974400/EuUA2O_1_normal.jpg" TargetMode="External"/><Relationship Id="rId2762" Type="http://schemas.openxmlformats.org/officeDocument/2006/relationships/hyperlink" Target="http://twitter.com/PettingerAndrew/statuses/1521024061333196800" TargetMode="External"/><Relationship Id="rId1432" Type="http://schemas.openxmlformats.org/officeDocument/2006/relationships/hyperlink" Target="http://twitter.com/rec777777/statuses/1521047083351949314" TargetMode="External"/><Relationship Id="rId2763" Type="http://schemas.openxmlformats.org/officeDocument/2006/relationships/hyperlink" Target="http://pbs.twimg.com/profile_images/452472138700566528/A3sz2dce_normal.jpeg" TargetMode="External"/><Relationship Id="rId1422" Type="http://schemas.openxmlformats.org/officeDocument/2006/relationships/hyperlink" Target="http://twitter.com/ianwshaw/statuses/1521047226478469120" TargetMode="External"/><Relationship Id="rId2753" Type="http://schemas.openxmlformats.org/officeDocument/2006/relationships/hyperlink" Target="http://pbs.twimg.com/profile_images/1504745838853169153/fRHnmY5W_normal.jpg" TargetMode="External"/><Relationship Id="rId1423" Type="http://schemas.openxmlformats.org/officeDocument/2006/relationships/hyperlink" Target="http://pbs.twimg.com/profile_images/1491907582298148867/Owy0CO-p_normal.jpg" TargetMode="External"/><Relationship Id="rId2754" Type="http://schemas.openxmlformats.org/officeDocument/2006/relationships/hyperlink" Target="http://twitter.com/allbonjeff16/statuses/1521024160180453379" TargetMode="External"/><Relationship Id="rId1424" Type="http://schemas.openxmlformats.org/officeDocument/2006/relationships/hyperlink" Target="http://twitter.com/thinkingiamwait/statuses/1521047181771386880" TargetMode="External"/><Relationship Id="rId2755" Type="http://schemas.openxmlformats.org/officeDocument/2006/relationships/hyperlink" Target="http://abs.twimg.com/sticky/default_profile_images/default_profile_normal.png" TargetMode="External"/><Relationship Id="rId1425" Type="http://schemas.openxmlformats.org/officeDocument/2006/relationships/hyperlink" Target="http://pbs.twimg.com/profile_images/1504155819398639625/4hSM3p91_normal.jpg" TargetMode="External"/><Relationship Id="rId2756" Type="http://schemas.openxmlformats.org/officeDocument/2006/relationships/hyperlink" Target="http://twitter.com/Dempsey1972John/statuses/1521024143042490368" TargetMode="External"/><Relationship Id="rId1426" Type="http://schemas.openxmlformats.org/officeDocument/2006/relationships/hyperlink" Target="http://twitter.com/ShortbreadFairy/statuses/1521047154105716737" TargetMode="External"/><Relationship Id="rId2757" Type="http://schemas.openxmlformats.org/officeDocument/2006/relationships/hyperlink" Target="http://pbs.twimg.com/profile_images/1500395867450265601/m2wwk5QX_normal.jpg" TargetMode="External"/><Relationship Id="rId1427" Type="http://schemas.openxmlformats.org/officeDocument/2006/relationships/hyperlink" Target="http://pbs.twimg.com/profile_images/1328361009887711234/pd7_-M0V_normal.jpg" TargetMode="External"/><Relationship Id="rId2758" Type="http://schemas.openxmlformats.org/officeDocument/2006/relationships/hyperlink" Target="http://twitter.com/Lordwessenden12/statuses/1521024090538139648" TargetMode="External"/><Relationship Id="rId1428" Type="http://schemas.openxmlformats.org/officeDocument/2006/relationships/hyperlink" Target="http://twitter.com/JulesHobbs3/statuses/1521047112846393345" TargetMode="External"/><Relationship Id="rId2759" Type="http://schemas.openxmlformats.org/officeDocument/2006/relationships/hyperlink" Target="http://pbs.twimg.com/profile_images/1498055688894959621/Iah-Qq4o_normal.jpg" TargetMode="External"/><Relationship Id="rId1429" Type="http://schemas.openxmlformats.org/officeDocument/2006/relationships/hyperlink" Target="http://pbs.twimg.com/profile_images/1497705270847418375/YZFOZ2KE_normal.jpg" TargetMode="External"/><Relationship Id="rId2750" Type="http://schemas.openxmlformats.org/officeDocument/2006/relationships/hyperlink" Target="http://twitter.com/PowerWithin0706/statuses/1521024183832043520" TargetMode="External"/><Relationship Id="rId1420" Type="http://schemas.openxmlformats.org/officeDocument/2006/relationships/hyperlink" Target="http://twitter.com/tintin9990/statuses/1521047232522424320" TargetMode="External"/><Relationship Id="rId2751" Type="http://schemas.openxmlformats.org/officeDocument/2006/relationships/hyperlink" Target="http://pbs.twimg.com/profile_images/903734531617955841/yX6eu23Y_normal.jpg" TargetMode="External"/><Relationship Id="rId1421" Type="http://schemas.openxmlformats.org/officeDocument/2006/relationships/hyperlink" Target="http://pbs.twimg.com/profile_images/1510195551152873472/kylAcyPK_normal.jpg" TargetMode="External"/><Relationship Id="rId2752" Type="http://schemas.openxmlformats.org/officeDocument/2006/relationships/hyperlink" Target="http://twitter.com/JoyBrook1/statuses/1521024177637146626" TargetMode="External"/><Relationship Id="rId3238" Type="http://schemas.openxmlformats.org/officeDocument/2006/relationships/hyperlink" Target="http://twitter.com/RadiateNappa/statuses/1521015745513107456" TargetMode="External"/><Relationship Id="rId4569" Type="http://schemas.openxmlformats.org/officeDocument/2006/relationships/hyperlink" Target="http://pbs.twimg.com/profile_images/1471570813937668099/qhGwO7aC_normal.jpg" TargetMode="External"/><Relationship Id="rId3237" Type="http://schemas.openxmlformats.org/officeDocument/2006/relationships/hyperlink" Target="http://abs.twimg.com/sticky/default_profile_images/default_profile_normal.png" TargetMode="External"/><Relationship Id="rId4568" Type="http://schemas.openxmlformats.org/officeDocument/2006/relationships/hyperlink" Target="http://twitter.com/MorganLeahy/statuses/1520946849867259904" TargetMode="External"/><Relationship Id="rId5899" Type="http://schemas.openxmlformats.org/officeDocument/2006/relationships/hyperlink" Target="http://pbs.twimg.com/profile_images/1241341741644558336/mLx_lXqA_normal.jpg" TargetMode="External"/><Relationship Id="rId3239" Type="http://schemas.openxmlformats.org/officeDocument/2006/relationships/hyperlink" Target="http://pbs.twimg.com/profile_images/486234378/100x_x_100_normal.jpg" TargetMode="External"/><Relationship Id="rId5890" Type="http://schemas.openxmlformats.org/officeDocument/2006/relationships/hyperlink" Target="http://twitter.com/fbpe_h/statuses/1520884357728280583" TargetMode="External"/><Relationship Id="rId3230" Type="http://schemas.openxmlformats.org/officeDocument/2006/relationships/hyperlink" Target="http://twitter.com/mpfeldhoff/statuses/1521015872747364352" TargetMode="External"/><Relationship Id="rId4561" Type="http://schemas.openxmlformats.org/officeDocument/2006/relationships/hyperlink" Target="http://pbs.twimg.com/profile_images/767040040786690048/jBD0SHWQ_normal.jpg" TargetMode="External"/><Relationship Id="rId5893" Type="http://schemas.openxmlformats.org/officeDocument/2006/relationships/hyperlink" Target="http://pbs.twimg.com/profile_images/466988941733015552/SNyFn9Jl_normal.jpeg" TargetMode="External"/><Relationship Id="rId4560" Type="http://schemas.openxmlformats.org/officeDocument/2006/relationships/hyperlink" Target="http://twitter.com/Patthedog5/statuses/1520949448758673408" TargetMode="External"/><Relationship Id="rId5894" Type="http://schemas.openxmlformats.org/officeDocument/2006/relationships/hyperlink" Target="http://twitter.com/100pctcocoa/statuses/1520884322915471361" TargetMode="External"/><Relationship Id="rId3232" Type="http://schemas.openxmlformats.org/officeDocument/2006/relationships/hyperlink" Target="http://twitter.com/nadjabossmann/statuses/1521015838253494272" TargetMode="External"/><Relationship Id="rId4563" Type="http://schemas.openxmlformats.org/officeDocument/2006/relationships/hyperlink" Target="http://pbs.twimg.com/profile_images/1497308479983337485/0iDqoyLU_normal.jpg" TargetMode="External"/><Relationship Id="rId5891" Type="http://schemas.openxmlformats.org/officeDocument/2006/relationships/hyperlink" Target="http://pbs.twimg.com/profile_images/1432372604371972106/HHGB6stn_normal.jpg" TargetMode="External"/><Relationship Id="rId3231" Type="http://schemas.openxmlformats.org/officeDocument/2006/relationships/hyperlink" Target="http://pbs.twimg.com/profile_images/1444021721401597952/0lFqLdId_normal.jpg" TargetMode="External"/><Relationship Id="rId4562" Type="http://schemas.openxmlformats.org/officeDocument/2006/relationships/hyperlink" Target="http://twitter.com/jackalsbynight/statuses/1520949016632217604" TargetMode="External"/><Relationship Id="rId5892" Type="http://schemas.openxmlformats.org/officeDocument/2006/relationships/hyperlink" Target="http://twitter.com/ZaraFanRav1/statuses/1520884337901813761" TargetMode="External"/><Relationship Id="rId3234" Type="http://schemas.openxmlformats.org/officeDocument/2006/relationships/hyperlink" Target="http://twitter.com/SusanJo43071601/statuses/1521015803642064897" TargetMode="External"/><Relationship Id="rId4565" Type="http://schemas.openxmlformats.org/officeDocument/2006/relationships/hyperlink" Target="http://pbs.twimg.com/profile_images/1320429790499917825/7hLOT1J__normal.jpg" TargetMode="External"/><Relationship Id="rId5897" Type="http://schemas.openxmlformats.org/officeDocument/2006/relationships/hyperlink" Target="http://pbs.twimg.com/profile_images/1390040788894195718/q0fkE8aG_normal.jpg" TargetMode="External"/><Relationship Id="rId3233" Type="http://schemas.openxmlformats.org/officeDocument/2006/relationships/hyperlink" Target="http://pbs.twimg.com/profile_images/825666047541964800/3PZu-0m4_normal.jpg" TargetMode="External"/><Relationship Id="rId4564" Type="http://schemas.openxmlformats.org/officeDocument/2006/relationships/hyperlink" Target="http://twitter.com/GeoffBrewer/statuses/1520947996829040640" TargetMode="External"/><Relationship Id="rId5898" Type="http://schemas.openxmlformats.org/officeDocument/2006/relationships/hyperlink" Target="http://twitter.com/fbpe_h/statuses/1520884317223858179" TargetMode="External"/><Relationship Id="rId3236" Type="http://schemas.openxmlformats.org/officeDocument/2006/relationships/hyperlink" Target="http://twitter.com/ChezCastillonMW/statuses/1521015801859485697" TargetMode="External"/><Relationship Id="rId4567" Type="http://schemas.openxmlformats.org/officeDocument/2006/relationships/hyperlink" Target="http://pbs.twimg.com/profile_images/1268719097849827328/e-J-8OR1_normal.jpg" TargetMode="External"/><Relationship Id="rId5895" Type="http://schemas.openxmlformats.org/officeDocument/2006/relationships/hyperlink" Target="http://pbs.twimg.com/profile_images/1375109146585001991/ly07gj8X_normal.jpg" TargetMode="External"/><Relationship Id="rId3235" Type="http://schemas.openxmlformats.org/officeDocument/2006/relationships/hyperlink" Target="http://pbs.twimg.com/profile_images/378800000441892532/85357417df002745cc08feef9efbfcdd_normal.jpeg" TargetMode="External"/><Relationship Id="rId4566" Type="http://schemas.openxmlformats.org/officeDocument/2006/relationships/hyperlink" Target="http://twitter.com/Philpaulbert/statuses/1520946857337409537" TargetMode="External"/><Relationship Id="rId5896" Type="http://schemas.openxmlformats.org/officeDocument/2006/relationships/hyperlink" Target="http://twitter.com/AllenHernaman/statuses/1520884321820844035" TargetMode="External"/><Relationship Id="rId3227" Type="http://schemas.openxmlformats.org/officeDocument/2006/relationships/hyperlink" Target="http://pbs.twimg.com/profile_images/495043201859076097/eyP8fv9r_normal.jpeg" TargetMode="External"/><Relationship Id="rId4558" Type="http://schemas.openxmlformats.org/officeDocument/2006/relationships/hyperlink" Target="http://twitter.com/isthisab0t/statuses/1520949458850271233" TargetMode="External"/><Relationship Id="rId3226" Type="http://schemas.openxmlformats.org/officeDocument/2006/relationships/hyperlink" Target="http://twitter.com/DagenhamMKIII/statuses/1521015895887433729" TargetMode="External"/><Relationship Id="rId4557" Type="http://schemas.openxmlformats.org/officeDocument/2006/relationships/hyperlink" Target="http://pbs.twimg.com/profile_images/1225538244344938496/16id1r6l_normal.jpg" TargetMode="External"/><Relationship Id="rId3229" Type="http://schemas.openxmlformats.org/officeDocument/2006/relationships/hyperlink" Target="http://pbs.twimg.com/profile_images/476773628303126528/X86pSbd-_normal.jpeg" TargetMode="External"/><Relationship Id="rId5888" Type="http://schemas.openxmlformats.org/officeDocument/2006/relationships/hyperlink" Target="http://twitter.com/fbpe_h/statuses/1520884381153435656" TargetMode="External"/><Relationship Id="rId3228" Type="http://schemas.openxmlformats.org/officeDocument/2006/relationships/hyperlink" Target="http://twitter.com/irishelt/statuses/1521015874831986688" TargetMode="External"/><Relationship Id="rId4559" Type="http://schemas.openxmlformats.org/officeDocument/2006/relationships/hyperlink" Target="http://abs.twimg.com/sticky/default_profile_images/default_profile_normal.png" TargetMode="External"/><Relationship Id="rId5889" Type="http://schemas.openxmlformats.org/officeDocument/2006/relationships/hyperlink" Target="http://pbs.twimg.com/profile_images/1390040788894195718/q0fkE8aG_normal.jpg" TargetMode="External"/><Relationship Id="rId699" Type="http://schemas.openxmlformats.org/officeDocument/2006/relationships/hyperlink" Target="http://pbs.twimg.com/profile_images/1497235833463660544/cNd_elK-_normal.jpg" TargetMode="External"/><Relationship Id="rId698" Type="http://schemas.openxmlformats.org/officeDocument/2006/relationships/hyperlink" Target="http://twitter.com/SHarr73146294/statuses/1521060790987546625" TargetMode="External"/><Relationship Id="rId693" Type="http://schemas.openxmlformats.org/officeDocument/2006/relationships/hyperlink" Target="http://abs.twimg.com/sticky/default_profile_images/default_profile_normal.png" TargetMode="External"/><Relationship Id="rId4550" Type="http://schemas.openxmlformats.org/officeDocument/2006/relationships/hyperlink" Target="http://twitter.com/isthisab0t/statuses/1520950718756175873" TargetMode="External"/><Relationship Id="rId5882" Type="http://schemas.openxmlformats.org/officeDocument/2006/relationships/hyperlink" Target="http://twitter.com/fbpe_h/statuses/1520884403341246465" TargetMode="External"/><Relationship Id="rId692" Type="http://schemas.openxmlformats.org/officeDocument/2006/relationships/hyperlink" Target="http://twitter.com/jezobrien/statuses/1521060824995057665" TargetMode="External"/><Relationship Id="rId5883" Type="http://schemas.openxmlformats.org/officeDocument/2006/relationships/hyperlink" Target="http://pbs.twimg.com/profile_images/1485902695835836416/Wyp5vhyZ_normal.jpg" TargetMode="External"/><Relationship Id="rId691" Type="http://schemas.openxmlformats.org/officeDocument/2006/relationships/hyperlink" Target="http://abs.twimg.com/sticky/default_profile_images/default_profile_normal.png" TargetMode="External"/><Relationship Id="rId3221" Type="http://schemas.openxmlformats.org/officeDocument/2006/relationships/hyperlink" Target="http://pbs.twimg.com/profile_images/476773628303126528/X86pSbd-_normal.jpeg" TargetMode="External"/><Relationship Id="rId4552" Type="http://schemas.openxmlformats.org/officeDocument/2006/relationships/hyperlink" Target="http://twitter.com/Patthedog5/statuses/1520950583645114369" TargetMode="External"/><Relationship Id="rId5880" Type="http://schemas.openxmlformats.org/officeDocument/2006/relationships/hyperlink" Target="http://twitter.com/100pctcocoa/statuses/1520884404368945153" TargetMode="External"/><Relationship Id="rId690" Type="http://schemas.openxmlformats.org/officeDocument/2006/relationships/hyperlink" Target="http://twitter.com/_AndyHemming/statuses/1521060847744958465" TargetMode="External"/><Relationship Id="rId3220" Type="http://schemas.openxmlformats.org/officeDocument/2006/relationships/hyperlink" Target="http://twitter.com/davidwychwood/statuses/1521015947670265856" TargetMode="External"/><Relationship Id="rId4551" Type="http://schemas.openxmlformats.org/officeDocument/2006/relationships/hyperlink" Target="http://abs.twimg.com/sticky/default_profile_images/default_profile_normal.png" TargetMode="External"/><Relationship Id="rId5881" Type="http://schemas.openxmlformats.org/officeDocument/2006/relationships/hyperlink" Target="http://pbs.twimg.com/profile_images/1390040788894195718/q0fkE8aG_normal.jpg" TargetMode="External"/><Relationship Id="rId697" Type="http://schemas.openxmlformats.org/officeDocument/2006/relationships/hyperlink" Target="http://abs.twimg.com/sticky/default_profile_images/default_profile_normal.png" TargetMode="External"/><Relationship Id="rId3223" Type="http://schemas.openxmlformats.org/officeDocument/2006/relationships/hyperlink" Target="http://pbs.twimg.com/profile_images/514501354665304064/TAOatEDv_normal.jpeg" TargetMode="External"/><Relationship Id="rId4554" Type="http://schemas.openxmlformats.org/officeDocument/2006/relationships/hyperlink" Target="http://twitter.com/botanic_my/statuses/1520950252391608321" TargetMode="External"/><Relationship Id="rId5886" Type="http://schemas.openxmlformats.org/officeDocument/2006/relationships/hyperlink" Target="http://twitter.com/annadevine66/statuses/1520884395275653126" TargetMode="External"/><Relationship Id="rId696" Type="http://schemas.openxmlformats.org/officeDocument/2006/relationships/hyperlink" Target="http://twitter.com/MrN_Cooper/statuses/1521060799476912128" TargetMode="External"/><Relationship Id="rId3222" Type="http://schemas.openxmlformats.org/officeDocument/2006/relationships/hyperlink" Target="http://twitter.com/mpfeldhoff/statuses/1521015923058036736" TargetMode="External"/><Relationship Id="rId4553" Type="http://schemas.openxmlformats.org/officeDocument/2006/relationships/hyperlink" Target="http://pbs.twimg.com/profile_images/1188048406561918981/MHEPajYL_normal.jpg" TargetMode="External"/><Relationship Id="rId5887" Type="http://schemas.openxmlformats.org/officeDocument/2006/relationships/hyperlink" Target="http://pbs.twimg.com/profile_images/1390040788894195718/q0fkE8aG_normal.jpg" TargetMode="External"/><Relationship Id="rId695" Type="http://schemas.openxmlformats.org/officeDocument/2006/relationships/hyperlink" Target="http://pbs.twimg.com/profile_images/930170034349133825/s3Tf-SYs_normal.jpg" TargetMode="External"/><Relationship Id="rId3225" Type="http://schemas.openxmlformats.org/officeDocument/2006/relationships/hyperlink" Target="http://pbs.twimg.com/profile_images/1434238199241510920/2tC_rFKN_normal.jpg" TargetMode="External"/><Relationship Id="rId4556" Type="http://schemas.openxmlformats.org/officeDocument/2006/relationships/hyperlink" Target="http://twitter.com/EchoSerenityXb/statuses/1520949823377219584" TargetMode="External"/><Relationship Id="rId5884" Type="http://schemas.openxmlformats.org/officeDocument/2006/relationships/hyperlink" Target="http://twitter.com/lunaperla/statuses/1520884396177375233" TargetMode="External"/><Relationship Id="rId694" Type="http://schemas.openxmlformats.org/officeDocument/2006/relationships/hyperlink" Target="http://twitter.com/SHarr73146294/statuses/1521060824277823489" TargetMode="External"/><Relationship Id="rId3224" Type="http://schemas.openxmlformats.org/officeDocument/2006/relationships/hyperlink" Target="http://twitter.com/Pictav/statuses/1521015918016479233" TargetMode="External"/><Relationship Id="rId4555" Type="http://schemas.openxmlformats.org/officeDocument/2006/relationships/hyperlink" Target="http://pbs.twimg.com/profile_images/1127285922213572609/3z-8Uw6P_normal.jpg" TargetMode="External"/><Relationship Id="rId5885" Type="http://schemas.openxmlformats.org/officeDocument/2006/relationships/hyperlink" Target="http://abs.twimg.com/sticky/default_profile_images/default_profile_normal.png" TargetMode="External"/><Relationship Id="rId3259" Type="http://schemas.openxmlformats.org/officeDocument/2006/relationships/hyperlink" Target="http://pbs.twimg.com/profile_images/472441761919283200/5AnpECuN_normal.jpeg" TargetMode="External"/><Relationship Id="rId3250" Type="http://schemas.openxmlformats.org/officeDocument/2006/relationships/hyperlink" Target="http://twitter.com/LeckyRichard/statuses/1521015475509026817" TargetMode="External"/><Relationship Id="rId4581" Type="http://schemas.openxmlformats.org/officeDocument/2006/relationships/hyperlink" Target="http://pbs.twimg.com/profile_images/893190238649974784/OTixjgI8_normal.jpg" TargetMode="External"/><Relationship Id="rId4580" Type="http://schemas.openxmlformats.org/officeDocument/2006/relationships/hyperlink" Target="http://twitter.com/Juliefrazz/statuses/1520944557759901697" TargetMode="External"/><Relationship Id="rId3252" Type="http://schemas.openxmlformats.org/officeDocument/2006/relationships/hyperlink" Target="http://twitter.com/RightArmOver3/statuses/1521015468588425216" TargetMode="External"/><Relationship Id="rId4583" Type="http://schemas.openxmlformats.org/officeDocument/2006/relationships/hyperlink" Target="http://pbs.twimg.com/profile_images/893190238649974784/OTixjgI8_normal.jpg" TargetMode="External"/><Relationship Id="rId3251" Type="http://schemas.openxmlformats.org/officeDocument/2006/relationships/hyperlink" Target="http://pbs.twimg.com/profile_images/1507622170016591879/MTIUs7Hg_normal.jpg" TargetMode="External"/><Relationship Id="rId4582" Type="http://schemas.openxmlformats.org/officeDocument/2006/relationships/hyperlink" Target="http://twitter.com/Juliefrazz/statuses/1520944471151624192" TargetMode="External"/><Relationship Id="rId3254" Type="http://schemas.openxmlformats.org/officeDocument/2006/relationships/hyperlink" Target="http://twitter.com/trixietrottsba1/statuses/1521015456697667585" TargetMode="External"/><Relationship Id="rId4585" Type="http://schemas.openxmlformats.org/officeDocument/2006/relationships/hyperlink" Target="http://abs.twimg.com/sticky/default_profile_images/default_profile_normal.png" TargetMode="External"/><Relationship Id="rId3253" Type="http://schemas.openxmlformats.org/officeDocument/2006/relationships/hyperlink" Target="http://pbs.twimg.com/profile_images/1379800648955334664/f53V7Ay9_normal.jpg" TargetMode="External"/><Relationship Id="rId4584" Type="http://schemas.openxmlformats.org/officeDocument/2006/relationships/hyperlink" Target="http://twitter.com/Juliefrazz/statuses/1520944384421859331" TargetMode="External"/><Relationship Id="rId3256" Type="http://schemas.openxmlformats.org/officeDocument/2006/relationships/hyperlink" Target="http://twitter.com/tonybohan/statuses/1521015443523313664" TargetMode="External"/><Relationship Id="rId4587" Type="http://schemas.openxmlformats.org/officeDocument/2006/relationships/hyperlink" Target="http://pbs.twimg.com/profile_images/856045987256774657/tVsyl5fd_normal.jpg" TargetMode="External"/><Relationship Id="rId3255" Type="http://schemas.openxmlformats.org/officeDocument/2006/relationships/hyperlink" Target="http://pbs.twimg.com/profile_images/1352569985453989888/lOOC-Bcz_normal.jpg" TargetMode="External"/><Relationship Id="rId4586" Type="http://schemas.openxmlformats.org/officeDocument/2006/relationships/hyperlink" Target="http://twitter.com/lasteka/statuses/1520943826403213312" TargetMode="External"/><Relationship Id="rId3258" Type="http://schemas.openxmlformats.org/officeDocument/2006/relationships/hyperlink" Target="http://twitter.com/Loofah57060/statuses/1521015388896735237" TargetMode="External"/><Relationship Id="rId4589" Type="http://schemas.openxmlformats.org/officeDocument/2006/relationships/hyperlink" Target="http://pbs.twimg.com/profile_images/1511693083888562181/lTl2SNSc_normal.jpg" TargetMode="External"/><Relationship Id="rId3257" Type="http://schemas.openxmlformats.org/officeDocument/2006/relationships/hyperlink" Target="http://pbs.twimg.com/profile_images/1349021588721688584/Py1lYEYg_normal.jpg" TargetMode="External"/><Relationship Id="rId4588" Type="http://schemas.openxmlformats.org/officeDocument/2006/relationships/hyperlink" Target="http://twitter.com/wulba/statuses/1520942949223256064" TargetMode="External"/><Relationship Id="rId3249" Type="http://schemas.openxmlformats.org/officeDocument/2006/relationships/hyperlink" Target="http://pbs.twimg.com/profile_images/1357708264016871424/v2sUl2VE_normal.jpg" TargetMode="External"/><Relationship Id="rId3248" Type="http://schemas.openxmlformats.org/officeDocument/2006/relationships/hyperlink" Target="http://twitter.com/dombens/statuses/1521015492181479428" TargetMode="External"/><Relationship Id="rId4579" Type="http://schemas.openxmlformats.org/officeDocument/2006/relationships/hyperlink" Target="http://pbs.twimg.com/profile_images/893190238649974784/OTixjgI8_normal.jpg" TargetMode="External"/><Relationship Id="rId4570" Type="http://schemas.openxmlformats.org/officeDocument/2006/relationships/hyperlink" Target="http://twitter.com/BrianB2BDW/statuses/1520945557405147136" TargetMode="External"/><Relationship Id="rId3241" Type="http://schemas.openxmlformats.org/officeDocument/2006/relationships/hyperlink" Target="http://pbs.twimg.com/profile_images/1358398733839437825/gm7rXfAe_normal.jpg" TargetMode="External"/><Relationship Id="rId4572" Type="http://schemas.openxmlformats.org/officeDocument/2006/relationships/hyperlink" Target="http://twitter.com/Wmt131/statuses/1520945413586575360" TargetMode="External"/><Relationship Id="rId3240" Type="http://schemas.openxmlformats.org/officeDocument/2006/relationships/hyperlink" Target="http://twitter.com/JCharrison/statuses/1521015651741184000" TargetMode="External"/><Relationship Id="rId4571" Type="http://schemas.openxmlformats.org/officeDocument/2006/relationships/hyperlink" Target="http://pbs.twimg.com/profile_images/1211632644976467970/FRRwHRR4_normal.jpg" TargetMode="External"/><Relationship Id="rId3243" Type="http://schemas.openxmlformats.org/officeDocument/2006/relationships/hyperlink" Target="http://pbs.twimg.com/profile_images/907368719961280513/dWVPv7eX_normal.jpg" TargetMode="External"/><Relationship Id="rId4574" Type="http://schemas.openxmlformats.org/officeDocument/2006/relationships/hyperlink" Target="http://twitter.com/1066cariad/statuses/1520945271198425088" TargetMode="External"/><Relationship Id="rId3242" Type="http://schemas.openxmlformats.org/officeDocument/2006/relationships/hyperlink" Target="http://twitter.com/stancbgreen/statuses/1521015649543335936" TargetMode="External"/><Relationship Id="rId4573" Type="http://schemas.openxmlformats.org/officeDocument/2006/relationships/hyperlink" Target="http://pbs.twimg.com/profile_images/1497849249366786049/rpbYmcB-_normal.jpg" TargetMode="External"/><Relationship Id="rId3245" Type="http://schemas.openxmlformats.org/officeDocument/2006/relationships/hyperlink" Target="http://pbs.twimg.com/profile_images/682319906046668800/3REqIR1l_normal.jpg" TargetMode="External"/><Relationship Id="rId4576" Type="http://schemas.openxmlformats.org/officeDocument/2006/relationships/hyperlink" Target="http://twitter.com/Juliefrazz/statuses/1520944667122143234" TargetMode="External"/><Relationship Id="rId3244" Type="http://schemas.openxmlformats.org/officeDocument/2006/relationships/hyperlink" Target="http://twitter.com/sandra4646/statuses/1521015627766550528" TargetMode="External"/><Relationship Id="rId4575" Type="http://schemas.openxmlformats.org/officeDocument/2006/relationships/hyperlink" Target="http://pbs.twimg.com/profile_images/893190238649974784/OTixjgI8_normal.jpg" TargetMode="External"/><Relationship Id="rId3247" Type="http://schemas.openxmlformats.org/officeDocument/2006/relationships/hyperlink" Target="http://pbs.twimg.com/profile_images/179554930/olgit2_normal.jpg" TargetMode="External"/><Relationship Id="rId4578" Type="http://schemas.openxmlformats.org/officeDocument/2006/relationships/hyperlink" Target="http://twitter.com/Juliefrazz/statuses/1520944604463472640" TargetMode="External"/><Relationship Id="rId3246" Type="http://schemas.openxmlformats.org/officeDocument/2006/relationships/hyperlink" Target="http://twitter.com/weecass1888/statuses/1521015563450994689" TargetMode="External"/><Relationship Id="rId4577" Type="http://schemas.openxmlformats.org/officeDocument/2006/relationships/hyperlink" Target="http://pbs.twimg.com/profile_images/893190238649974784/OTixjgI8_normal.jpg" TargetMode="External"/><Relationship Id="rId1499" Type="http://schemas.openxmlformats.org/officeDocument/2006/relationships/hyperlink" Target="http://pbs.twimg.com/profile_images/484673178468249601/yE6pPscL_normal.png" TargetMode="External"/><Relationship Id="rId4525" Type="http://schemas.openxmlformats.org/officeDocument/2006/relationships/hyperlink" Target="http://pbs.twimg.com/profile_images/1480457258370748417/gdXPgu4l_normal.jpg" TargetMode="External"/><Relationship Id="rId5857" Type="http://schemas.openxmlformats.org/officeDocument/2006/relationships/hyperlink" Target="http://pbs.twimg.com/profile_images/1390040788894195718/q0fkE8aG_normal.jpg" TargetMode="External"/><Relationship Id="rId4524" Type="http://schemas.openxmlformats.org/officeDocument/2006/relationships/hyperlink" Target="http://twitter.com/JazzySid/statuses/1520957122540109824" TargetMode="External"/><Relationship Id="rId5858" Type="http://schemas.openxmlformats.org/officeDocument/2006/relationships/hyperlink" Target="http://twitter.com/fbpe_h/statuses/1520884678923800576" TargetMode="External"/><Relationship Id="rId4527" Type="http://schemas.openxmlformats.org/officeDocument/2006/relationships/hyperlink" Target="http://pbs.twimg.com/profile_images/1514248041569689605/daWYNUwr_normal.jpg" TargetMode="External"/><Relationship Id="rId5855" Type="http://schemas.openxmlformats.org/officeDocument/2006/relationships/hyperlink" Target="http://pbs.twimg.com/profile_images/1506560693226680325/Wg7_vaSz_normal.jpg" TargetMode="External"/><Relationship Id="rId4526" Type="http://schemas.openxmlformats.org/officeDocument/2006/relationships/hyperlink" Target="http://twitter.com/Oldtimerabroad/statuses/1520956633588723712" TargetMode="External"/><Relationship Id="rId5856" Type="http://schemas.openxmlformats.org/officeDocument/2006/relationships/hyperlink" Target="http://twitter.com/MTG_Illustrates/statuses/1520884714248228866" TargetMode="External"/><Relationship Id="rId4529" Type="http://schemas.openxmlformats.org/officeDocument/2006/relationships/hyperlink" Target="http://abs.twimg.com/sticky/default_profile_images/default_profile_normal.png" TargetMode="External"/><Relationship Id="rId4528" Type="http://schemas.openxmlformats.org/officeDocument/2006/relationships/hyperlink" Target="http://twitter.com/CandidaCanBeFun/statuses/1520956373277630464" TargetMode="External"/><Relationship Id="rId5859" Type="http://schemas.openxmlformats.org/officeDocument/2006/relationships/hyperlink" Target="http://pbs.twimg.com/profile_images/1390040788894195718/q0fkE8aG_normal.jpg" TargetMode="External"/><Relationship Id="rId668" Type="http://schemas.openxmlformats.org/officeDocument/2006/relationships/hyperlink" Target="http://twitter.com/antrim_coaster/statuses/1521061372569833475" TargetMode="External"/><Relationship Id="rId667" Type="http://schemas.openxmlformats.org/officeDocument/2006/relationships/hyperlink" Target="http://pbs.twimg.com/profile_images/1909743496/image_normal.jpg" TargetMode="External"/><Relationship Id="rId666" Type="http://schemas.openxmlformats.org/officeDocument/2006/relationships/hyperlink" Target="http://twitter.com/Julleht/statuses/1521061375115677700" TargetMode="External"/><Relationship Id="rId665" Type="http://schemas.openxmlformats.org/officeDocument/2006/relationships/hyperlink" Target="http://pbs.twimg.com/profile_images/1514320882377887760/wO25e4Pz_normal.jpg" TargetMode="External"/><Relationship Id="rId669" Type="http://schemas.openxmlformats.org/officeDocument/2006/relationships/hyperlink" Target="http://pbs.twimg.com/profile_images/1217377637246676993/hxOPOVkd_normal.jpg" TargetMode="External"/><Relationship Id="rId1490" Type="http://schemas.openxmlformats.org/officeDocument/2006/relationships/hyperlink" Target="http://twitter.com/fitzjimi/statuses/1521046180347711488" TargetMode="External"/><Relationship Id="rId660" Type="http://schemas.openxmlformats.org/officeDocument/2006/relationships/hyperlink" Target="http://twitter.com/nina_williamson/statuses/1521061516950347777" TargetMode="External"/><Relationship Id="rId1491" Type="http://schemas.openxmlformats.org/officeDocument/2006/relationships/hyperlink" Target="http://pbs.twimg.com/profile_images/1483372656120541185/Vh4u1my__normal.jpg" TargetMode="External"/><Relationship Id="rId1492" Type="http://schemas.openxmlformats.org/officeDocument/2006/relationships/hyperlink" Target="http://twitter.com/MimiJ9/statuses/1521046166699491328" TargetMode="External"/><Relationship Id="rId5850" Type="http://schemas.openxmlformats.org/officeDocument/2006/relationships/hyperlink" Target="http://twitter.com/BruceHenderson2/statuses/1520884742681505792" TargetMode="External"/><Relationship Id="rId1493" Type="http://schemas.openxmlformats.org/officeDocument/2006/relationships/hyperlink" Target="http://pbs.twimg.com/profile_images/462511785812033538/H9KYz-Mr_normal.jpeg" TargetMode="External"/><Relationship Id="rId1494" Type="http://schemas.openxmlformats.org/officeDocument/2006/relationships/hyperlink" Target="http://twitter.com/fitzjimi/statuses/1521046152279465987" TargetMode="External"/><Relationship Id="rId664" Type="http://schemas.openxmlformats.org/officeDocument/2006/relationships/hyperlink" Target="http://twitter.com/VerityKalcev/statuses/1521061438823051266" TargetMode="External"/><Relationship Id="rId1495" Type="http://schemas.openxmlformats.org/officeDocument/2006/relationships/hyperlink" Target="http://pbs.twimg.com/profile_images/1098591923277836288/1vfqEbYj_normal.png" TargetMode="External"/><Relationship Id="rId4521" Type="http://schemas.openxmlformats.org/officeDocument/2006/relationships/hyperlink" Target="http://pbs.twimg.com/profile_images/1093696688903122944/m6k7kjtG_normal.jpg" TargetMode="External"/><Relationship Id="rId5853" Type="http://schemas.openxmlformats.org/officeDocument/2006/relationships/hyperlink" Target="http://pbs.twimg.com/profile_images/1511002405411905537/J9clBHZg_normal.jpg" TargetMode="External"/><Relationship Id="rId663" Type="http://schemas.openxmlformats.org/officeDocument/2006/relationships/hyperlink" Target="http://pbs.twimg.com/profile_images/563467930458136577/sHteWM3F_normal.jpeg" TargetMode="External"/><Relationship Id="rId1496" Type="http://schemas.openxmlformats.org/officeDocument/2006/relationships/hyperlink" Target="http://twitter.com/EdTruman3/statuses/1521046056129204224" TargetMode="External"/><Relationship Id="rId4520" Type="http://schemas.openxmlformats.org/officeDocument/2006/relationships/hyperlink" Target="http://twitter.com/gibbsy66/statuses/1520958063955652608" TargetMode="External"/><Relationship Id="rId5854" Type="http://schemas.openxmlformats.org/officeDocument/2006/relationships/hyperlink" Target="http://twitter.com/rachhutch13/statuses/1520884719025590272" TargetMode="External"/><Relationship Id="rId662" Type="http://schemas.openxmlformats.org/officeDocument/2006/relationships/hyperlink" Target="http://twitter.com/Kander181/statuses/1521061491541221386" TargetMode="External"/><Relationship Id="rId1497" Type="http://schemas.openxmlformats.org/officeDocument/2006/relationships/hyperlink" Target="http://pbs.twimg.com/profile_images/1377639471450062861/Q4sICkdL_normal.jpg" TargetMode="External"/><Relationship Id="rId4523" Type="http://schemas.openxmlformats.org/officeDocument/2006/relationships/hyperlink" Target="http://pbs.twimg.com/profile_images/1363019379181555712/YNT3DFIj_normal.jpg" TargetMode="External"/><Relationship Id="rId5851" Type="http://schemas.openxmlformats.org/officeDocument/2006/relationships/hyperlink" Target="http://abs.twimg.com/sticky/default_profile_images/default_profile_normal.png" TargetMode="External"/><Relationship Id="rId661" Type="http://schemas.openxmlformats.org/officeDocument/2006/relationships/hyperlink" Target="http://abs.twimg.com/sticky/default_profile_images/default_profile_normal.png" TargetMode="External"/><Relationship Id="rId1498" Type="http://schemas.openxmlformats.org/officeDocument/2006/relationships/hyperlink" Target="http://twitter.com/Canofworms11/statuses/1521046054191472640" TargetMode="External"/><Relationship Id="rId4522" Type="http://schemas.openxmlformats.org/officeDocument/2006/relationships/hyperlink" Target="http://twitter.com/dancelightning/statuses/1520957592583176192" TargetMode="External"/><Relationship Id="rId5852" Type="http://schemas.openxmlformats.org/officeDocument/2006/relationships/hyperlink" Target="http://twitter.com/bridgetwilcox/statuses/1520884733034614785" TargetMode="External"/><Relationship Id="rId1488" Type="http://schemas.openxmlformats.org/officeDocument/2006/relationships/hyperlink" Target="http://twitter.com/lithgaelark/statuses/1521046214518751232" TargetMode="External"/><Relationship Id="rId4514" Type="http://schemas.openxmlformats.org/officeDocument/2006/relationships/hyperlink" Target="http://twitter.com/h48052341/statuses/1520958952464289792" TargetMode="External"/><Relationship Id="rId5846" Type="http://schemas.openxmlformats.org/officeDocument/2006/relationships/hyperlink" Target="http://twitter.com/Slimbarry2/statuses/1520884782556749825" TargetMode="External"/><Relationship Id="rId1489" Type="http://schemas.openxmlformats.org/officeDocument/2006/relationships/hyperlink" Target="http://pbs.twimg.com/profile_images/462511785812033538/H9KYz-Mr_normal.jpeg" TargetMode="External"/><Relationship Id="rId4513" Type="http://schemas.openxmlformats.org/officeDocument/2006/relationships/hyperlink" Target="http://abs.twimg.com/sticky/default_profile_images/default_profile_normal.png" TargetMode="External"/><Relationship Id="rId5847" Type="http://schemas.openxmlformats.org/officeDocument/2006/relationships/hyperlink" Target="http://pbs.twimg.com/profile_images/442759716750368768/LXUAzFP4_normal.jpeg" TargetMode="External"/><Relationship Id="rId4516" Type="http://schemas.openxmlformats.org/officeDocument/2006/relationships/hyperlink" Target="http://twitter.com/McCallum_Smith/statuses/1520958616727171073" TargetMode="External"/><Relationship Id="rId5844" Type="http://schemas.openxmlformats.org/officeDocument/2006/relationships/hyperlink" Target="http://twitter.com/Brexit_Mistake/statuses/1520884790341349376" TargetMode="External"/><Relationship Id="rId4515" Type="http://schemas.openxmlformats.org/officeDocument/2006/relationships/hyperlink" Target="http://pbs.twimg.com/profile_images/1271701068448227329/mvFode7L_normal.jpg" TargetMode="External"/><Relationship Id="rId5845" Type="http://schemas.openxmlformats.org/officeDocument/2006/relationships/hyperlink" Target="http://pbs.twimg.com/profile_images/1421092845029634053/MwAQw31Z_normal.jpg" TargetMode="External"/><Relationship Id="rId4518" Type="http://schemas.openxmlformats.org/officeDocument/2006/relationships/hyperlink" Target="http://twitter.com/gibbsy66/statuses/1520958299461480448" TargetMode="External"/><Relationship Id="rId4517" Type="http://schemas.openxmlformats.org/officeDocument/2006/relationships/hyperlink" Target="http://pbs.twimg.com/profile_images/1518789847644839936/6j-Jw_0d_normal.jpg" TargetMode="External"/><Relationship Id="rId5848" Type="http://schemas.openxmlformats.org/officeDocument/2006/relationships/hyperlink" Target="http://twitter.com/BruceHenderson2/statuses/1520884769503866881" TargetMode="External"/><Relationship Id="rId4519" Type="http://schemas.openxmlformats.org/officeDocument/2006/relationships/hyperlink" Target="http://pbs.twimg.com/profile_images/1518789847644839936/6j-Jw_0d_normal.jpg" TargetMode="External"/><Relationship Id="rId5849" Type="http://schemas.openxmlformats.org/officeDocument/2006/relationships/hyperlink" Target="http://pbs.twimg.com/profile_images/442759716750368768/LXUAzFP4_normal.jpeg" TargetMode="External"/><Relationship Id="rId657" Type="http://schemas.openxmlformats.org/officeDocument/2006/relationships/hyperlink" Target="http://pbs.twimg.com/profile_images/1365009119506280457/65XGjQYk_normal.jpg" TargetMode="External"/><Relationship Id="rId656" Type="http://schemas.openxmlformats.org/officeDocument/2006/relationships/hyperlink" Target="http://twitter.com/lyonette_ruth/statuses/1521061551104536576" TargetMode="External"/><Relationship Id="rId655" Type="http://schemas.openxmlformats.org/officeDocument/2006/relationships/hyperlink" Target="http://abs.twimg.com/sticky/default_profile_images/default_profile_normal.png" TargetMode="External"/><Relationship Id="rId654" Type="http://schemas.openxmlformats.org/officeDocument/2006/relationships/hyperlink" Target="http://twitter.com/WstephenWatson/statuses/1521061559325310977" TargetMode="External"/><Relationship Id="rId659" Type="http://schemas.openxmlformats.org/officeDocument/2006/relationships/hyperlink" Target="http://abs.twimg.com/sticky/default_profile_images/default_profile_normal.png" TargetMode="External"/><Relationship Id="rId658" Type="http://schemas.openxmlformats.org/officeDocument/2006/relationships/hyperlink" Target="http://twitter.com/HighlandHeathen/statuses/1521061547858141189" TargetMode="External"/><Relationship Id="rId1480" Type="http://schemas.openxmlformats.org/officeDocument/2006/relationships/hyperlink" Target="http://twitter.com/fitzjimi/statuses/1521046298136301569" TargetMode="External"/><Relationship Id="rId1481" Type="http://schemas.openxmlformats.org/officeDocument/2006/relationships/hyperlink" Target="http://pbs.twimg.com/profile_images/643435286895136768/A_UG-kM3_normal.jpg" TargetMode="External"/><Relationship Id="rId1482" Type="http://schemas.openxmlformats.org/officeDocument/2006/relationships/hyperlink" Target="http://twitter.com/lithgaelark/statuses/1521046254574313473" TargetMode="External"/><Relationship Id="rId1483" Type="http://schemas.openxmlformats.org/officeDocument/2006/relationships/hyperlink" Target="http://pbs.twimg.com/profile_images/1208099051973070849/QHzRT-M8_normal.jpg" TargetMode="External"/><Relationship Id="rId653" Type="http://schemas.openxmlformats.org/officeDocument/2006/relationships/hyperlink" Target="http://pbs.twimg.com/profile_images/911675601781760000/VX8kKd1__normal.jpg" TargetMode="External"/><Relationship Id="rId1484" Type="http://schemas.openxmlformats.org/officeDocument/2006/relationships/hyperlink" Target="http://twitter.com/EMStaffs/statuses/1521046251281821698" TargetMode="External"/><Relationship Id="rId4510" Type="http://schemas.openxmlformats.org/officeDocument/2006/relationships/hyperlink" Target="http://twitter.com/CabritaClarisse/statuses/1520959564832595970" TargetMode="External"/><Relationship Id="rId5842" Type="http://schemas.openxmlformats.org/officeDocument/2006/relationships/hyperlink" Target="http://twitter.com/Athelwulf_wulf/statuses/1520884800848072710" TargetMode="External"/><Relationship Id="rId652" Type="http://schemas.openxmlformats.org/officeDocument/2006/relationships/hyperlink" Target="http://twitter.com/eelemsti/statuses/1521061590019321856" TargetMode="External"/><Relationship Id="rId1485" Type="http://schemas.openxmlformats.org/officeDocument/2006/relationships/hyperlink" Target="http://pbs.twimg.com/profile_images/462511785812033538/H9KYz-Mr_normal.jpeg" TargetMode="External"/><Relationship Id="rId5843" Type="http://schemas.openxmlformats.org/officeDocument/2006/relationships/hyperlink" Target="http://pbs.twimg.com/profile_images/1350269888603049985/36qk_HYE_normal.jpg" TargetMode="External"/><Relationship Id="rId651" Type="http://schemas.openxmlformats.org/officeDocument/2006/relationships/hyperlink" Target="http://pbs.twimg.com/profile_images/1485212315909820419/MTuI0LJN_normal.jpg" TargetMode="External"/><Relationship Id="rId1486" Type="http://schemas.openxmlformats.org/officeDocument/2006/relationships/hyperlink" Target="http://twitter.com/fitzjimi/statuses/1521046247112589313" TargetMode="External"/><Relationship Id="rId4512" Type="http://schemas.openxmlformats.org/officeDocument/2006/relationships/hyperlink" Target="http://twitter.com/no1lolo/statuses/1520959236343095296" TargetMode="External"/><Relationship Id="rId5840" Type="http://schemas.openxmlformats.org/officeDocument/2006/relationships/hyperlink" Target="http://twitter.com/Nikicinder/statuses/1520884840954007552" TargetMode="External"/><Relationship Id="rId650" Type="http://schemas.openxmlformats.org/officeDocument/2006/relationships/hyperlink" Target="http://twitter.com/sludge0407/statuses/1521061590421934081" TargetMode="External"/><Relationship Id="rId1487" Type="http://schemas.openxmlformats.org/officeDocument/2006/relationships/hyperlink" Target="http://pbs.twimg.com/profile_images/643435286895136768/A_UG-kM3_normal.jpg" TargetMode="External"/><Relationship Id="rId4511" Type="http://schemas.openxmlformats.org/officeDocument/2006/relationships/hyperlink" Target="http://pbs.twimg.com/profile_images/1498377245039206403/nF5rPFT2_normal.jpg" TargetMode="External"/><Relationship Id="rId5841" Type="http://schemas.openxmlformats.org/officeDocument/2006/relationships/hyperlink" Target="http://pbs.twimg.com/profile_images/1497711846945693697/ewN7oafP_normal.jpg" TargetMode="External"/><Relationship Id="rId3216" Type="http://schemas.openxmlformats.org/officeDocument/2006/relationships/hyperlink" Target="http://twitter.com/JCharrison/statuses/1521015986408861697" TargetMode="External"/><Relationship Id="rId4547" Type="http://schemas.openxmlformats.org/officeDocument/2006/relationships/hyperlink" Target="http://abs.twimg.com/sticky/default_profile_images/default_profile_normal.png" TargetMode="External"/><Relationship Id="rId5879" Type="http://schemas.openxmlformats.org/officeDocument/2006/relationships/hyperlink" Target="http://pbs.twimg.com/profile_images/466988941733015552/SNyFn9Jl_normal.jpeg" TargetMode="External"/><Relationship Id="rId3215" Type="http://schemas.openxmlformats.org/officeDocument/2006/relationships/hyperlink" Target="http://pbs.twimg.com/profile_images/486234378/100x_x_100_normal.jpg" TargetMode="External"/><Relationship Id="rId4546" Type="http://schemas.openxmlformats.org/officeDocument/2006/relationships/hyperlink" Target="http://twitter.com/isthisab0t/statuses/1520951220449517568" TargetMode="External"/><Relationship Id="rId3218" Type="http://schemas.openxmlformats.org/officeDocument/2006/relationships/hyperlink" Target="http://twitter.com/TonyGentGD1/statuses/1521015948811067392" TargetMode="External"/><Relationship Id="rId4549" Type="http://schemas.openxmlformats.org/officeDocument/2006/relationships/hyperlink" Target="http://pbs.twimg.com/profile_images/1225538244344938496/16id1r6l_normal.jpg" TargetMode="External"/><Relationship Id="rId5877" Type="http://schemas.openxmlformats.org/officeDocument/2006/relationships/hyperlink" Target="http://pbs.twimg.com/profile_images/1311275976425443328/Invy-xnQ_normal.jpg" TargetMode="External"/><Relationship Id="rId3217" Type="http://schemas.openxmlformats.org/officeDocument/2006/relationships/hyperlink" Target="http://abs.twimg.com/sticky/default_profile_images/default_profile_normal.png" TargetMode="External"/><Relationship Id="rId4548" Type="http://schemas.openxmlformats.org/officeDocument/2006/relationships/hyperlink" Target="http://twitter.com/Patthedog5/statuses/1520951174593187840" TargetMode="External"/><Relationship Id="rId5878" Type="http://schemas.openxmlformats.org/officeDocument/2006/relationships/hyperlink" Target="http://twitter.com/MattProops/statuses/1520884434509123584" TargetMode="External"/><Relationship Id="rId3219" Type="http://schemas.openxmlformats.org/officeDocument/2006/relationships/hyperlink" Target="http://pbs.twimg.com/profile_images/1432317302398242818/zwtRj_Nt_normal.jpg" TargetMode="External"/><Relationship Id="rId689" Type="http://schemas.openxmlformats.org/officeDocument/2006/relationships/hyperlink" Target="http://pbs.twimg.com/profile_images/1488526366622507014/OWgXEDEc_normal.jpg" TargetMode="External"/><Relationship Id="rId688" Type="http://schemas.openxmlformats.org/officeDocument/2006/relationships/hyperlink" Target="http://twitter.com/GladstoneMarian/statuses/1521060918771261440" TargetMode="External"/><Relationship Id="rId687" Type="http://schemas.openxmlformats.org/officeDocument/2006/relationships/hyperlink" Target="http://pbs.twimg.com/profile_images/1357635164311072768/ulZryeoL_normal.jpg" TargetMode="External"/><Relationship Id="rId682" Type="http://schemas.openxmlformats.org/officeDocument/2006/relationships/hyperlink" Target="http://twitter.com/GladstoneMarian/statuses/1521061005610082305" TargetMode="External"/><Relationship Id="rId5871" Type="http://schemas.openxmlformats.org/officeDocument/2006/relationships/hyperlink" Target="http://pbs.twimg.com/profile_images/1374546358779179008/jTD_H_Y6_normal.jpg" TargetMode="External"/><Relationship Id="rId681" Type="http://schemas.openxmlformats.org/officeDocument/2006/relationships/hyperlink" Target="http://pbs.twimg.com/profile_images/1357635164311072768/ulZryeoL_normal.jpg" TargetMode="External"/><Relationship Id="rId5872" Type="http://schemas.openxmlformats.org/officeDocument/2006/relationships/hyperlink" Target="http://twitter.com/chriscarter1907/statuses/1520884501940948993" TargetMode="External"/><Relationship Id="rId680" Type="http://schemas.openxmlformats.org/officeDocument/2006/relationships/hyperlink" Target="http://twitter.com/palinterest/statuses/1521061067748638721" TargetMode="External"/><Relationship Id="rId3210" Type="http://schemas.openxmlformats.org/officeDocument/2006/relationships/hyperlink" Target="http://twitter.com/mpfeldhoff/statuses/1521016053802876930" TargetMode="External"/><Relationship Id="rId4541" Type="http://schemas.openxmlformats.org/officeDocument/2006/relationships/hyperlink" Target="http://pbs.twimg.com/profile_images/911890013314519041/bNUb4Bf6_normal.jpg" TargetMode="External"/><Relationship Id="rId4540" Type="http://schemas.openxmlformats.org/officeDocument/2006/relationships/hyperlink" Target="http://twitter.com/DoreJayne/statuses/1520951700831764480" TargetMode="External"/><Relationship Id="rId5870" Type="http://schemas.openxmlformats.org/officeDocument/2006/relationships/hyperlink" Target="http://twitter.com/isthisab0t/statuses/1520884531141697537" TargetMode="External"/><Relationship Id="rId686" Type="http://schemas.openxmlformats.org/officeDocument/2006/relationships/hyperlink" Target="http://twitter.com/juk5252/statuses/1521060973813055489" TargetMode="External"/><Relationship Id="rId3212" Type="http://schemas.openxmlformats.org/officeDocument/2006/relationships/hyperlink" Target="http://twitter.com/mpfeldhoff/statuses/1521016031946461185" TargetMode="External"/><Relationship Id="rId4543" Type="http://schemas.openxmlformats.org/officeDocument/2006/relationships/hyperlink" Target="http://pbs.twimg.com/profile_images/1326851815275687943/MmAvFYe2_normal.jpg" TargetMode="External"/><Relationship Id="rId5875" Type="http://schemas.openxmlformats.org/officeDocument/2006/relationships/hyperlink" Target="http://pbs.twimg.com/profile_images/893926156990382081/HnTEqEEW_normal.jpg" TargetMode="External"/><Relationship Id="rId685" Type="http://schemas.openxmlformats.org/officeDocument/2006/relationships/hyperlink" Target="http://pbs.twimg.com/profile_images/1309848749997465601/K_GCrHBj_normal.jpg" TargetMode="External"/><Relationship Id="rId3211" Type="http://schemas.openxmlformats.org/officeDocument/2006/relationships/hyperlink" Target="http://pbs.twimg.com/profile_images/476773628303126528/X86pSbd-_normal.jpeg" TargetMode="External"/><Relationship Id="rId4542" Type="http://schemas.openxmlformats.org/officeDocument/2006/relationships/hyperlink" Target="http://twitter.com/PaisleyJanine/statuses/1520951611149139974" TargetMode="External"/><Relationship Id="rId5876" Type="http://schemas.openxmlformats.org/officeDocument/2006/relationships/hyperlink" Target="http://twitter.com/IanFWinter/statuses/1520884483523809283" TargetMode="External"/><Relationship Id="rId684" Type="http://schemas.openxmlformats.org/officeDocument/2006/relationships/hyperlink" Target="http://twitter.com/davidmacdougall/statuses/1521060990607142912" TargetMode="External"/><Relationship Id="rId3214" Type="http://schemas.openxmlformats.org/officeDocument/2006/relationships/hyperlink" Target="http://twitter.com/mpfeldhoff/statuses/1521015991018401793" TargetMode="External"/><Relationship Id="rId4545" Type="http://schemas.openxmlformats.org/officeDocument/2006/relationships/hyperlink" Target="http://pbs.twimg.com/profile_images/1225538244344938496/16id1r6l_normal.jpg" TargetMode="External"/><Relationship Id="rId5873" Type="http://schemas.openxmlformats.org/officeDocument/2006/relationships/hyperlink" Target="http://pbs.twimg.com/profile_images/1144612433295581184/BnGUYWg5_normal.png" TargetMode="External"/><Relationship Id="rId683" Type="http://schemas.openxmlformats.org/officeDocument/2006/relationships/hyperlink" Target="http://pbs.twimg.com/profile_images/1412417199994773516/vDVk3oij_normal.jpg" TargetMode="External"/><Relationship Id="rId3213" Type="http://schemas.openxmlformats.org/officeDocument/2006/relationships/hyperlink" Target="http://pbs.twimg.com/profile_images/476773628303126528/X86pSbd-_normal.jpeg" TargetMode="External"/><Relationship Id="rId4544" Type="http://schemas.openxmlformats.org/officeDocument/2006/relationships/hyperlink" Target="http://twitter.com/bowrog/statuses/1520951330881388546" TargetMode="External"/><Relationship Id="rId5874" Type="http://schemas.openxmlformats.org/officeDocument/2006/relationships/hyperlink" Target="http://twitter.com/Baznut/statuses/1520884483859308546" TargetMode="External"/><Relationship Id="rId3205" Type="http://schemas.openxmlformats.org/officeDocument/2006/relationships/hyperlink" Target="http://pbs.twimg.com/profile_images/1080538304326651904/oUAO-HX5_normal.jpg" TargetMode="External"/><Relationship Id="rId4536" Type="http://schemas.openxmlformats.org/officeDocument/2006/relationships/hyperlink" Target="http://twitter.com/isthisab0t/statuses/1520952226612662274" TargetMode="External"/><Relationship Id="rId5868" Type="http://schemas.openxmlformats.org/officeDocument/2006/relationships/hyperlink" Target="http://twitter.com/AlasSmithJones/statuses/1520884547050737664" TargetMode="External"/><Relationship Id="rId3204" Type="http://schemas.openxmlformats.org/officeDocument/2006/relationships/hyperlink" Target="http://twitter.com/rabaldor/statuses/1521016153828737024" TargetMode="External"/><Relationship Id="rId4535" Type="http://schemas.openxmlformats.org/officeDocument/2006/relationships/hyperlink" Target="http://pbs.twimg.com/profile_images/1225538244344938496/16id1r6l_normal.jpg" TargetMode="External"/><Relationship Id="rId5869" Type="http://schemas.openxmlformats.org/officeDocument/2006/relationships/hyperlink" Target="http://pbs.twimg.com/profile_images/1225538244344938496/16id1r6l_normal.jpg" TargetMode="External"/><Relationship Id="rId3207" Type="http://schemas.openxmlformats.org/officeDocument/2006/relationships/hyperlink" Target="http://pbs.twimg.com/profile_images/1500012223397302274/DI-212ZQ_normal.jpg" TargetMode="External"/><Relationship Id="rId4538" Type="http://schemas.openxmlformats.org/officeDocument/2006/relationships/hyperlink" Target="http://twitter.com/Patthedog5/statuses/1520952087491661824" TargetMode="External"/><Relationship Id="rId5866" Type="http://schemas.openxmlformats.org/officeDocument/2006/relationships/hyperlink" Target="http://twitter.com/ArdentArchivis1/statuses/1520884595146825728" TargetMode="External"/><Relationship Id="rId3206" Type="http://schemas.openxmlformats.org/officeDocument/2006/relationships/hyperlink" Target="http://twitter.com/Sunpoches/statuses/1521016120131653632" TargetMode="External"/><Relationship Id="rId4537" Type="http://schemas.openxmlformats.org/officeDocument/2006/relationships/hyperlink" Target="http://abs.twimg.com/sticky/default_profile_images/default_profile_normal.png" TargetMode="External"/><Relationship Id="rId5867" Type="http://schemas.openxmlformats.org/officeDocument/2006/relationships/hyperlink" Target="http://pbs.twimg.com/profile_images/1519795665752276992/IlG76RKj_normal.jpg" TargetMode="External"/><Relationship Id="rId3209" Type="http://schemas.openxmlformats.org/officeDocument/2006/relationships/hyperlink" Target="http://pbs.twimg.com/profile_images/476773628303126528/X86pSbd-_normal.jpeg" TargetMode="External"/><Relationship Id="rId3208" Type="http://schemas.openxmlformats.org/officeDocument/2006/relationships/hyperlink" Target="http://twitter.com/KevinLondonUK/statuses/1521016063172915200" TargetMode="External"/><Relationship Id="rId4539" Type="http://schemas.openxmlformats.org/officeDocument/2006/relationships/hyperlink" Target="http://pbs.twimg.com/profile_images/1503367235150221313/e7yFBOPz_normal.jpg" TargetMode="External"/><Relationship Id="rId679" Type="http://schemas.openxmlformats.org/officeDocument/2006/relationships/hyperlink" Target="http://pbs.twimg.com/profile_images/975386814612758529/TzmfFxnp_normal.jpg" TargetMode="External"/><Relationship Id="rId678" Type="http://schemas.openxmlformats.org/officeDocument/2006/relationships/hyperlink" Target="http://twitter.com/ukreloaded/statuses/1521061088191823872" TargetMode="External"/><Relationship Id="rId677" Type="http://schemas.openxmlformats.org/officeDocument/2006/relationships/hyperlink" Target="http://pbs.twimg.com/profile_images/1518593015685734400/9HzF2bkU_normal.jpg" TargetMode="External"/><Relationship Id="rId676" Type="http://schemas.openxmlformats.org/officeDocument/2006/relationships/hyperlink" Target="http://twitter.com/IainMacInnesUHI/statuses/1521061108181872642" TargetMode="External"/><Relationship Id="rId671" Type="http://schemas.openxmlformats.org/officeDocument/2006/relationships/hyperlink" Target="http://abs.twimg.com/sticky/default_profile_images/default_profile_normal.png" TargetMode="External"/><Relationship Id="rId5860" Type="http://schemas.openxmlformats.org/officeDocument/2006/relationships/hyperlink" Target="http://twitter.com/fbpe_h/statuses/1520884649899302914" TargetMode="External"/><Relationship Id="rId670" Type="http://schemas.openxmlformats.org/officeDocument/2006/relationships/hyperlink" Target="http://twitter.com/PShootLFWW/statuses/1521061310284316673" TargetMode="External"/><Relationship Id="rId5861" Type="http://schemas.openxmlformats.org/officeDocument/2006/relationships/hyperlink" Target="http://pbs.twimg.com/profile_images/1396502277163294722/RVvfDvGa_normal.jpg" TargetMode="External"/><Relationship Id="rId4530" Type="http://schemas.openxmlformats.org/officeDocument/2006/relationships/hyperlink" Target="http://twitter.com/ScootinaK/statuses/1520956306022363136" TargetMode="External"/><Relationship Id="rId675" Type="http://schemas.openxmlformats.org/officeDocument/2006/relationships/hyperlink" Target="http://pbs.twimg.com/profile_images/1427526811118972951/-Vob1Sl6_normal.jpg" TargetMode="External"/><Relationship Id="rId3201" Type="http://schemas.openxmlformats.org/officeDocument/2006/relationships/hyperlink" Target="http://pbs.twimg.com/profile_images/907368719961280513/dWVPv7eX_normal.jpg" TargetMode="External"/><Relationship Id="rId4532" Type="http://schemas.openxmlformats.org/officeDocument/2006/relationships/hyperlink" Target="http://twitter.com/brotherguerilla/statuses/1520955405534662656" TargetMode="External"/><Relationship Id="rId5864" Type="http://schemas.openxmlformats.org/officeDocument/2006/relationships/hyperlink" Target="http://twitter.com/BocaVerite/statuses/1520884629225582598" TargetMode="External"/><Relationship Id="rId674" Type="http://schemas.openxmlformats.org/officeDocument/2006/relationships/hyperlink" Target="http://twitter.com/Iloveautumn2/statuses/1521061186158178305" TargetMode="External"/><Relationship Id="rId3200" Type="http://schemas.openxmlformats.org/officeDocument/2006/relationships/hyperlink" Target="http://twitter.com/TippettMatthew/statuses/1521016209575133184" TargetMode="External"/><Relationship Id="rId4531" Type="http://schemas.openxmlformats.org/officeDocument/2006/relationships/hyperlink" Target="http://pbs.twimg.com/profile_images/1480212567536644096/oGDOs7g-_normal.jpg" TargetMode="External"/><Relationship Id="rId5865" Type="http://schemas.openxmlformats.org/officeDocument/2006/relationships/hyperlink" Target="http://pbs.twimg.com/profile_images/1006725678329458688/EYx_DIdV_normal.jpg" TargetMode="External"/><Relationship Id="rId673" Type="http://schemas.openxmlformats.org/officeDocument/2006/relationships/hyperlink" Target="http://pbs.twimg.com/profile_images/1417367428649136136/--5FpoDZ_normal.jpg" TargetMode="External"/><Relationship Id="rId3203" Type="http://schemas.openxmlformats.org/officeDocument/2006/relationships/hyperlink" Target="http://pbs.twimg.com/profile_images/1496747565991276548/lI5NxbIp_normal.jpg" TargetMode="External"/><Relationship Id="rId4534" Type="http://schemas.openxmlformats.org/officeDocument/2006/relationships/hyperlink" Target="http://twitter.com/pollyPRnow/statuses/1520952945172377600" TargetMode="External"/><Relationship Id="rId5862" Type="http://schemas.openxmlformats.org/officeDocument/2006/relationships/hyperlink" Target="http://twitter.com/KarenStopHate/statuses/1520884629858889733" TargetMode="External"/><Relationship Id="rId672" Type="http://schemas.openxmlformats.org/officeDocument/2006/relationships/hyperlink" Target="http://twitter.com/bellesareblue/statuses/1521061219335131136" TargetMode="External"/><Relationship Id="rId3202" Type="http://schemas.openxmlformats.org/officeDocument/2006/relationships/hyperlink" Target="http://twitter.com/sandra4646/statuses/1521016204764364800" TargetMode="External"/><Relationship Id="rId4533" Type="http://schemas.openxmlformats.org/officeDocument/2006/relationships/hyperlink" Target="http://pbs.twimg.com/profile_images/1451134240414998534/WBAWq_Sb_normal.jpg" TargetMode="External"/><Relationship Id="rId5863" Type="http://schemas.openxmlformats.org/officeDocument/2006/relationships/hyperlink" Target="http://pbs.twimg.com/profile_images/1135288205861937152/oXJQRZe3_normal.jpg" TargetMode="External"/><Relationship Id="rId190" Type="http://schemas.openxmlformats.org/officeDocument/2006/relationships/hyperlink" Target="http://twitter.com/ClaudeA82619845/statuses/1521068672902733824" TargetMode="External"/><Relationship Id="rId5019" Type="http://schemas.openxmlformats.org/officeDocument/2006/relationships/hyperlink" Target="http://pbs.twimg.com/profile_images/1217206536/CrazyBengieFB_logo_sn_0005_02_b12242010_2s0_normal.JPG" TargetMode="External"/><Relationship Id="rId194" Type="http://schemas.openxmlformats.org/officeDocument/2006/relationships/hyperlink" Target="http://twitter.com/BelAmi06337376/statuses/1521068449744789505" TargetMode="External"/><Relationship Id="rId193" Type="http://schemas.openxmlformats.org/officeDocument/2006/relationships/hyperlink" Target="http://pbs.twimg.com/profile_images/1507033978464878599/_4qI1o7E_normal.jpg" TargetMode="External"/><Relationship Id="rId192" Type="http://schemas.openxmlformats.org/officeDocument/2006/relationships/hyperlink" Target="http://twitter.com/jwahjwah/statuses/1521068591994580992" TargetMode="External"/><Relationship Id="rId191" Type="http://schemas.openxmlformats.org/officeDocument/2006/relationships/hyperlink" Target="http://pbs.twimg.com/profile_images/1349692624945364992/VTgfSLZM_normal.png" TargetMode="External"/><Relationship Id="rId5010" Type="http://schemas.openxmlformats.org/officeDocument/2006/relationships/hyperlink" Target="http://twitter.com/BelfastUnionist/statuses/1520910478662418435" TargetMode="External"/><Relationship Id="rId187" Type="http://schemas.openxmlformats.org/officeDocument/2006/relationships/hyperlink" Target="http://pbs.twimg.com/profile_images/1066408206954582021/RaKE_iFB_normal.jpg" TargetMode="External"/><Relationship Id="rId5013" Type="http://schemas.openxmlformats.org/officeDocument/2006/relationships/hyperlink" Target="http://pbs.twimg.com/profile_images/1378844953569325059/CBmJINfM_normal.jpg" TargetMode="External"/><Relationship Id="rId186" Type="http://schemas.openxmlformats.org/officeDocument/2006/relationships/hyperlink" Target="http://twitter.com/polnyypesets/statuses/1521068685229707267" TargetMode="External"/><Relationship Id="rId5014" Type="http://schemas.openxmlformats.org/officeDocument/2006/relationships/hyperlink" Target="http://twitter.com/JohnSin12439176/statuses/1520910302803542017" TargetMode="External"/><Relationship Id="rId185" Type="http://schemas.openxmlformats.org/officeDocument/2006/relationships/hyperlink" Target="http://pbs.twimg.com/profile_images/993067518163111936/yJBz53c0_normal.jpg" TargetMode="External"/><Relationship Id="rId5011" Type="http://schemas.openxmlformats.org/officeDocument/2006/relationships/hyperlink" Target="http://pbs.twimg.com/profile_images/1368843552491442176/2kCE2AX4_normal.jpg" TargetMode="External"/><Relationship Id="rId184" Type="http://schemas.openxmlformats.org/officeDocument/2006/relationships/hyperlink" Target="http://twitter.com/PatrickJervis/statuses/1521068763986157570" TargetMode="External"/><Relationship Id="rId5012" Type="http://schemas.openxmlformats.org/officeDocument/2006/relationships/hyperlink" Target="http://twitter.com/dontbrexitfixit/statuses/1520910440892878848" TargetMode="External"/><Relationship Id="rId5017" Type="http://schemas.openxmlformats.org/officeDocument/2006/relationships/hyperlink" Target="http://pbs.twimg.com/profile_images/1513982676604272643/87PWZfra_normal.jpg" TargetMode="External"/><Relationship Id="rId5018" Type="http://schemas.openxmlformats.org/officeDocument/2006/relationships/hyperlink" Target="http://twitter.com/mywonderfulbest/statuses/1520909824061493249" TargetMode="External"/><Relationship Id="rId189" Type="http://schemas.openxmlformats.org/officeDocument/2006/relationships/hyperlink" Target="http://pbs.twimg.com/profile_images/1479212469998477313/kZHhkPkJ_normal.jpg" TargetMode="External"/><Relationship Id="rId5015" Type="http://schemas.openxmlformats.org/officeDocument/2006/relationships/hyperlink" Target="http://pbs.twimg.com/profile_images/1475807947729084416/MYnatnDV_normal.jpg" TargetMode="External"/><Relationship Id="rId188" Type="http://schemas.openxmlformats.org/officeDocument/2006/relationships/hyperlink" Target="http://twitter.com/philiparrogers/statuses/1521068675176050688" TargetMode="External"/><Relationship Id="rId5016" Type="http://schemas.openxmlformats.org/officeDocument/2006/relationships/hyperlink" Target="http://twitter.com/handymelon/statuses/1520910233379524610" TargetMode="External"/><Relationship Id="rId5008" Type="http://schemas.openxmlformats.org/officeDocument/2006/relationships/hyperlink" Target="http://twitter.com/scottklogie1/statuses/1520910526510940164" TargetMode="External"/><Relationship Id="rId5009" Type="http://schemas.openxmlformats.org/officeDocument/2006/relationships/hyperlink" Target="http://pbs.twimg.com/profile_images/1122605886541791237/RtcznP9-_normal.jpg" TargetMode="External"/><Relationship Id="rId183" Type="http://schemas.openxmlformats.org/officeDocument/2006/relationships/hyperlink" Target="http://pbs.twimg.com/profile_images/1311686310021734400/Xa9jT-vC_normal.jpg" TargetMode="External"/><Relationship Id="rId182" Type="http://schemas.openxmlformats.org/officeDocument/2006/relationships/hyperlink" Target="http://twitter.com/1karenannwalker/statuses/1521068769371725824" TargetMode="External"/><Relationship Id="rId181" Type="http://schemas.openxmlformats.org/officeDocument/2006/relationships/hyperlink" Target="http://pbs.twimg.com/profile_images/1470044549254983680/EjQDcVw8_normal.jpg" TargetMode="External"/><Relationship Id="rId180" Type="http://schemas.openxmlformats.org/officeDocument/2006/relationships/hyperlink" Target="http://twitter.com/decsernatony/statuses/1521068775994494979" TargetMode="External"/><Relationship Id="rId176" Type="http://schemas.openxmlformats.org/officeDocument/2006/relationships/hyperlink" Target="http://twitter.com/jwahjwah/statuses/1521068797825896448" TargetMode="External"/><Relationship Id="rId5002" Type="http://schemas.openxmlformats.org/officeDocument/2006/relationships/hyperlink" Target="http://twitter.com/dwinnera/statuses/1520910741146152962" TargetMode="External"/><Relationship Id="rId175" Type="http://schemas.openxmlformats.org/officeDocument/2006/relationships/hyperlink" Target="http://pbs.twimg.com/profile_images/1349692624945364992/VTgfSLZM_normal.png" TargetMode="External"/><Relationship Id="rId5003" Type="http://schemas.openxmlformats.org/officeDocument/2006/relationships/hyperlink" Target="http://pbs.twimg.com/profile_images/1122605886541791237/RtcznP9-_normal.jpg" TargetMode="External"/><Relationship Id="rId174" Type="http://schemas.openxmlformats.org/officeDocument/2006/relationships/hyperlink" Target="http://twitter.com/jwahjwah/statuses/1521068820277993472" TargetMode="External"/><Relationship Id="rId5000" Type="http://schemas.openxmlformats.org/officeDocument/2006/relationships/hyperlink" Target="http://twitter.com/dwinnera/statuses/1520910808997416960" TargetMode="External"/><Relationship Id="rId173" Type="http://schemas.openxmlformats.org/officeDocument/2006/relationships/hyperlink" Target="http://pbs.twimg.com/profile_images/1349692624945364992/VTgfSLZM_normal.png" TargetMode="External"/><Relationship Id="rId5001" Type="http://schemas.openxmlformats.org/officeDocument/2006/relationships/hyperlink" Target="http://pbs.twimg.com/profile_images/786626920356126720/YTLzUg0g_normal.jpg" TargetMode="External"/><Relationship Id="rId5006" Type="http://schemas.openxmlformats.org/officeDocument/2006/relationships/hyperlink" Target="http://twitter.com/BelfastUnionist/statuses/1520910595591127042" TargetMode="External"/><Relationship Id="rId179" Type="http://schemas.openxmlformats.org/officeDocument/2006/relationships/hyperlink" Target="http://pbs.twimg.com/profile_images/1443866865558867977/ULXvnofQ_normal.jpg" TargetMode="External"/><Relationship Id="rId5007" Type="http://schemas.openxmlformats.org/officeDocument/2006/relationships/hyperlink" Target="http://pbs.twimg.com/profile_images/1280779853869060096/fvCReD9t_normal.jpg" TargetMode="External"/><Relationship Id="rId178" Type="http://schemas.openxmlformats.org/officeDocument/2006/relationships/hyperlink" Target="http://twitter.com/jwahjwah/statuses/1521068779895201793" TargetMode="External"/><Relationship Id="rId5004" Type="http://schemas.openxmlformats.org/officeDocument/2006/relationships/hyperlink" Target="http://twitter.com/BelfastUnionist/statuses/1520910605783285762" TargetMode="External"/><Relationship Id="rId177" Type="http://schemas.openxmlformats.org/officeDocument/2006/relationships/hyperlink" Target="http://pbs.twimg.com/profile_images/1349692624945364992/VTgfSLZM_normal.png" TargetMode="External"/><Relationship Id="rId5005" Type="http://schemas.openxmlformats.org/officeDocument/2006/relationships/hyperlink" Target="http://pbs.twimg.com/profile_images/1122605886541791237/RtcznP9-_normal.jpg" TargetMode="External"/><Relationship Id="rId5031" Type="http://schemas.openxmlformats.org/officeDocument/2006/relationships/hyperlink" Target="http://pbs.twimg.com/profile_images/1391761826787086341/OI-gHHMh_normal.jpg" TargetMode="External"/><Relationship Id="rId5032" Type="http://schemas.openxmlformats.org/officeDocument/2006/relationships/hyperlink" Target="http://twitter.com/Trisha81/statuses/1520908656421838848" TargetMode="External"/><Relationship Id="rId5030" Type="http://schemas.openxmlformats.org/officeDocument/2006/relationships/hyperlink" Target="http://twitter.com/Rosal7777/statuses/1520908717243383812" TargetMode="External"/><Relationship Id="rId5035" Type="http://schemas.openxmlformats.org/officeDocument/2006/relationships/hyperlink" Target="http://pbs.twimg.com/profile_images/1345321729309237248/bvf5ns23_normal.jpg" TargetMode="External"/><Relationship Id="rId5036" Type="http://schemas.openxmlformats.org/officeDocument/2006/relationships/hyperlink" Target="http://twitter.com/AndyFarquhar2/statuses/1520908514394361860" TargetMode="External"/><Relationship Id="rId5033" Type="http://schemas.openxmlformats.org/officeDocument/2006/relationships/hyperlink" Target="http://abs.twimg.com/sticky/default_profile_images/default_profile_normal.png" TargetMode="External"/><Relationship Id="rId5034" Type="http://schemas.openxmlformats.org/officeDocument/2006/relationships/hyperlink" Target="http://twitter.com/dracuk/statuses/1520908645000753154" TargetMode="External"/><Relationship Id="rId5039" Type="http://schemas.openxmlformats.org/officeDocument/2006/relationships/hyperlink" Target="http://pbs.twimg.com/profile_images/1269264348557565953/0GxXMlxM_normal.jpg" TargetMode="External"/><Relationship Id="rId5037" Type="http://schemas.openxmlformats.org/officeDocument/2006/relationships/hyperlink" Target="http://abs.twimg.com/sticky/default_profile_images/default_profile_normal.png" TargetMode="External"/><Relationship Id="rId5038" Type="http://schemas.openxmlformats.org/officeDocument/2006/relationships/hyperlink" Target="http://twitter.com/Rosal7777/statuses/1520908489979269120" TargetMode="External"/><Relationship Id="rId5020" Type="http://schemas.openxmlformats.org/officeDocument/2006/relationships/hyperlink" Target="http://twitter.com/CrazyBengieFB_/statuses/1520909588102631424" TargetMode="External"/><Relationship Id="rId5021" Type="http://schemas.openxmlformats.org/officeDocument/2006/relationships/hyperlink" Target="http://pbs.twimg.com/profile_images/1138724649100091392/c70gs-X0_normal.jpg" TargetMode="External"/><Relationship Id="rId198" Type="http://schemas.openxmlformats.org/officeDocument/2006/relationships/hyperlink" Target="http://twitter.com/DecodingTrolls/statuses/1521068357876867072" TargetMode="External"/><Relationship Id="rId5024" Type="http://schemas.openxmlformats.org/officeDocument/2006/relationships/hyperlink" Target="http://twitter.com/Laurence_in_EU/statuses/1520909046085263363" TargetMode="External"/><Relationship Id="rId197" Type="http://schemas.openxmlformats.org/officeDocument/2006/relationships/hyperlink" Target="http://pbs.twimg.com/profile_images/1455722509563801605/B0eU7yjw_normal.jpg" TargetMode="External"/><Relationship Id="rId5025" Type="http://schemas.openxmlformats.org/officeDocument/2006/relationships/hyperlink" Target="http://pbs.twimg.com/profile_images/1513982676604272643/87PWZfra_normal.jpg" TargetMode="External"/><Relationship Id="rId196" Type="http://schemas.openxmlformats.org/officeDocument/2006/relationships/hyperlink" Target="http://twitter.com/TheAlexHughes/statuses/1521068408053325826" TargetMode="External"/><Relationship Id="rId5022" Type="http://schemas.openxmlformats.org/officeDocument/2006/relationships/hyperlink" Target="http://twitter.com/davee_evans/statuses/1520909255406088193" TargetMode="External"/><Relationship Id="rId195" Type="http://schemas.openxmlformats.org/officeDocument/2006/relationships/hyperlink" Target="http://pbs.twimg.com/profile_images/848877804137611264/fe13Th_x_normal.jpg" TargetMode="External"/><Relationship Id="rId5023" Type="http://schemas.openxmlformats.org/officeDocument/2006/relationships/hyperlink" Target="http://pbs.twimg.com/profile_images/1434594123969933313/4th1Awp__normal.jpg" TargetMode="External"/><Relationship Id="rId5028" Type="http://schemas.openxmlformats.org/officeDocument/2006/relationships/hyperlink" Target="http://twitter.com/jenjeffiner/statuses/1520908831408148482" TargetMode="External"/><Relationship Id="rId5029" Type="http://schemas.openxmlformats.org/officeDocument/2006/relationships/hyperlink" Target="http://abs.twimg.com/sticky/default_profile_images/default_profile_normal.png" TargetMode="External"/><Relationship Id="rId5026" Type="http://schemas.openxmlformats.org/officeDocument/2006/relationships/hyperlink" Target="http://twitter.com/mywonderfulbest/statuses/1520908984181477378" TargetMode="External"/><Relationship Id="rId199" Type="http://schemas.openxmlformats.org/officeDocument/2006/relationships/hyperlink" Target="http://pbs.twimg.com/profile_images/1198561809801850880/NrWn2mIl_normal.jpg" TargetMode="External"/><Relationship Id="rId5027" Type="http://schemas.openxmlformats.org/officeDocument/2006/relationships/hyperlink" Target="http://pbs.twimg.com/profile_images/1185318088650186754/52bCMzxi_normal.jpg" TargetMode="External"/><Relationship Id="rId150" Type="http://schemas.openxmlformats.org/officeDocument/2006/relationships/hyperlink" Target="http://twitter.com/sjharley/statuses/1521069244632420353" TargetMode="External"/><Relationship Id="rId149" Type="http://schemas.openxmlformats.org/officeDocument/2006/relationships/hyperlink" Target="http://pbs.twimg.com/profile_images/1460027336074698757/CpYSaKdn_normal.jpg" TargetMode="External"/><Relationship Id="rId148" Type="http://schemas.openxmlformats.org/officeDocument/2006/relationships/hyperlink" Target="http://twitter.com/CathyUnbound/statuses/1521069246658367490" TargetMode="External"/><Relationship Id="rId3270" Type="http://schemas.openxmlformats.org/officeDocument/2006/relationships/hyperlink" Target="http://twitter.com/Scrabble817/statuses/1521015192141934593" TargetMode="External"/><Relationship Id="rId3272" Type="http://schemas.openxmlformats.org/officeDocument/2006/relationships/hyperlink" Target="http://twitter.com/FoxeGuido/statuses/1521015178812346371" TargetMode="External"/><Relationship Id="rId3271" Type="http://schemas.openxmlformats.org/officeDocument/2006/relationships/hyperlink" Target="http://pbs.twimg.com/profile_images/1156369900757237760/ioyCiGrx_normal.jpg" TargetMode="External"/><Relationship Id="rId143" Type="http://schemas.openxmlformats.org/officeDocument/2006/relationships/hyperlink" Target="http://pbs.twimg.com/profile_images/845171979015507968/3NK9ke5V_normal.jpg" TargetMode="External"/><Relationship Id="rId3274" Type="http://schemas.openxmlformats.org/officeDocument/2006/relationships/hyperlink" Target="http://twitter.com/AmandalikesRick/statuses/1521015174832050177" TargetMode="External"/><Relationship Id="rId142" Type="http://schemas.openxmlformats.org/officeDocument/2006/relationships/hyperlink" Target="http://twitter.com/just_slipper/statuses/1521069346927394817" TargetMode="External"/><Relationship Id="rId3273" Type="http://schemas.openxmlformats.org/officeDocument/2006/relationships/hyperlink" Target="http://pbs.twimg.com/profile_images/1498066873421901827/_RRzAEcQ_normal.jpg" TargetMode="External"/><Relationship Id="rId141" Type="http://schemas.openxmlformats.org/officeDocument/2006/relationships/hyperlink" Target="http://pbs.twimg.com/profile_images/1477979037360398339/0DdoGOxK_normal.jpg" TargetMode="External"/><Relationship Id="rId3276" Type="http://schemas.openxmlformats.org/officeDocument/2006/relationships/hyperlink" Target="http://twitter.com/KMarxette/statuses/1521015170792841216" TargetMode="External"/><Relationship Id="rId140" Type="http://schemas.openxmlformats.org/officeDocument/2006/relationships/hyperlink" Target="http://twitter.com/AESimmons2/statuses/1521069353524989952" TargetMode="External"/><Relationship Id="rId3275" Type="http://schemas.openxmlformats.org/officeDocument/2006/relationships/hyperlink" Target="http://pbs.twimg.com/profile_images/1054420068753440769/QLB1qA3L_normal.jpg" TargetMode="External"/><Relationship Id="rId147" Type="http://schemas.openxmlformats.org/officeDocument/2006/relationships/hyperlink" Target="http://pbs.twimg.com/profile_images/1364188217591922689/mL7sc_lF_normal.jpg" TargetMode="External"/><Relationship Id="rId3278" Type="http://schemas.openxmlformats.org/officeDocument/2006/relationships/hyperlink" Target="http://twitter.com/Always_a_Yes/statuses/1521015138312196096" TargetMode="External"/><Relationship Id="rId146" Type="http://schemas.openxmlformats.org/officeDocument/2006/relationships/hyperlink" Target="http://twitter.com/noniehorsman/statuses/1521069251322425344" TargetMode="External"/><Relationship Id="rId3277" Type="http://schemas.openxmlformats.org/officeDocument/2006/relationships/hyperlink" Target="http://pbs.twimg.com/profile_images/1518604537082302466/oMARr7At_normal.jpg" TargetMode="External"/><Relationship Id="rId145" Type="http://schemas.openxmlformats.org/officeDocument/2006/relationships/hyperlink" Target="http://pbs.twimg.com/profile_images/2701263077/76b3184281aca153715c43a0efed8eff_normal.png" TargetMode="External"/><Relationship Id="rId144" Type="http://schemas.openxmlformats.org/officeDocument/2006/relationships/hyperlink" Target="http://twitter.com/IanHLewis1/statuses/1521069269542481921" TargetMode="External"/><Relationship Id="rId3279" Type="http://schemas.openxmlformats.org/officeDocument/2006/relationships/hyperlink" Target="http://pbs.twimg.com/profile_images/1490600081296433160/9fGlWpyJ_normal.jpg" TargetMode="External"/><Relationship Id="rId139" Type="http://schemas.openxmlformats.org/officeDocument/2006/relationships/hyperlink" Target="http://pbs.twimg.com/profile_images/1429968806756200448/MvL243_V_normal.jpg" TargetMode="External"/><Relationship Id="rId138" Type="http://schemas.openxmlformats.org/officeDocument/2006/relationships/hyperlink" Target="http://twitter.com/bill11uk/statuses/1521069353927589892" TargetMode="External"/><Relationship Id="rId137" Type="http://schemas.openxmlformats.org/officeDocument/2006/relationships/hyperlink" Target="http://pbs.twimg.com/profile_images/926043782763761664/XQdc1E6-_normal.jpg" TargetMode="External"/><Relationship Id="rId4590" Type="http://schemas.openxmlformats.org/officeDocument/2006/relationships/hyperlink" Target="http://twitter.com/LedByWibbles/statuses/1520942875869130752" TargetMode="External"/><Relationship Id="rId3261" Type="http://schemas.openxmlformats.org/officeDocument/2006/relationships/hyperlink" Target="http://pbs.twimg.com/profile_images/1459078434353823772/llWv53Ww_normal.jpg" TargetMode="External"/><Relationship Id="rId4592" Type="http://schemas.openxmlformats.org/officeDocument/2006/relationships/hyperlink" Target="http://twitter.com/LedByWibbles/statuses/1520942809095749634" TargetMode="External"/><Relationship Id="rId3260" Type="http://schemas.openxmlformats.org/officeDocument/2006/relationships/hyperlink" Target="http://twitter.com/nicnacpaddi/statuses/1521015311901863936" TargetMode="External"/><Relationship Id="rId4591" Type="http://schemas.openxmlformats.org/officeDocument/2006/relationships/hyperlink" Target="http://pbs.twimg.com/profile_images/1511693083888562181/lTl2SNSc_normal.jpg" TargetMode="External"/><Relationship Id="rId132" Type="http://schemas.openxmlformats.org/officeDocument/2006/relationships/hyperlink" Target="http://twitter.com/AlanOak4/statuses/1521069407874781185" TargetMode="External"/><Relationship Id="rId3263" Type="http://schemas.openxmlformats.org/officeDocument/2006/relationships/hyperlink" Target="http://pbs.twimg.com/profile_images/878442634/smallclare_normal.jpg" TargetMode="External"/><Relationship Id="rId4594" Type="http://schemas.openxmlformats.org/officeDocument/2006/relationships/hyperlink" Target="http://twitter.com/hotmoklet/statuses/1520942773238927361" TargetMode="External"/><Relationship Id="rId131" Type="http://schemas.openxmlformats.org/officeDocument/2006/relationships/hyperlink" Target="http://pbs.twimg.com/profile_images/1508561141605318660/9mB6OZSH_normal.jpg" TargetMode="External"/><Relationship Id="rId3262" Type="http://schemas.openxmlformats.org/officeDocument/2006/relationships/hyperlink" Target="http://twitter.com/Ilexargentia/statuses/1521015289449697282" TargetMode="External"/><Relationship Id="rId4593" Type="http://schemas.openxmlformats.org/officeDocument/2006/relationships/hyperlink" Target="http://pbs.twimg.com/profile_images/506152325376122881/LpsEshi5_normal.jpeg" TargetMode="External"/><Relationship Id="rId130" Type="http://schemas.openxmlformats.org/officeDocument/2006/relationships/hyperlink" Target="http://twitter.com/AESimmons2/statuses/1521069409107955712" TargetMode="External"/><Relationship Id="rId3265" Type="http://schemas.openxmlformats.org/officeDocument/2006/relationships/hyperlink" Target="http://pbs.twimg.com/profile_images/1037424551158792192/2kvxZjKf_normal.jpg" TargetMode="External"/><Relationship Id="rId4596" Type="http://schemas.openxmlformats.org/officeDocument/2006/relationships/hyperlink" Target="http://twitter.com/BadawiLeila/statuses/1520941555154096128" TargetMode="External"/><Relationship Id="rId3264" Type="http://schemas.openxmlformats.org/officeDocument/2006/relationships/hyperlink" Target="http://twitter.com/ClareAdams/statuses/1521015285687455744" TargetMode="External"/><Relationship Id="rId4595" Type="http://schemas.openxmlformats.org/officeDocument/2006/relationships/hyperlink" Target="http://pbs.twimg.com/profile_images/466393867311677441/sNd2WeOZ_normal.jpeg" TargetMode="External"/><Relationship Id="rId136" Type="http://schemas.openxmlformats.org/officeDocument/2006/relationships/hyperlink" Target="http://twitter.com/AlvinFord14/statuses/1521069357866049536" TargetMode="External"/><Relationship Id="rId3267" Type="http://schemas.openxmlformats.org/officeDocument/2006/relationships/hyperlink" Target="http://pbs.twimg.com/profile_images/1486421338118107137/tGvAKrny_normal.jpg" TargetMode="External"/><Relationship Id="rId4598" Type="http://schemas.openxmlformats.org/officeDocument/2006/relationships/hyperlink" Target="http://twitter.com/CraggKeith/statuses/1520941416695971841" TargetMode="External"/><Relationship Id="rId135" Type="http://schemas.openxmlformats.org/officeDocument/2006/relationships/hyperlink" Target="http://pbs.twimg.com/profile_images/1314238275234803721/I9v1m1i7_normal.jpg" TargetMode="External"/><Relationship Id="rId3266" Type="http://schemas.openxmlformats.org/officeDocument/2006/relationships/hyperlink" Target="http://twitter.com/NuncTempus/statuses/1521015282273333248" TargetMode="External"/><Relationship Id="rId4597" Type="http://schemas.openxmlformats.org/officeDocument/2006/relationships/hyperlink" Target="http://abs.twimg.com/sticky/default_profile_images/default_profile_normal.png" TargetMode="External"/><Relationship Id="rId134" Type="http://schemas.openxmlformats.org/officeDocument/2006/relationships/hyperlink" Target="http://twitter.com/sjharley/statuses/1521069396508225536" TargetMode="External"/><Relationship Id="rId3269" Type="http://schemas.openxmlformats.org/officeDocument/2006/relationships/hyperlink" Target="http://pbs.twimg.com/profile_images/1425169235/DavidA4_normal.jpg" TargetMode="External"/><Relationship Id="rId133" Type="http://schemas.openxmlformats.org/officeDocument/2006/relationships/hyperlink" Target="http://pbs.twimg.com/profile_images/1460027336074698757/CpYSaKdn_normal.jpg" TargetMode="External"/><Relationship Id="rId3268" Type="http://schemas.openxmlformats.org/officeDocument/2006/relationships/hyperlink" Target="http://twitter.com/PAULKLAVAS1/statuses/1521015193354002434" TargetMode="External"/><Relationship Id="rId4599" Type="http://schemas.openxmlformats.org/officeDocument/2006/relationships/hyperlink" Target="http://pbs.twimg.com/profile_images/523391996082552832/gpA9lKO9_normal.jpeg" TargetMode="External"/><Relationship Id="rId172" Type="http://schemas.openxmlformats.org/officeDocument/2006/relationships/hyperlink" Target="http://twitter.com/1karenannwalker/statuses/1521068823419445248" TargetMode="External"/><Relationship Id="rId171" Type="http://schemas.openxmlformats.org/officeDocument/2006/relationships/hyperlink" Target="http://pbs.twimg.com/profile_images/1470044549254983680/EjQDcVw8_normal.jpg" TargetMode="External"/><Relationship Id="rId170" Type="http://schemas.openxmlformats.org/officeDocument/2006/relationships/hyperlink" Target="http://twitter.com/jwahjwah/statuses/1521068838598713345" TargetMode="External"/><Relationship Id="rId3290" Type="http://schemas.openxmlformats.org/officeDocument/2006/relationships/hyperlink" Target="http://twitter.com/Paul62186251/statuses/1521015011048574976" TargetMode="External"/><Relationship Id="rId3292" Type="http://schemas.openxmlformats.org/officeDocument/2006/relationships/hyperlink" Target="http://twitter.com/DbAshby/statuses/1521015009219948544" TargetMode="External"/><Relationship Id="rId3291" Type="http://schemas.openxmlformats.org/officeDocument/2006/relationships/hyperlink" Target="http://pbs.twimg.com/profile_images/1352192992149446662/BscT_CmY_normal.jpg" TargetMode="External"/><Relationship Id="rId3294" Type="http://schemas.openxmlformats.org/officeDocument/2006/relationships/hyperlink" Target="http://twitter.com/Dami1190/statuses/1521014994174980096" TargetMode="External"/><Relationship Id="rId3293" Type="http://schemas.openxmlformats.org/officeDocument/2006/relationships/hyperlink" Target="http://pbs.twimg.com/profile_images/1437126151659458563/PE_W8vRt_normal.jpg" TargetMode="External"/><Relationship Id="rId165" Type="http://schemas.openxmlformats.org/officeDocument/2006/relationships/hyperlink" Target="http://pbs.twimg.com/profile_images/378800000657552178/eeaaa949e4b0efaddc87bc249b5a05db_normal.jpeg" TargetMode="External"/><Relationship Id="rId3296" Type="http://schemas.openxmlformats.org/officeDocument/2006/relationships/hyperlink" Target="http://twitter.com/chrisc_kent/statuses/1521014985333219328" TargetMode="External"/><Relationship Id="rId164" Type="http://schemas.openxmlformats.org/officeDocument/2006/relationships/hyperlink" Target="http://twitter.com/i_pinkwolfie/statuses/1521068899009183744" TargetMode="External"/><Relationship Id="rId3295" Type="http://schemas.openxmlformats.org/officeDocument/2006/relationships/hyperlink" Target="http://pbs.twimg.com/profile_images/1245856130972057604/YNde6TAT_normal.jpg" TargetMode="External"/><Relationship Id="rId163" Type="http://schemas.openxmlformats.org/officeDocument/2006/relationships/hyperlink" Target="http://pbs.twimg.com/profile_images/914525390860963842/nmzVTnOP_normal.jpg" TargetMode="External"/><Relationship Id="rId3298" Type="http://schemas.openxmlformats.org/officeDocument/2006/relationships/hyperlink" Target="http://twitter.com/Hopalon89013906/statuses/1521014984305745920" TargetMode="External"/><Relationship Id="rId162" Type="http://schemas.openxmlformats.org/officeDocument/2006/relationships/hyperlink" Target="http://twitter.com/1karenannwalker/statuses/1521068920526061568" TargetMode="External"/><Relationship Id="rId3297" Type="http://schemas.openxmlformats.org/officeDocument/2006/relationships/hyperlink" Target="http://abs.twimg.com/sticky/default_profile_images/default_profile_normal.png" TargetMode="External"/><Relationship Id="rId169" Type="http://schemas.openxmlformats.org/officeDocument/2006/relationships/hyperlink" Target="http://pbs.twimg.com/profile_images/1349692624945364992/VTgfSLZM_normal.png" TargetMode="External"/><Relationship Id="rId168" Type="http://schemas.openxmlformats.org/officeDocument/2006/relationships/hyperlink" Target="http://twitter.com/1karenannwalker/statuses/1521068882655653889" TargetMode="External"/><Relationship Id="rId3299" Type="http://schemas.openxmlformats.org/officeDocument/2006/relationships/hyperlink" Target="http://pbs.twimg.com/profile_images/1505443536308690944/9EHn3dgG_normal.jpg" TargetMode="External"/><Relationship Id="rId167" Type="http://schemas.openxmlformats.org/officeDocument/2006/relationships/hyperlink" Target="http://pbs.twimg.com/profile_images/1470044549254983680/EjQDcVw8_normal.jpg" TargetMode="External"/><Relationship Id="rId166" Type="http://schemas.openxmlformats.org/officeDocument/2006/relationships/hyperlink" Target="http://twitter.com/condaeanclar/statuses/1521068892034154496" TargetMode="External"/><Relationship Id="rId161" Type="http://schemas.openxmlformats.org/officeDocument/2006/relationships/hyperlink" Target="http://pbs.twimg.com/profile_images/1470044549254983680/EjQDcVw8_normal.jpg" TargetMode="External"/><Relationship Id="rId160" Type="http://schemas.openxmlformats.org/officeDocument/2006/relationships/hyperlink" Target="http://twitter.com/yllekonadnerb/statuses/1521068933113122816" TargetMode="External"/><Relationship Id="rId159" Type="http://schemas.openxmlformats.org/officeDocument/2006/relationships/hyperlink" Target="http://pbs.twimg.com/profile_images/491851316277555202/kPHYuVzc_normal.jpeg" TargetMode="External"/><Relationship Id="rId3281" Type="http://schemas.openxmlformats.org/officeDocument/2006/relationships/hyperlink" Target="http://pbs.twimg.com/profile_images/916633474580336641/0ZQPmPNm_normal.jpg" TargetMode="External"/><Relationship Id="rId3280" Type="http://schemas.openxmlformats.org/officeDocument/2006/relationships/hyperlink" Target="http://twitter.com/SAH_Rowan/statuses/1521015121539219459" TargetMode="External"/><Relationship Id="rId3283" Type="http://schemas.openxmlformats.org/officeDocument/2006/relationships/hyperlink" Target="http://pbs.twimg.com/profile_images/870387123135930370/iTfugW8l_normal.jpg" TargetMode="External"/><Relationship Id="rId3282" Type="http://schemas.openxmlformats.org/officeDocument/2006/relationships/hyperlink" Target="http://twitter.com/ifg007/statuses/1521015091990306821" TargetMode="External"/><Relationship Id="rId154" Type="http://schemas.openxmlformats.org/officeDocument/2006/relationships/hyperlink" Target="http://twitter.com/LolaGilray/statuses/1521069028105728001" TargetMode="External"/><Relationship Id="rId3285" Type="http://schemas.openxmlformats.org/officeDocument/2006/relationships/hyperlink" Target="http://pbs.twimg.com/profile_images/1466090045111255047/9_-luz5i_normal.jpg" TargetMode="External"/><Relationship Id="rId153" Type="http://schemas.openxmlformats.org/officeDocument/2006/relationships/hyperlink" Target="http://pbs.twimg.com/profile_images/1231263323875880961/Rtcsb4fw_normal.jpg" TargetMode="External"/><Relationship Id="rId3284" Type="http://schemas.openxmlformats.org/officeDocument/2006/relationships/hyperlink" Target="http://twitter.com/JervisKate/statuses/1521015048877101056" TargetMode="External"/><Relationship Id="rId152" Type="http://schemas.openxmlformats.org/officeDocument/2006/relationships/hyperlink" Target="http://twitter.com/DaveCampaigns/statuses/1521069214689333248" TargetMode="External"/><Relationship Id="rId3287" Type="http://schemas.openxmlformats.org/officeDocument/2006/relationships/hyperlink" Target="http://pbs.twimg.com/profile_images/1378764298143551494/C-4VeXDz_normal.jpg" TargetMode="External"/><Relationship Id="rId151" Type="http://schemas.openxmlformats.org/officeDocument/2006/relationships/hyperlink" Target="http://pbs.twimg.com/profile_images/1224324229472161792/hLC0qGKk_normal.jpg" TargetMode="External"/><Relationship Id="rId3286" Type="http://schemas.openxmlformats.org/officeDocument/2006/relationships/hyperlink" Target="http://twitter.com/NickDWhitehead/statuses/1521015028757020673" TargetMode="External"/><Relationship Id="rId158" Type="http://schemas.openxmlformats.org/officeDocument/2006/relationships/hyperlink" Target="http://twitter.com/1karenannwalker/statuses/1521068968286605312" TargetMode="External"/><Relationship Id="rId3289" Type="http://schemas.openxmlformats.org/officeDocument/2006/relationships/hyperlink" Target="http://pbs.twimg.com/profile_images/1454153042207649794/mmrImTng_normal.jpg" TargetMode="External"/><Relationship Id="rId157" Type="http://schemas.openxmlformats.org/officeDocument/2006/relationships/hyperlink" Target="http://pbs.twimg.com/profile_images/1470044549254983680/EjQDcVw8_normal.jpg" TargetMode="External"/><Relationship Id="rId3288" Type="http://schemas.openxmlformats.org/officeDocument/2006/relationships/hyperlink" Target="http://twitter.com/EnglishNRomania/statuses/1521015026261315585" TargetMode="External"/><Relationship Id="rId156" Type="http://schemas.openxmlformats.org/officeDocument/2006/relationships/hyperlink" Target="http://twitter.com/RichardScribbl1/statuses/1521069002163900417" TargetMode="External"/><Relationship Id="rId155" Type="http://schemas.openxmlformats.org/officeDocument/2006/relationships/hyperlink" Target="http://pbs.twimg.com/profile_images/1348979895544786952/d7X9ZzSH_normal.jpg" TargetMode="External"/><Relationship Id="rId2820" Type="http://schemas.openxmlformats.org/officeDocument/2006/relationships/hyperlink" Target="http://twitter.com/slaine3000/statuses/1521022912186175488" TargetMode="External"/><Relationship Id="rId2821" Type="http://schemas.openxmlformats.org/officeDocument/2006/relationships/hyperlink" Target="http://pbs.twimg.com/profile_images/1488935121088561156/gUZ6Spos_normal.jpg" TargetMode="External"/><Relationship Id="rId2822" Type="http://schemas.openxmlformats.org/officeDocument/2006/relationships/hyperlink" Target="http://twitter.com/slaine3000/statuses/1521022879680409600" TargetMode="External"/><Relationship Id="rId2823" Type="http://schemas.openxmlformats.org/officeDocument/2006/relationships/hyperlink" Target="http://pbs.twimg.com/profile_images/1506239366125047815/qUV_vjnn_normal.jpg" TargetMode="External"/><Relationship Id="rId2824" Type="http://schemas.openxmlformats.org/officeDocument/2006/relationships/hyperlink" Target="http://twitter.com/BluJay1066/statuses/1521022861879787521" TargetMode="External"/><Relationship Id="rId2825" Type="http://schemas.openxmlformats.org/officeDocument/2006/relationships/hyperlink" Target="http://pbs.twimg.com/profile_images/1488935121088561156/gUZ6Spos_normal.jpg" TargetMode="External"/><Relationship Id="rId2826" Type="http://schemas.openxmlformats.org/officeDocument/2006/relationships/hyperlink" Target="http://twitter.com/slaine3000/statuses/1521022809656512512" TargetMode="External"/><Relationship Id="rId2827" Type="http://schemas.openxmlformats.org/officeDocument/2006/relationships/hyperlink" Target="http://pbs.twimg.com/profile_images/1223980563545174017/pYDcXXqd_normal.jpg" TargetMode="External"/><Relationship Id="rId2828" Type="http://schemas.openxmlformats.org/officeDocument/2006/relationships/hyperlink" Target="http://twitter.com/Emu52May/statuses/1521022806359740416" TargetMode="External"/><Relationship Id="rId2829" Type="http://schemas.openxmlformats.org/officeDocument/2006/relationships/hyperlink" Target="http://abs.twimg.com/sticky/default_profile_images/default_profile_normal.png" TargetMode="External"/><Relationship Id="rId5093" Type="http://schemas.openxmlformats.org/officeDocument/2006/relationships/hyperlink" Target="http://pbs.twimg.com/profile_images/838400948238168065/fEk2osQ9_normal.jpg" TargetMode="External"/><Relationship Id="rId5094" Type="http://schemas.openxmlformats.org/officeDocument/2006/relationships/hyperlink" Target="http://twitter.com/trewennack/statuses/1520906109535588352" TargetMode="External"/><Relationship Id="rId5091" Type="http://schemas.openxmlformats.org/officeDocument/2006/relationships/hyperlink" Target="http://pbs.twimg.com/profile_images/1488820916922556416/DvGLecA1_normal.jpg" TargetMode="External"/><Relationship Id="rId5092" Type="http://schemas.openxmlformats.org/officeDocument/2006/relationships/hyperlink" Target="http://twitter.com/barlaventoexp/statuses/1520906187952300033" TargetMode="External"/><Relationship Id="rId5097" Type="http://schemas.openxmlformats.org/officeDocument/2006/relationships/hyperlink" Target="http://abs.twimg.com/sticky/default_profile_images/default_profile_normal.png" TargetMode="External"/><Relationship Id="rId5098" Type="http://schemas.openxmlformats.org/officeDocument/2006/relationships/hyperlink" Target="http://twitter.com/AMSM3/statuses/1520905925112045568" TargetMode="External"/><Relationship Id="rId5095" Type="http://schemas.openxmlformats.org/officeDocument/2006/relationships/hyperlink" Target="http://pbs.twimg.com/profile_images/1497704279154610177/DgI5PyT0_normal.jpg" TargetMode="External"/><Relationship Id="rId5096" Type="http://schemas.openxmlformats.org/officeDocument/2006/relationships/hyperlink" Target="http://twitter.com/JohnBoo85608696/statuses/1520906059761823746" TargetMode="External"/><Relationship Id="rId5099" Type="http://schemas.openxmlformats.org/officeDocument/2006/relationships/hyperlink" Target="http://pbs.twimg.com/profile_images/1176018045904535552/42YZ3fZG_normal.jpg" TargetMode="External"/><Relationship Id="rId2810" Type="http://schemas.openxmlformats.org/officeDocument/2006/relationships/hyperlink" Target="http://twitter.com/Towler/statuses/1521023046382936064" TargetMode="External"/><Relationship Id="rId2811" Type="http://schemas.openxmlformats.org/officeDocument/2006/relationships/hyperlink" Target="http://pbs.twimg.com/profile_images/1508510904232685574/VPB2PtkF_normal.jpg" TargetMode="External"/><Relationship Id="rId2812" Type="http://schemas.openxmlformats.org/officeDocument/2006/relationships/hyperlink" Target="http://twitter.com/RabiaL121/statuses/1521022995728408579" TargetMode="External"/><Relationship Id="rId2813" Type="http://schemas.openxmlformats.org/officeDocument/2006/relationships/hyperlink" Target="http://pbs.twimg.com/profile_images/2603575427/r4Y21y2M_normal" TargetMode="External"/><Relationship Id="rId2814" Type="http://schemas.openxmlformats.org/officeDocument/2006/relationships/hyperlink" Target="http://twitter.com/Salanais/statuses/1521022948655648770" TargetMode="External"/><Relationship Id="rId2815" Type="http://schemas.openxmlformats.org/officeDocument/2006/relationships/hyperlink" Target="http://pbs.twimg.com/profile_images/1207349724686274560/y5Ub6kKm_normal.jpg" TargetMode="External"/><Relationship Id="rId2816" Type="http://schemas.openxmlformats.org/officeDocument/2006/relationships/hyperlink" Target="http://twitter.com/KTCharlton/statuses/1521022943391850496" TargetMode="External"/><Relationship Id="rId2817" Type="http://schemas.openxmlformats.org/officeDocument/2006/relationships/hyperlink" Target="http://pbs.twimg.com/profile_images/1489323046292832258/C4pJzinK_normal.jpg" TargetMode="External"/><Relationship Id="rId2818" Type="http://schemas.openxmlformats.org/officeDocument/2006/relationships/hyperlink" Target="http://twitter.com/Raymond23824751/statuses/1521022931610001408" TargetMode="External"/><Relationship Id="rId2819" Type="http://schemas.openxmlformats.org/officeDocument/2006/relationships/hyperlink" Target="http://pbs.twimg.com/profile_images/1488935121088561156/gUZ6Spos_normal.jpg" TargetMode="External"/><Relationship Id="rId5090" Type="http://schemas.openxmlformats.org/officeDocument/2006/relationships/hyperlink" Target="http://twitter.com/RhiD83/statuses/1520906451547561984" TargetMode="External"/><Relationship Id="rId5082" Type="http://schemas.openxmlformats.org/officeDocument/2006/relationships/hyperlink" Target="http://twitter.com/PeterTelford/statuses/1520906893648138241" TargetMode="External"/><Relationship Id="rId5083" Type="http://schemas.openxmlformats.org/officeDocument/2006/relationships/hyperlink" Target="http://pbs.twimg.com/profile_images/718470443552894978/U_PZzo0S_normal.jpg" TargetMode="External"/><Relationship Id="rId5080" Type="http://schemas.openxmlformats.org/officeDocument/2006/relationships/hyperlink" Target="http://twitter.com/dracuk/statuses/1520906945552654336" TargetMode="External"/><Relationship Id="rId5081" Type="http://schemas.openxmlformats.org/officeDocument/2006/relationships/hyperlink" Target="http://pbs.twimg.com/profile_images/1309921887703756805/VorvSlri_normal.jpg" TargetMode="External"/><Relationship Id="rId5086" Type="http://schemas.openxmlformats.org/officeDocument/2006/relationships/hyperlink" Target="http://twitter.com/dracuk/statuses/1520906836928602113" TargetMode="External"/><Relationship Id="rId5087" Type="http://schemas.openxmlformats.org/officeDocument/2006/relationships/hyperlink" Target="http://pbs.twimg.com/profile_images/471201506788536320/igp3m0yi_normal.jpeg" TargetMode="External"/><Relationship Id="rId5084" Type="http://schemas.openxmlformats.org/officeDocument/2006/relationships/hyperlink" Target="http://twitter.com/lesleypeal/statuses/1520906854875992067" TargetMode="External"/><Relationship Id="rId5085" Type="http://schemas.openxmlformats.org/officeDocument/2006/relationships/hyperlink" Target="http://abs.twimg.com/sticky/default_profile_images/default_profile_normal.png" TargetMode="External"/><Relationship Id="rId5088" Type="http://schemas.openxmlformats.org/officeDocument/2006/relationships/hyperlink" Target="http://twitter.com/goalonthedole/statuses/1520906525048455168" TargetMode="External"/><Relationship Id="rId5089" Type="http://schemas.openxmlformats.org/officeDocument/2006/relationships/hyperlink" Target="http://pbs.twimg.com/profile_images/1486244679117156360/f4IE7JWA_normal.jpg" TargetMode="External"/><Relationship Id="rId1510" Type="http://schemas.openxmlformats.org/officeDocument/2006/relationships/hyperlink" Target="http://twitter.com/DavidWPoole73/statuses/1521045834951016448" TargetMode="External"/><Relationship Id="rId2841" Type="http://schemas.openxmlformats.org/officeDocument/2006/relationships/hyperlink" Target="http://pbs.twimg.com/profile_images/777752534374944768/N1dsWLOF_normal.jpg" TargetMode="External"/><Relationship Id="rId1511" Type="http://schemas.openxmlformats.org/officeDocument/2006/relationships/hyperlink" Target="http://pbs.twimg.com/profile_images/1505543969840803849/Rb7-NF8b_normal.jpg" TargetMode="External"/><Relationship Id="rId2842" Type="http://schemas.openxmlformats.org/officeDocument/2006/relationships/hyperlink" Target="http://twitter.com/DMTEnergy/statuses/1521022446601707520" TargetMode="External"/><Relationship Id="rId1512" Type="http://schemas.openxmlformats.org/officeDocument/2006/relationships/hyperlink" Target="http://twitter.com/ryanjean77/statuses/1521045719368572929" TargetMode="External"/><Relationship Id="rId2843" Type="http://schemas.openxmlformats.org/officeDocument/2006/relationships/hyperlink" Target="http://pbs.twimg.com/profile_images/1421439577127112704/3bmMlvZj_normal.jpg" TargetMode="External"/><Relationship Id="rId1513" Type="http://schemas.openxmlformats.org/officeDocument/2006/relationships/hyperlink" Target="http://abs.twimg.com/sticky/default_profile_images/default_profile_normal.png" TargetMode="External"/><Relationship Id="rId2844" Type="http://schemas.openxmlformats.org/officeDocument/2006/relationships/hyperlink" Target="http://twitter.com/TessaDo45654514/statuses/1521022385834663937" TargetMode="External"/><Relationship Id="rId1514" Type="http://schemas.openxmlformats.org/officeDocument/2006/relationships/hyperlink" Target="http://twitter.com/DuncanClarke15/statuses/1521045712250847232" TargetMode="External"/><Relationship Id="rId2845" Type="http://schemas.openxmlformats.org/officeDocument/2006/relationships/hyperlink" Target="http://pbs.twimg.com/profile_images/1496752252232646662/Dr4GFJMQ_normal.jpg" TargetMode="External"/><Relationship Id="rId1515" Type="http://schemas.openxmlformats.org/officeDocument/2006/relationships/hyperlink" Target="http://pbs.twimg.com/profile_images/1505543969840803849/Rb7-NF8b_normal.jpg" TargetMode="External"/><Relationship Id="rId2846" Type="http://schemas.openxmlformats.org/officeDocument/2006/relationships/hyperlink" Target="http://twitter.com/jamesmb/statuses/1521022351122518017" TargetMode="External"/><Relationship Id="rId1516" Type="http://schemas.openxmlformats.org/officeDocument/2006/relationships/hyperlink" Target="http://twitter.com/ryanjean77/statuses/1521045676838248449" TargetMode="External"/><Relationship Id="rId2847" Type="http://schemas.openxmlformats.org/officeDocument/2006/relationships/hyperlink" Target="http://pbs.twimg.com/profile_images/777752534374944768/N1dsWLOF_normal.jpg" TargetMode="External"/><Relationship Id="rId1517" Type="http://schemas.openxmlformats.org/officeDocument/2006/relationships/hyperlink" Target="http://pbs.twimg.com/profile_images/1194339147139485696/YynY5cFN_normal.jpg" TargetMode="External"/><Relationship Id="rId2848" Type="http://schemas.openxmlformats.org/officeDocument/2006/relationships/hyperlink" Target="http://twitter.com/DMTEnergy/statuses/1521022339844124672" TargetMode="External"/><Relationship Id="rId1518" Type="http://schemas.openxmlformats.org/officeDocument/2006/relationships/hyperlink" Target="http://twitter.com/chesterwriter/statuses/1521045666910375938" TargetMode="External"/><Relationship Id="rId2849" Type="http://schemas.openxmlformats.org/officeDocument/2006/relationships/hyperlink" Target="http://pbs.twimg.com/profile_images/1242201312172924931/Cy1s4n0G_normal.jpg" TargetMode="External"/><Relationship Id="rId1519" Type="http://schemas.openxmlformats.org/officeDocument/2006/relationships/hyperlink" Target="http://pbs.twimg.com/profile_images/1115642678224486401/Q93HpfWz_normal.jpg" TargetMode="External"/><Relationship Id="rId2840" Type="http://schemas.openxmlformats.org/officeDocument/2006/relationships/hyperlink" Target="http://twitter.com/gillditch55/statuses/1521022447738306560" TargetMode="External"/><Relationship Id="rId2830" Type="http://schemas.openxmlformats.org/officeDocument/2006/relationships/hyperlink" Target="http://twitter.com/Gosia73686703/statuses/1521022765243027456" TargetMode="External"/><Relationship Id="rId1500" Type="http://schemas.openxmlformats.org/officeDocument/2006/relationships/hyperlink" Target="http://twitter.com/gas2green/statuses/1521046000927920130" TargetMode="External"/><Relationship Id="rId2831" Type="http://schemas.openxmlformats.org/officeDocument/2006/relationships/hyperlink" Target="http://pbs.twimg.com/profile_images/1488935121088561156/gUZ6Spos_normal.jpg" TargetMode="External"/><Relationship Id="rId1501" Type="http://schemas.openxmlformats.org/officeDocument/2006/relationships/hyperlink" Target="http://pbs.twimg.com/profile_images/566961912500715520/1dZOFuRd_normal.jpeg" TargetMode="External"/><Relationship Id="rId2832" Type="http://schemas.openxmlformats.org/officeDocument/2006/relationships/hyperlink" Target="http://twitter.com/slaine3000/statuses/1521022650285531137" TargetMode="External"/><Relationship Id="rId1502" Type="http://schemas.openxmlformats.org/officeDocument/2006/relationships/hyperlink" Target="http://twitter.com/rockymaporak/statuses/1521045992677777408" TargetMode="External"/><Relationship Id="rId2833" Type="http://schemas.openxmlformats.org/officeDocument/2006/relationships/hyperlink" Target="http://pbs.twimg.com/profile_images/1497142746708127759/i1byR56v_normal.jpg" TargetMode="External"/><Relationship Id="rId1503" Type="http://schemas.openxmlformats.org/officeDocument/2006/relationships/hyperlink" Target="http://pbs.twimg.com/profile_images/1377639471450062861/Q4sICkdL_normal.jpg" TargetMode="External"/><Relationship Id="rId2834" Type="http://schemas.openxmlformats.org/officeDocument/2006/relationships/hyperlink" Target="http://twitter.com/FreeBritain/statuses/1521022542240268289" TargetMode="External"/><Relationship Id="rId1504" Type="http://schemas.openxmlformats.org/officeDocument/2006/relationships/hyperlink" Target="http://twitter.com/Canofworms11/statuses/1521045958431322112" TargetMode="External"/><Relationship Id="rId2835" Type="http://schemas.openxmlformats.org/officeDocument/2006/relationships/hyperlink" Target="http://pbs.twimg.com/profile_images/1066408206954582021/RaKE_iFB_normal.jpg" TargetMode="External"/><Relationship Id="rId1505" Type="http://schemas.openxmlformats.org/officeDocument/2006/relationships/hyperlink" Target="http://abs.twimg.com/sticky/default_profile_images/default_profile_normal.png" TargetMode="External"/><Relationship Id="rId2836" Type="http://schemas.openxmlformats.org/officeDocument/2006/relationships/hyperlink" Target="http://twitter.com/philiparrogers/statuses/1521022505166819329" TargetMode="External"/><Relationship Id="rId1506" Type="http://schemas.openxmlformats.org/officeDocument/2006/relationships/hyperlink" Target="http://twitter.com/DenneyDesign/statuses/1521045928588808192" TargetMode="External"/><Relationship Id="rId2837" Type="http://schemas.openxmlformats.org/officeDocument/2006/relationships/hyperlink" Target="http://pbs.twimg.com/profile_images/777752534374944768/N1dsWLOF_normal.jpg" TargetMode="External"/><Relationship Id="rId1507" Type="http://schemas.openxmlformats.org/officeDocument/2006/relationships/hyperlink" Target="http://pbs.twimg.com/profile_images/1217377637246676993/hxOPOVkd_normal.jpg" TargetMode="External"/><Relationship Id="rId2838" Type="http://schemas.openxmlformats.org/officeDocument/2006/relationships/hyperlink" Target="http://twitter.com/DMTEnergy/statuses/1521022463886475266" TargetMode="External"/><Relationship Id="rId1508" Type="http://schemas.openxmlformats.org/officeDocument/2006/relationships/hyperlink" Target="http://twitter.com/PShootLFWW/statuses/1521045835605327872" TargetMode="External"/><Relationship Id="rId2839" Type="http://schemas.openxmlformats.org/officeDocument/2006/relationships/hyperlink" Target="http://pbs.twimg.com/profile_images/1242201312172924931/Cy1s4n0G_normal.jpg" TargetMode="External"/><Relationship Id="rId1509" Type="http://schemas.openxmlformats.org/officeDocument/2006/relationships/hyperlink" Target="http://pbs.twimg.com/profile_images/1017766359529328645/7yvF9hFe_normal.jpg" TargetMode="External"/><Relationship Id="rId5050" Type="http://schemas.openxmlformats.org/officeDocument/2006/relationships/hyperlink" Target="http://twitter.com/meNabster/statuses/1520908201427877888" TargetMode="External"/><Relationship Id="rId5053" Type="http://schemas.openxmlformats.org/officeDocument/2006/relationships/hyperlink" Target="http://pbs.twimg.com/profile_images/1254681070970245121/HsMZFd3W_normal.jpg" TargetMode="External"/><Relationship Id="rId5054" Type="http://schemas.openxmlformats.org/officeDocument/2006/relationships/hyperlink" Target="http://twitter.com/MrPJLowe/statuses/1520907993449222145" TargetMode="External"/><Relationship Id="rId5051" Type="http://schemas.openxmlformats.org/officeDocument/2006/relationships/hyperlink" Target="http://abs.twimg.com/sticky/default_profile_images/default_profile_normal.png" TargetMode="External"/><Relationship Id="rId5052" Type="http://schemas.openxmlformats.org/officeDocument/2006/relationships/hyperlink" Target="http://twitter.com/Infatuatedmd/statuses/1520908079063343105" TargetMode="External"/><Relationship Id="rId5057" Type="http://schemas.openxmlformats.org/officeDocument/2006/relationships/hyperlink" Target="http://pbs.twimg.com/profile_images/1228105849081679878/IP-vMjus_normal.jpg" TargetMode="External"/><Relationship Id="rId5058" Type="http://schemas.openxmlformats.org/officeDocument/2006/relationships/hyperlink" Target="http://twitter.com/georgebernhard/statuses/1520907803782791168" TargetMode="External"/><Relationship Id="rId5055" Type="http://schemas.openxmlformats.org/officeDocument/2006/relationships/hyperlink" Target="http://pbs.twimg.com/profile_images/669193822472167424/zLJ50BK4_normal.jpg" TargetMode="External"/><Relationship Id="rId5056" Type="http://schemas.openxmlformats.org/officeDocument/2006/relationships/hyperlink" Target="http://twitter.com/meNabster/statuses/1520907854168961025" TargetMode="External"/><Relationship Id="rId5059" Type="http://schemas.openxmlformats.org/officeDocument/2006/relationships/hyperlink" Target="http://pbs.twimg.com/profile_images/1415579471684542464/37hs05qd_normal.jpg" TargetMode="External"/><Relationship Id="rId5042" Type="http://schemas.openxmlformats.org/officeDocument/2006/relationships/hyperlink" Target="http://twitter.com/dracuk/statuses/1520908412892110856" TargetMode="External"/><Relationship Id="rId5043" Type="http://schemas.openxmlformats.org/officeDocument/2006/relationships/hyperlink" Target="http://pbs.twimg.com/profile_images/1254681070970245121/HsMZFd3W_normal.jpg" TargetMode="External"/><Relationship Id="rId5040" Type="http://schemas.openxmlformats.org/officeDocument/2006/relationships/hyperlink" Target="http://twitter.com/AnnEllis6/statuses/1520908464117239816" TargetMode="External"/><Relationship Id="rId5041" Type="http://schemas.openxmlformats.org/officeDocument/2006/relationships/hyperlink" Target="http://abs.twimg.com/sticky/default_profile_images/default_profile_normal.png" TargetMode="External"/><Relationship Id="rId5046" Type="http://schemas.openxmlformats.org/officeDocument/2006/relationships/hyperlink" Target="http://twitter.com/meNabster/statuses/1520908221929738243" TargetMode="External"/><Relationship Id="rId5047" Type="http://schemas.openxmlformats.org/officeDocument/2006/relationships/hyperlink" Target="http://pbs.twimg.com/profile_images/669193822472167424/zLJ50BK4_normal.jpg" TargetMode="External"/><Relationship Id="rId5044" Type="http://schemas.openxmlformats.org/officeDocument/2006/relationships/hyperlink" Target="http://twitter.com/MrPJLowe/statuses/1520908262094344193" TargetMode="External"/><Relationship Id="rId5045" Type="http://schemas.openxmlformats.org/officeDocument/2006/relationships/hyperlink" Target="http://pbs.twimg.com/profile_images/669193822472167424/zLJ50BK4_normal.jpg" TargetMode="External"/><Relationship Id="rId5048" Type="http://schemas.openxmlformats.org/officeDocument/2006/relationships/hyperlink" Target="http://twitter.com/meNabster/statuses/1520908212026974208" TargetMode="External"/><Relationship Id="rId5049" Type="http://schemas.openxmlformats.org/officeDocument/2006/relationships/hyperlink" Target="http://pbs.twimg.com/profile_images/669193822472167424/zLJ50BK4_normal.jpg" TargetMode="External"/><Relationship Id="rId2800" Type="http://schemas.openxmlformats.org/officeDocument/2006/relationships/hyperlink" Target="http://twitter.com/melwest14/statuses/1521023235248340993" TargetMode="External"/><Relationship Id="rId2801" Type="http://schemas.openxmlformats.org/officeDocument/2006/relationships/hyperlink" Target="http://pbs.twimg.com/profile_images/1234127129807392770/WTWNRfS5_normal.jpg" TargetMode="External"/><Relationship Id="rId2802" Type="http://schemas.openxmlformats.org/officeDocument/2006/relationships/hyperlink" Target="http://twitter.com/pinklilyphoto/statuses/1521023117929463808" TargetMode="External"/><Relationship Id="rId2803" Type="http://schemas.openxmlformats.org/officeDocument/2006/relationships/hyperlink" Target="http://pbs.twimg.com/profile_images/378800000314543447/c23c786d42f1c1ab57d673f35d2d0539_normal.png" TargetMode="External"/><Relationship Id="rId2804" Type="http://schemas.openxmlformats.org/officeDocument/2006/relationships/hyperlink" Target="http://twitter.com/2niteNetwork/statuses/1521023099067633666" TargetMode="External"/><Relationship Id="rId2805" Type="http://schemas.openxmlformats.org/officeDocument/2006/relationships/hyperlink" Target="http://pbs.twimg.com/profile_images/1347284401256865799/wlFP2XVe_normal.jpg" TargetMode="External"/><Relationship Id="rId2806" Type="http://schemas.openxmlformats.org/officeDocument/2006/relationships/hyperlink" Target="http://twitter.com/Rudders60/statuses/1521023094726479873" TargetMode="External"/><Relationship Id="rId2807" Type="http://schemas.openxmlformats.org/officeDocument/2006/relationships/hyperlink" Target="http://pbs.twimg.com/profile_images/1143849900448407552/URqMVj3X_normal.jpg" TargetMode="External"/><Relationship Id="rId2808" Type="http://schemas.openxmlformats.org/officeDocument/2006/relationships/hyperlink" Target="http://twitter.com/ElizeBiermann/statuses/1521023071821389824" TargetMode="External"/><Relationship Id="rId2809" Type="http://schemas.openxmlformats.org/officeDocument/2006/relationships/hyperlink" Target="http://pbs.twimg.com/profile_images/1505647011831422977/mJYQ0cfm_normal.jpg" TargetMode="External"/><Relationship Id="rId5071" Type="http://schemas.openxmlformats.org/officeDocument/2006/relationships/hyperlink" Target="http://abs.twimg.com/sticky/default_profile_images/default_profile_normal.png" TargetMode="External"/><Relationship Id="rId5072" Type="http://schemas.openxmlformats.org/officeDocument/2006/relationships/hyperlink" Target="http://twitter.com/dracuk/statuses/1520907083796959237" TargetMode="External"/><Relationship Id="rId5070" Type="http://schemas.openxmlformats.org/officeDocument/2006/relationships/hyperlink" Target="http://twitter.com/Stanfrank53/statuses/1520907143616118785" TargetMode="External"/><Relationship Id="rId5075" Type="http://schemas.openxmlformats.org/officeDocument/2006/relationships/hyperlink" Target="http://abs.twimg.com/sticky/default_profile_images/default_profile_normal.png" TargetMode="External"/><Relationship Id="rId5076" Type="http://schemas.openxmlformats.org/officeDocument/2006/relationships/hyperlink" Target="http://twitter.com/Infatuatedmd/statuses/1520907018839760897" TargetMode="External"/><Relationship Id="rId5073" Type="http://schemas.openxmlformats.org/officeDocument/2006/relationships/hyperlink" Target="http://abs.twimg.com/sticky/default_profile_images/default_profile_normal.png" TargetMode="External"/><Relationship Id="rId5074" Type="http://schemas.openxmlformats.org/officeDocument/2006/relationships/hyperlink" Target="http://twitter.com/dracuk/statuses/1520907040150929408" TargetMode="External"/><Relationship Id="rId5079" Type="http://schemas.openxmlformats.org/officeDocument/2006/relationships/hyperlink" Target="http://abs.twimg.com/sticky/default_profile_images/default_profile_normal.png" TargetMode="External"/><Relationship Id="rId5077" Type="http://schemas.openxmlformats.org/officeDocument/2006/relationships/hyperlink" Target="http://abs.twimg.com/sticky/default_profile_images/default_profile_normal.png" TargetMode="External"/><Relationship Id="rId5078" Type="http://schemas.openxmlformats.org/officeDocument/2006/relationships/hyperlink" Target="http://twitter.com/dracuk/statuses/1520907003484332033" TargetMode="External"/><Relationship Id="rId5060" Type="http://schemas.openxmlformats.org/officeDocument/2006/relationships/hyperlink" Target="http://twitter.com/TristramWyatt/statuses/1520907613373935617" TargetMode="External"/><Relationship Id="rId5061" Type="http://schemas.openxmlformats.org/officeDocument/2006/relationships/hyperlink" Target="http://pbs.twimg.com/profile_images/1460562462/P1000559_normal.JPG" TargetMode="External"/><Relationship Id="rId5064" Type="http://schemas.openxmlformats.org/officeDocument/2006/relationships/hyperlink" Target="http://twitter.com/InlimboV/statuses/1520907370326597633" TargetMode="External"/><Relationship Id="rId5065" Type="http://schemas.openxmlformats.org/officeDocument/2006/relationships/hyperlink" Target="http://abs.twimg.com/sticky/default_profile_images/default_profile_normal.png" TargetMode="External"/><Relationship Id="rId5062" Type="http://schemas.openxmlformats.org/officeDocument/2006/relationships/hyperlink" Target="http://twitter.com/KapilaRK/statuses/1520907556675375105" TargetMode="External"/><Relationship Id="rId5063" Type="http://schemas.openxmlformats.org/officeDocument/2006/relationships/hyperlink" Target="http://pbs.twimg.com/profile_images/1515691518430007310/vALM1SZU_normal.jpg" TargetMode="External"/><Relationship Id="rId5068" Type="http://schemas.openxmlformats.org/officeDocument/2006/relationships/hyperlink" Target="http://twitter.com/Infatuatedmd/statuses/1520907144048091136" TargetMode="External"/><Relationship Id="rId5069" Type="http://schemas.openxmlformats.org/officeDocument/2006/relationships/hyperlink" Target="http://abs.twimg.com/sticky/default_profile_images/default_profile_normal.png" TargetMode="External"/><Relationship Id="rId5066" Type="http://schemas.openxmlformats.org/officeDocument/2006/relationships/hyperlink" Target="http://twitter.com/Infatuatedmd/statuses/1520907208569065481" TargetMode="External"/><Relationship Id="rId5067" Type="http://schemas.openxmlformats.org/officeDocument/2006/relationships/hyperlink" Target="http://abs.twimg.com/sticky/default_profile_images/default_profile_normal.png" TargetMode="External"/><Relationship Id="rId1576" Type="http://schemas.openxmlformats.org/officeDocument/2006/relationships/hyperlink" Target="http://twitter.com/LostinLauzerte/statuses/1521044757451096064" TargetMode="External"/><Relationship Id="rId4602" Type="http://schemas.openxmlformats.org/officeDocument/2006/relationships/hyperlink" Target="http://twitter.com/wynmallett/statuses/1520941184142688257" TargetMode="External"/><Relationship Id="rId5934" Type="http://schemas.openxmlformats.org/officeDocument/2006/relationships/hyperlink" Target="http://twitter.com/heather63262308/statuses/1520883637247426560" TargetMode="External"/><Relationship Id="rId1577" Type="http://schemas.openxmlformats.org/officeDocument/2006/relationships/hyperlink" Target="http://pbs.twimg.com/profile_images/1035203835734773760/gGDgrVpd_normal.jpg" TargetMode="External"/><Relationship Id="rId4601" Type="http://schemas.openxmlformats.org/officeDocument/2006/relationships/hyperlink" Target="http://pbs.twimg.com/profile_images/1499450804297777156/fmAi11JD_normal.jpg" TargetMode="External"/><Relationship Id="rId5935" Type="http://schemas.openxmlformats.org/officeDocument/2006/relationships/hyperlink" Target="http://pbs.twimg.com/profile_images/464150335217340416/u3fkr3Ff_normal.jpeg" TargetMode="External"/><Relationship Id="rId1578" Type="http://schemas.openxmlformats.org/officeDocument/2006/relationships/hyperlink" Target="http://twitter.com/DavidHeadViews/statuses/1521044728292253696" TargetMode="External"/><Relationship Id="rId4604" Type="http://schemas.openxmlformats.org/officeDocument/2006/relationships/hyperlink" Target="http://twitter.com/Donatedparts/statuses/1520941008271380481" TargetMode="External"/><Relationship Id="rId5932" Type="http://schemas.openxmlformats.org/officeDocument/2006/relationships/hyperlink" Target="http://twitter.com/TalktoBeverley/statuses/1520883654502887424" TargetMode="External"/><Relationship Id="rId1579" Type="http://schemas.openxmlformats.org/officeDocument/2006/relationships/hyperlink" Target="http://pbs.twimg.com/profile_images/1294923882944757760/8gQOZeOk_normal.jpg" TargetMode="External"/><Relationship Id="rId4603" Type="http://schemas.openxmlformats.org/officeDocument/2006/relationships/hyperlink" Target="http://pbs.twimg.com/profile_images/1447331121910501377/F2GCWXfQ_normal.jpg" TargetMode="External"/><Relationship Id="rId5933" Type="http://schemas.openxmlformats.org/officeDocument/2006/relationships/hyperlink" Target="http://pbs.twimg.com/profile_images/1047199981650829312/cWYK7Lq__normal.jpg" TargetMode="External"/><Relationship Id="rId4606" Type="http://schemas.openxmlformats.org/officeDocument/2006/relationships/hyperlink" Target="http://twitter.com/m_innocenti3/statuses/1520940869372858368" TargetMode="External"/><Relationship Id="rId5938" Type="http://schemas.openxmlformats.org/officeDocument/2006/relationships/hyperlink" Target="http://twitter.com/iaeon/statuses/1520883516543848455" TargetMode="External"/><Relationship Id="rId4605" Type="http://schemas.openxmlformats.org/officeDocument/2006/relationships/hyperlink" Target="http://pbs.twimg.com/profile_images/1483494214705029126/xGOuRMih_normal.jpg" TargetMode="External"/><Relationship Id="rId5939" Type="http://schemas.openxmlformats.org/officeDocument/2006/relationships/hyperlink" Target="http://pbs.twimg.com/profile_images/1497210880756527114/oWvMXaeX_normal.jpg" TargetMode="External"/><Relationship Id="rId4608" Type="http://schemas.openxmlformats.org/officeDocument/2006/relationships/hyperlink" Target="http://twitter.com/DAPowell1/statuses/1520940455063662592" TargetMode="External"/><Relationship Id="rId5936" Type="http://schemas.openxmlformats.org/officeDocument/2006/relationships/hyperlink" Target="http://twitter.com/Modan121/statuses/1520883596562771971" TargetMode="External"/><Relationship Id="rId4607" Type="http://schemas.openxmlformats.org/officeDocument/2006/relationships/hyperlink" Target="http://pbs.twimg.com/profile_images/1499070878193262592/PKZs-6IZ_normal.jpg" TargetMode="External"/><Relationship Id="rId5937" Type="http://schemas.openxmlformats.org/officeDocument/2006/relationships/hyperlink" Target="http://pbs.twimg.com/profile_images/80164295/IanImage1_normal.jpg" TargetMode="External"/><Relationship Id="rId4609" Type="http://schemas.openxmlformats.org/officeDocument/2006/relationships/hyperlink" Target="http://pbs.twimg.com/profile_images/1462851136956809226/_w5wmV6E_normal.jpg" TargetMode="External"/><Relationship Id="rId987" Type="http://schemas.openxmlformats.org/officeDocument/2006/relationships/hyperlink" Target="http://pbs.twimg.com/profile_images/1498320895386992641/mZq8YIZF_normal.jpg" TargetMode="External"/><Relationship Id="rId986" Type="http://schemas.openxmlformats.org/officeDocument/2006/relationships/hyperlink" Target="http://twitter.com/Tallestpurpl/statuses/1521055062361055232" TargetMode="External"/><Relationship Id="rId985" Type="http://schemas.openxmlformats.org/officeDocument/2006/relationships/hyperlink" Target="http://pbs.twimg.com/profile_images/378800000606722853/35a03247c47a8d9aef3fb70a2c9fd85e_normal.jpeg" TargetMode="External"/><Relationship Id="rId984" Type="http://schemas.openxmlformats.org/officeDocument/2006/relationships/hyperlink" Target="http://twitter.com/CliveDaviesUK/statuses/1521055102995419137" TargetMode="External"/><Relationship Id="rId989" Type="http://schemas.openxmlformats.org/officeDocument/2006/relationships/hyperlink" Target="http://pbs.twimg.com/profile_images/1488679290401079298/s5Tv6h8R_normal.jpg" TargetMode="External"/><Relationship Id="rId988" Type="http://schemas.openxmlformats.org/officeDocument/2006/relationships/hyperlink" Target="http://twitter.com/FsmDog/statuses/1521055050935803904" TargetMode="External"/><Relationship Id="rId1570" Type="http://schemas.openxmlformats.org/officeDocument/2006/relationships/hyperlink" Target="http://twitter.com/astro_trader/statuses/1521044872505044993" TargetMode="External"/><Relationship Id="rId1571" Type="http://schemas.openxmlformats.org/officeDocument/2006/relationships/hyperlink" Target="http://pbs.twimg.com/profile_images/1409870027529011204/BJxWX7-c_normal.jpg" TargetMode="External"/><Relationship Id="rId983" Type="http://schemas.openxmlformats.org/officeDocument/2006/relationships/hyperlink" Target="http://pbs.twimg.com/profile_images/822114456276758530/n2SJ5-bT_normal.jpg" TargetMode="External"/><Relationship Id="rId1572" Type="http://schemas.openxmlformats.org/officeDocument/2006/relationships/hyperlink" Target="http://twitter.com/RJonathan59/statuses/1521044843073519618" TargetMode="External"/><Relationship Id="rId5930" Type="http://schemas.openxmlformats.org/officeDocument/2006/relationships/hyperlink" Target="http://twitter.com/SeaBee35831442/statuses/1520883727475392513" TargetMode="External"/><Relationship Id="rId982" Type="http://schemas.openxmlformats.org/officeDocument/2006/relationships/hyperlink" Target="http://twitter.com/FranannigansD/statuses/1521055143634087938" TargetMode="External"/><Relationship Id="rId1573" Type="http://schemas.openxmlformats.org/officeDocument/2006/relationships/hyperlink" Target="http://pbs.twimg.com/profile_images/1201598350803509248/rQcrBIbP_normal.jpg" TargetMode="External"/><Relationship Id="rId5931" Type="http://schemas.openxmlformats.org/officeDocument/2006/relationships/hyperlink" Target="http://pbs.twimg.com/profile_images/1497210880756527114/oWvMXaeX_normal.jpg" TargetMode="External"/><Relationship Id="rId981" Type="http://schemas.openxmlformats.org/officeDocument/2006/relationships/hyperlink" Target="http://pbs.twimg.com/profile_images/1222937956870168578/I59A7veZ_normal.jpg" TargetMode="External"/><Relationship Id="rId1574" Type="http://schemas.openxmlformats.org/officeDocument/2006/relationships/hyperlink" Target="http://twitter.com/Mariebe10098426/statuses/1521044759585996806" TargetMode="External"/><Relationship Id="rId4600" Type="http://schemas.openxmlformats.org/officeDocument/2006/relationships/hyperlink" Target="http://twitter.com/apaulding/statuses/1520941394659004418" TargetMode="External"/><Relationship Id="rId980" Type="http://schemas.openxmlformats.org/officeDocument/2006/relationships/hyperlink" Target="http://twitter.com/ConorMcNicholas/statuses/1521055194087366656" TargetMode="External"/><Relationship Id="rId1575" Type="http://schemas.openxmlformats.org/officeDocument/2006/relationships/hyperlink" Target="http://pbs.twimg.com/profile_images/1514492000522883073/Fc9Umasa_normal.jpg" TargetMode="External"/><Relationship Id="rId1565" Type="http://schemas.openxmlformats.org/officeDocument/2006/relationships/hyperlink" Target="http://pbs.twimg.com/profile_images/1213188999138942981/858KSAeI_normal.jpg" TargetMode="External"/><Relationship Id="rId2896" Type="http://schemas.openxmlformats.org/officeDocument/2006/relationships/hyperlink" Target="http://twitter.com/AlliManson/statuses/1521021614586048513" TargetMode="External"/><Relationship Id="rId5923" Type="http://schemas.openxmlformats.org/officeDocument/2006/relationships/hyperlink" Target="http://pbs.twimg.com/profile_images/1260520096667238401/fVc132p-_normal.jpg" TargetMode="External"/><Relationship Id="rId1566" Type="http://schemas.openxmlformats.org/officeDocument/2006/relationships/hyperlink" Target="http://twitter.com/nomorequangos/statuses/1521044937370136577" TargetMode="External"/><Relationship Id="rId2897" Type="http://schemas.openxmlformats.org/officeDocument/2006/relationships/hyperlink" Target="http://pbs.twimg.com/profile_images/1467997886378123265/QC8tdDjl_normal.jpg" TargetMode="External"/><Relationship Id="rId5924" Type="http://schemas.openxmlformats.org/officeDocument/2006/relationships/hyperlink" Target="http://twitter.com/ilmomento/statuses/1520883844097974272" TargetMode="External"/><Relationship Id="rId1567" Type="http://schemas.openxmlformats.org/officeDocument/2006/relationships/hyperlink" Target="http://pbs.twimg.com/profile_images/1490639725631348738/eNgrGmxo_normal.jpg" TargetMode="External"/><Relationship Id="rId2898" Type="http://schemas.openxmlformats.org/officeDocument/2006/relationships/hyperlink" Target="http://twitter.com/Christi61144576/statuses/1521021613151596545" TargetMode="External"/><Relationship Id="rId5921" Type="http://schemas.openxmlformats.org/officeDocument/2006/relationships/hyperlink" Target="http://pbs.twimg.com/profile_images/1272098350435840001/6By0Q8p__normal.jpg" TargetMode="External"/><Relationship Id="rId1568" Type="http://schemas.openxmlformats.org/officeDocument/2006/relationships/hyperlink" Target="http://twitter.com/mister_emery/statuses/1521044933058207745" TargetMode="External"/><Relationship Id="rId2899" Type="http://schemas.openxmlformats.org/officeDocument/2006/relationships/hyperlink" Target="http://pbs.twimg.com/profile_images/666386287188922368/ikROhxMF_normal.jpg" TargetMode="External"/><Relationship Id="rId5922" Type="http://schemas.openxmlformats.org/officeDocument/2006/relationships/hyperlink" Target="http://twitter.com/ChippyGirl2/statuses/1520883953934209024" TargetMode="External"/><Relationship Id="rId1569" Type="http://schemas.openxmlformats.org/officeDocument/2006/relationships/hyperlink" Target="http://pbs.twimg.com/profile_images/815281899539152898/PAU9ul-Q_normal.jpg" TargetMode="External"/><Relationship Id="rId5927" Type="http://schemas.openxmlformats.org/officeDocument/2006/relationships/hyperlink" Target="http://pbs.twimg.com/profile_images/1478712008161771522/6exG9Yyv_normal.jpg" TargetMode="External"/><Relationship Id="rId5928" Type="http://schemas.openxmlformats.org/officeDocument/2006/relationships/hyperlink" Target="http://twitter.com/WCountryVoices/statuses/1520883743858499584" TargetMode="External"/><Relationship Id="rId5925" Type="http://schemas.openxmlformats.org/officeDocument/2006/relationships/hyperlink" Target="http://pbs.twimg.com/profile_images/1405082736/Picture_4_normal.png" TargetMode="External"/><Relationship Id="rId5926" Type="http://schemas.openxmlformats.org/officeDocument/2006/relationships/hyperlink" Target="http://twitter.com/susiereaphoto/statuses/1520883840058896384" TargetMode="External"/><Relationship Id="rId5929" Type="http://schemas.openxmlformats.org/officeDocument/2006/relationships/hyperlink" Target="http://abs.twimg.com/sticky/default_profile_images/default_profile_normal.png" TargetMode="External"/><Relationship Id="rId976" Type="http://schemas.openxmlformats.org/officeDocument/2006/relationships/hyperlink" Target="http://twitter.com/JohnCam91405227/statuses/1521055274613854208" TargetMode="External"/><Relationship Id="rId975" Type="http://schemas.openxmlformats.org/officeDocument/2006/relationships/hyperlink" Target="http://pbs.twimg.com/profile_images/1081122810557353984/mw5zGUll_normal.jpg" TargetMode="External"/><Relationship Id="rId974" Type="http://schemas.openxmlformats.org/officeDocument/2006/relationships/hyperlink" Target="http://twitter.com/EUROFRESHD/statuses/1521055315936088066" TargetMode="External"/><Relationship Id="rId973" Type="http://schemas.openxmlformats.org/officeDocument/2006/relationships/hyperlink" Target="http://pbs.twimg.com/profile_images/1126120928759435266/8o_TWAIp_normal.jpg" TargetMode="External"/><Relationship Id="rId979" Type="http://schemas.openxmlformats.org/officeDocument/2006/relationships/hyperlink" Target="http://pbs.twimg.com/profile_images/1466092521260519425/7JmoUQB-_normal.jpg" TargetMode="External"/><Relationship Id="rId978" Type="http://schemas.openxmlformats.org/officeDocument/2006/relationships/hyperlink" Target="http://twitter.com/FranannigansD/statuses/1521055227524304898" TargetMode="External"/><Relationship Id="rId977" Type="http://schemas.openxmlformats.org/officeDocument/2006/relationships/hyperlink" Target="http://pbs.twimg.com/profile_images/1222937956870168578/I59A7veZ_normal.jpg" TargetMode="External"/><Relationship Id="rId2890" Type="http://schemas.openxmlformats.org/officeDocument/2006/relationships/hyperlink" Target="http://twitter.com/BHaigh1/statuses/1521021667153256453" TargetMode="External"/><Relationship Id="rId1560" Type="http://schemas.openxmlformats.org/officeDocument/2006/relationships/hyperlink" Target="http://twitter.com/BJ_Gardener/statuses/1521044981670195201" TargetMode="External"/><Relationship Id="rId2891" Type="http://schemas.openxmlformats.org/officeDocument/2006/relationships/hyperlink" Target="http://abs.twimg.com/sticky/default_profile_images/default_profile_normal.png" TargetMode="External"/><Relationship Id="rId972" Type="http://schemas.openxmlformats.org/officeDocument/2006/relationships/hyperlink" Target="http://twitter.com/Letnapark/statuses/1521055322802208771" TargetMode="External"/><Relationship Id="rId1561" Type="http://schemas.openxmlformats.org/officeDocument/2006/relationships/hyperlink" Target="http://pbs.twimg.com/profile_images/1489594580278333450/m5fqTMVQ_normal.jpg" TargetMode="External"/><Relationship Id="rId2892" Type="http://schemas.openxmlformats.org/officeDocument/2006/relationships/hyperlink" Target="http://twitter.com/sltfion/statuses/1521021653777620992" TargetMode="External"/><Relationship Id="rId971" Type="http://schemas.openxmlformats.org/officeDocument/2006/relationships/hyperlink" Target="http://pbs.twimg.com/profile_images/3330893841/921c51b8f9ffd86db639c408ab383b8d_normal.jpeg" TargetMode="External"/><Relationship Id="rId1562" Type="http://schemas.openxmlformats.org/officeDocument/2006/relationships/hyperlink" Target="http://twitter.com/simonanddonna/statuses/1521044965459210241" TargetMode="External"/><Relationship Id="rId2893" Type="http://schemas.openxmlformats.org/officeDocument/2006/relationships/hyperlink" Target="http://pbs.twimg.com/profile_images/869859250809516033/WCdRfQKr_normal.jpg" TargetMode="External"/><Relationship Id="rId5920" Type="http://schemas.openxmlformats.org/officeDocument/2006/relationships/hyperlink" Target="http://twitter.com/PatNeal6/statuses/1520884047576285185" TargetMode="External"/><Relationship Id="rId970" Type="http://schemas.openxmlformats.org/officeDocument/2006/relationships/hyperlink" Target="http://twitter.com/FranannigansD/statuses/1521055329445982209" TargetMode="External"/><Relationship Id="rId1563" Type="http://schemas.openxmlformats.org/officeDocument/2006/relationships/hyperlink" Target="http://pbs.twimg.com/profile_images/1294923882944757760/8gQOZeOk_normal.jpg" TargetMode="External"/><Relationship Id="rId2894" Type="http://schemas.openxmlformats.org/officeDocument/2006/relationships/hyperlink" Target="http://twitter.com/CafeDeliFelice/statuses/1521021616574058497" TargetMode="External"/><Relationship Id="rId1564" Type="http://schemas.openxmlformats.org/officeDocument/2006/relationships/hyperlink" Target="http://twitter.com/LadyJules_Cath/statuses/1521044960744808449" TargetMode="External"/><Relationship Id="rId2895" Type="http://schemas.openxmlformats.org/officeDocument/2006/relationships/hyperlink" Target="http://pbs.twimg.com/profile_images/1075812315176550400/8RxF1VNP_normal.jpg" TargetMode="External"/><Relationship Id="rId1598" Type="http://schemas.openxmlformats.org/officeDocument/2006/relationships/hyperlink" Target="http://twitter.com/shestews44/statuses/1521044360049082371" TargetMode="External"/><Relationship Id="rId4624" Type="http://schemas.openxmlformats.org/officeDocument/2006/relationships/hyperlink" Target="http://twitter.com/james__eu/statuses/1520939299860008960" TargetMode="External"/><Relationship Id="rId5956" Type="http://schemas.openxmlformats.org/officeDocument/2006/relationships/hyperlink" Target="http://twitter.com/carol_falaki/statuses/1520883255368720385" TargetMode="External"/><Relationship Id="rId1599" Type="http://schemas.openxmlformats.org/officeDocument/2006/relationships/hyperlink" Target="http://pbs.twimg.com/profile_images/1480916254584102912/9I3Az75g_normal.jpg" TargetMode="External"/><Relationship Id="rId4623" Type="http://schemas.openxmlformats.org/officeDocument/2006/relationships/hyperlink" Target="http://pbs.twimg.com/profile_images/1515031767446663183/NoFQosqm_normal.jpg" TargetMode="External"/><Relationship Id="rId5957" Type="http://schemas.openxmlformats.org/officeDocument/2006/relationships/hyperlink" Target="http://pbs.twimg.com/profile_images/880014924407345153/zg2mChMm_normal.jpg" TargetMode="External"/><Relationship Id="rId4626" Type="http://schemas.openxmlformats.org/officeDocument/2006/relationships/hyperlink" Target="http://twitter.com/CraggKeith/statuses/1520939180544638977" TargetMode="External"/><Relationship Id="rId5954" Type="http://schemas.openxmlformats.org/officeDocument/2006/relationships/hyperlink" Target="http://twitter.com/etihwv/statuses/1520883266433298434" TargetMode="External"/><Relationship Id="rId4625" Type="http://schemas.openxmlformats.org/officeDocument/2006/relationships/hyperlink" Target="http://abs.twimg.com/sticky/default_profile_images/default_profile_normal.png" TargetMode="External"/><Relationship Id="rId5955" Type="http://schemas.openxmlformats.org/officeDocument/2006/relationships/hyperlink" Target="http://pbs.twimg.com/profile_images/972129761794449409/5otdCv62_normal.jpg" TargetMode="External"/><Relationship Id="rId4628" Type="http://schemas.openxmlformats.org/officeDocument/2006/relationships/hyperlink" Target="http://twitter.com/muddlinleigh/statuses/1520938931168153605" TargetMode="External"/><Relationship Id="rId4627" Type="http://schemas.openxmlformats.org/officeDocument/2006/relationships/hyperlink" Target="http://pbs.twimg.com/profile_images/1443915599151833138/i5ZSqYs3_normal.jpg" TargetMode="External"/><Relationship Id="rId5958" Type="http://schemas.openxmlformats.org/officeDocument/2006/relationships/hyperlink" Target="http://twitter.com/JKLDNMAD/statuses/1520883245306589186" TargetMode="External"/><Relationship Id="rId4629" Type="http://schemas.openxmlformats.org/officeDocument/2006/relationships/hyperlink" Target="http://pbs.twimg.com/profile_images/1483494214705029126/xGOuRMih_normal.jpg" TargetMode="External"/><Relationship Id="rId5959" Type="http://schemas.openxmlformats.org/officeDocument/2006/relationships/hyperlink" Target="http://pbs.twimg.com/profile_images/1415797542298787844/GFBBe3Hf_normal.jpg" TargetMode="External"/><Relationship Id="rId1590" Type="http://schemas.openxmlformats.org/officeDocument/2006/relationships/hyperlink" Target="http://twitter.com/OudeLady/statuses/1521044438008610816" TargetMode="External"/><Relationship Id="rId1591" Type="http://schemas.openxmlformats.org/officeDocument/2006/relationships/hyperlink" Target="http://pbs.twimg.com/profile_images/1256647089095917569/vuWOtpEq_normal.jpg" TargetMode="External"/><Relationship Id="rId1592" Type="http://schemas.openxmlformats.org/officeDocument/2006/relationships/hyperlink" Target="http://twitter.com/chrismayLU/statuses/1521044431666925570" TargetMode="External"/><Relationship Id="rId1593" Type="http://schemas.openxmlformats.org/officeDocument/2006/relationships/hyperlink" Target="http://pbs.twimg.com/profile_images/699529950651662336/398X2cgP_normal.jpg" TargetMode="External"/><Relationship Id="rId1594" Type="http://schemas.openxmlformats.org/officeDocument/2006/relationships/hyperlink" Target="http://twitter.com/shestews44/statuses/1521044416571621378" TargetMode="External"/><Relationship Id="rId4620" Type="http://schemas.openxmlformats.org/officeDocument/2006/relationships/hyperlink" Target="http://twitter.com/fplchrisg100/statuses/1520939444362219527" TargetMode="External"/><Relationship Id="rId5952" Type="http://schemas.openxmlformats.org/officeDocument/2006/relationships/hyperlink" Target="http://twitter.com/GailGailtranter/statuses/1520883300948230144" TargetMode="External"/><Relationship Id="rId1595" Type="http://schemas.openxmlformats.org/officeDocument/2006/relationships/hyperlink" Target="http://pbs.twimg.com/profile_images/310443498/AAAA0064_normal.JPG" TargetMode="External"/><Relationship Id="rId5953" Type="http://schemas.openxmlformats.org/officeDocument/2006/relationships/hyperlink" Target="http://pbs.twimg.com/profile_images/1128876580/P4070035_normal.JPG" TargetMode="External"/><Relationship Id="rId1596" Type="http://schemas.openxmlformats.org/officeDocument/2006/relationships/hyperlink" Target="http://twitter.com/catwoman1979/statuses/1521044414843568129" TargetMode="External"/><Relationship Id="rId4622" Type="http://schemas.openxmlformats.org/officeDocument/2006/relationships/hyperlink" Target="http://twitter.com/fplchrisg100/statuses/1520939424393089025" TargetMode="External"/><Relationship Id="rId5950" Type="http://schemas.openxmlformats.org/officeDocument/2006/relationships/hyperlink" Target="http://twitter.com/MooreRosemary/statuses/1520883304052015104" TargetMode="External"/><Relationship Id="rId1597" Type="http://schemas.openxmlformats.org/officeDocument/2006/relationships/hyperlink" Target="http://pbs.twimg.com/profile_images/699529950651662336/398X2cgP_normal.jpg" TargetMode="External"/><Relationship Id="rId4621" Type="http://schemas.openxmlformats.org/officeDocument/2006/relationships/hyperlink" Target="http://pbs.twimg.com/profile_images/1497552229108178945/2iS9Ar_a_normal.jpg" TargetMode="External"/><Relationship Id="rId5951" Type="http://schemas.openxmlformats.org/officeDocument/2006/relationships/hyperlink" Target="http://pbs.twimg.com/profile_images/1418546684519387137/3WkpJ8d__normal.jpg" TargetMode="External"/><Relationship Id="rId1587" Type="http://schemas.openxmlformats.org/officeDocument/2006/relationships/hyperlink" Target="http://pbs.twimg.com/profile_images/699529950651662336/398X2cgP_normal.jpg" TargetMode="External"/><Relationship Id="rId4613" Type="http://schemas.openxmlformats.org/officeDocument/2006/relationships/hyperlink" Target="http://pbs.twimg.com/profile_images/1497552229108178945/2iS9Ar_a_normal.jpg" TargetMode="External"/><Relationship Id="rId5945" Type="http://schemas.openxmlformats.org/officeDocument/2006/relationships/hyperlink" Target="http://pbs.twimg.com/profile_images/530842063256817664/Saa0B4Xw_normal.jpeg" TargetMode="External"/><Relationship Id="rId1588" Type="http://schemas.openxmlformats.org/officeDocument/2006/relationships/hyperlink" Target="http://twitter.com/shestews44/statuses/1521044451749203970" TargetMode="External"/><Relationship Id="rId4612" Type="http://schemas.openxmlformats.org/officeDocument/2006/relationships/hyperlink" Target="http://twitter.com/justinionn/statuses/1520939946143629312" TargetMode="External"/><Relationship Id="rId5946" Type="http://schemas.openxmlformats.org/officeDocument/2006/relationships/hyperlink" Target="http://twitter.com/CPatrickPlay/statuses/1520883465134260225" TargetMode="External"/><Relationship Id="rId1589" Type="http://schemas.openxmlformats.org/officeDocument/2006/relationships/hyperlink" Target="http://pbs.twimg.com/profile_images/1296862042813538304/E67HnanF_normal.jpg" TargetMode="External"/><Relationship Id="rId4615" Type="http://schemas.openxmlformats.org/officeDocument/2006/relationships/hyperlink" Target="http://pbs.twimg.com/profile_images/1497552229108178945/2iS9Ar_a_normal.jpg" TargetMode="External"/><Relationship Id="rId5943" Type="http://schemas.openxmlformats.org/officeDocument/2006/relationships/hyperlink" Target="http://pbs.twimg.com/profile_images/1497210880756527114/oWvMXaeX_normal.jpg" TargetMode="External"/><Relationship Id="rId4614" Type="http://schemas.openxmlformats.org/officeDocument/2006/relationships/hyperlink" Target="http://twitter.com/fplchrisg100/statuses/1520939545096859648" TargetMode="External"/><Relationship Id="rId5944" Type="http://schemas.openxmlformats.org/officeDocument/2006/relationships/hyperlink" Target="http://twitter.com/TalktoBeverley/statuses/1520883474315591680" TargetMode="External"/><Relationship Id="rId4617" Type="http://schemas.openxmlformats.org/officeDocument/2006/relationships/hyperlink" Target="http://pbs.twimg.com/profile_images/1497552229108178945/2iS9Ar_a_normal.jpg" TargetMode="External"/><Relationship Id="rId5949" Type="http://schemas.openxmlformats.org/officeDocument/2006/relationships/hyperlink" Target="http://pbs.twimg.com/profile_images/882151785468747776/IGW1u82W_normal.jpg" TargetMode="External"/><Relationship Id="rId4616" Type="http://schemas.openxmlformats.org/officeDocument/2006/relationships/hyperlink" Target="http://twitter.com/fplchrisg100/statuses/1520939498401579008" TargetMode="External"/><Relationship Id="rId4619" Type="http://schemas.openxmlformats.org/officeDocument/2006/relationships/hyperlink" Target="http://pbs.twimg.com/profile_images/1497552229108178945/2iS9Ar_a_normal.jpg" TargetMode="External"/><Relationship Id="rId5947" Type="http://schemas.openxmlformats.org/officeDocument/2006/relationships/hyperlink" Target="http://pbs.twimg.com/profile_images/1497210880756527114/oWvMXaeX_normal.jpg" TargetMode="External"/><Relationship Id="rId4618" Type="http://schemas.openxmlformats.org/officeDocument/2006/relationships/hyperlink" Target="http://twitter.com/fplchrisg100/statuses/1520939471457374213" TargetMode="External"/><Relationship Id="rId5948" Type="http://schemas.openxmlformats.org/officeDocument/2006/relationships/hyperlink" Target="http://twitter.com/TalktoBeverley/statuses/1520883429151285251" TargetMode="External"/><Relationship Id="rId998" Type="http://schemas.openxmlformats.org/officeDocument/2006/relationships/hyperlink" Target="http://twitter.com/davie5456/statuses/1521054894047830017" TargetMode="External"/><Relationship Id="rId997" Type="http://schemas.openxmlformats.org/officeDocument/2006/relationships/hyperlink" Target="http://pbs.twimg.com/profile_images/1496828090475024385/dYqAyn4L_normal.jpg" TargetMode="External"/><Relationship Id="rId996" Type="http://schemas.openxmlformats.org/officeDocument/2006/relationships/hyperlink" Target="http://twitter.com/MariaMo32975161/statuses/1521054894404292615" TargetMode="External"/><Relationship Id="rId995" Type="http://schemas.openxmlformats.org/officeDocument/2006/relationships/hyperlink" Target="http://pbs.twimg.com/profile_images/1475974066230153219/yp5OEzaD_normal.jpg" TargetMode="External"/><Relationship Id="rId999" Type="http://schemas.openxmlformats.org/officeDocument/2006/relationships/hyperlink" Target="http://pbs.twimg.com/profile_images/553867898762956800/gQ3d4OTR_normal.jpeg" TargetMode="External"/><Relationship Id="rId990" Type="http://schemas.openxmlformats.org/officeDocument/2006/relationships/hyperlink" Target="http://twitter.com/PatTheHatter/statuses/1521055030463315974" TargetMode="External"/><Relationship Id="rId1580" Type="http://schemas.openxmlformats.org/officeDocument/2006/relationships/hyperlink" Target="http://twitter.com/LadyJules_Cath/statuses/1521044709216509952" TargetMode="External"/><Relationship Id="rId1581" Type="http://schemas.openxmlformats.org/officeDocument/2006/relationships/hyperlink" Target="http://pbs.twimg.com/profile_images/3746147041/8294a42f465851e094b75dc569686281_normal.jpeg" TargetMode="External"/><Relationship Id="rId1582" Type="http://schemas.openxmlformats.org/officeDocument/2006/relationships/hyperlink" Target="http://twitter.com/Uber_Rat/statuses/1521044697057218561" TargetMode="External"/><Relationship Id="rId994" Type="http://schemas.openxmlformats.org/officeDocument/2006/relationships/hyperlink" Target="http://twitter.com/BlueBockle/statuses/1521054924422922242" TargetMode="External"/><Relationship Id="rId1583" Type="http://schemas.openxmlformats.org/officeDocument/2006/relationships/hyperlink" Target="http://pbs.twimg.com/profile_images/1294923882944757760/8gQOZeOk_normal.jpg" TargetMode="External"/><Relationship Id="rId5941" Type="http://schemas.openxmlformats.org/officeDocument/2006/relationships/hyperlink" Target="http://pbs.twimg.com/profile_images/1497210880756527114/oWvMXaeX_normal.jpg" TargetMode="External"/><Relationship Id="rId993" Type="http://schemas.openxmlformats.org/officeDocument/2006/relationships/hyperlink" Target="http://pbs.twimg.com/profile_images/907997463302348803/G8MpPAjl_normal.jpg" TargetMode="External"/><Relationship Id="rId1584" Type="http://schemas.openxmlformats.org/officeDocument/2006/relationships/hyperlink" Target="http://twitter.com/LadyJules_Cath/statuses/1521044639628865540" TargetMode="External"/><Relationship Id="rId5942" Type="http://schemas.openxmlformats.org/officeDocument/2006/relationships/hyperlink" Target="http://twitter.com/TalktoBeverley/statuses/1520883482179821569" TargetMode="External"/><Relationship Id="rId992" Type="http://schemas.openxmlformats.org/officeDocument/2006/relationships/hyperlink" Target="http://twitter.com/TheGilse/statuses/1521054972221267970" TargetMode="External"/><Relationship Id="rId1585" Type="http://schemas.openxmlformats.org/officeDocument/2006/relationships/hyperlink" Target="http://pbs.twimg.com/profile_images/1499403536907472899/SAbzM8Kz_normal.jpg" TargetMode="External"/><Relationship Id="rId4611" Type="http://schemas.openxmlformats.org/officeDocument/2006/relationships/hyperlink" Target="http://pbs.twimg.com/profile_images/1515612929843888130/Y6tdFIhA_normal.png" TargetMode="External"/><Relationship Id="rId991" Type="http://schemas.openxmlformats.org/officeDocument/2006/relationships/hyperlink" Target="http://pbs.twimg.com/profile_images/1403263642720735236/TC8ycMhi_normal.jpg" TargetMode="External"/><Relationship Id="rId1586" Type="http://schemas.openxmlformats.org/officeDocument/2006/relationships/hyperlink" Target="http://twitter.com/ltd_education/statuses/1521044529394200596" TargetMode="External"/><Relationship Id="rId4610" Type="http://schemas.openxmlformats.org/officeDocument/2006/relationships/hyperlink" Target="http://twitter.com/SESuter1/statuses/1520940194370887681" TargetMode="External"/><Relationship Id="rId5940" Type="http://schemas.openxmlformats.org/officeDocument/2006/relationships/hyperlink" Target="http://twitter.com/TalktoBeverley/statuses/1520883493303160834" TargetMode="External"/><Relationship Id="rId1532" Type="http://schemas.openxmlformats.org/officeDocument/2006/relationships/hyperlink" Target="http://twitter.com/DZANET6666/statuses/1521045359992131589" TargetMode="External"/><Relationship Id="rId2863" Type="http://schemas.openxmlformats.org/officeDocument/2006/relationships/hyperlink" Target="http://pbs.twimg.com/profile_images/1268153948042559488/SQcH3Gjx_normal.jpg" TargetMode="External"/><Relationship Id="rId1533" Type="http://schemas.openxmlformats.org/officeDocument/2006/relationships/hyperlink" Target="http://pbs.twimg.com/profile_images/1504922049281769479/U8x4B_qr_normal.jpg" TargetMode="External"/><Relationship Id="rId2864" Type="http://schemas.openxmlformats.org/officeDocument/2006/relationships/hyperlink" Target="http://twitter.com/hugefoodlover/statuses/1521022053419257856" TargetMode="External"/><Relationship Id="rId1534" Type="http://schemas.openxmlformats.org/officeDocument/2006/relationships/hyperlink" Target="http://twitter.com/boxoffrogsmadas/statuses/1521045359463735298" TargetMode="External"/><Relationship Id="rId2865" Type="http://schemas.openxmlformats.org/officeDocument/2006/relationships/hyperlink" Target="http://abs.twimg.com/sticky/default_profile_images/default_profile_normal.png" TargetMode="External"/><Relationship Id="rId1535" Type="http://schemas.openxmlformats.org/officeDocument/2006/relationships/hyperlink" Target="http://pbs.twimg.com/profile_images/2551597183/xi8oz5syeq1du1g276ut_normal.jpeg" TargetMode="External"/><Relationship Id="rId2866" Type="http://schemas.openxmlformats.org/officeDocument/2006/relationships/hyperlink" Target="http://twitter.com/FoxonFrancoise/statuses/1521022033760559104" TargetMode="External"/><Relationship Id="rId1536" Type="http://schemas.openxmlformats.org/officeDocument/2006/relationships/hyperlink" Target="http://twitter.com/AllanSkerratt/statuses/1521045358444527619" TargetMode="External"/><Relationship Id="rId2867" Type="http://schemas.openxmlformats.org/officeDocument/2006/relationships/hyperlink" Target="http://pbs.twimg.com/profile_images/1346104976905560066/SW2IDYoU_normal.jpg" TargetMode="External"/><Relationship Id="rId1537" Type="http://schemas.openxmlformats.org/officeDocument/2006/relationships/hyperlink" Target="http://pbs.twimg.com/profile_images/1501237475276214279/3HNkHdb5_normal.jpg" TargetMode="External"/><Relationship Id="rId2868" Type="http://schemas.openxmlformats.org/officeDocument/2006/relationships/hyperlink" Target="http://twitter.com/Langers1981/statuses/1521021984074784768" TargetMode="External"/><Relationship Id="rId1538" Type="http://schemas.openxmlformats.org/officeDocument/2006/relationships/hyperlink" Target="http://twitter.com/edparnell/statuses/1521045293692817409" TargetMode="External"/><Relationship Id="rId2869" Type="http://schemas.openxmlformats.org/officeDocument/2006/relationships/hyperlink" Target="http://pbs.twimg.com/profile_images/661588409689833472/aWy7m7QY_normal.png" TargetMode="External"/><Relationship Id="rId1539" Type="http://schemas.openxmlformats.org/officeDocument/2006/relationships/hyperlink" Target="http://abs.twimg.com/sticky/default_profile_images/default_profile_normal.png" TargetMode="External"/><Relationship Id="rId949" Type="http://schemas.openxmlformats.org/officeDocument/2006/relationships/hyperlink" Target="http://pbs.twimg.com/profile_images/1294923882944757760/8gQOZeOk_normal.jpg" TargetMode="External"/><Relationship Id="rId948" Type="http://schemas.openxmlformats.org/officeDocument/2006/relationships/hyperlink" Target="http://twitter.com/GillyCombe/statuses/1521055568466694145" TargetMode="External"/><Relationship Id="rId943" Type="http://schemas.openxmlformats.org/officeDocument/2006/relationships/hyperlink" Target="http://pbs.twimg.com/profile_images/1460576899651051522/ZUKNb-Ph_normal.jpg" TargetMode="External"/><Relationship Id="rId942" Type="http://schemas.openxmlformats.org/officeDocument/2006/relationships/hyperlink" Target="http://twitter.com/HopeFbpe/statuses/1521055682929307649" TargetMode="External"/><Relationship Id="rId941" Type="http://schemas.openxmlformats.org/officeDocument/2006/relationships/hyperlink" Target="http://pbs.twimg.com/profile_images/1483882762264268808/CDXPhxdJ_normal.jpg" TargetMode="External"/><Relationship Id="rId940" Type="http://schemas.openxmlformats.org/officeDocument/2006/relationships/hyperlink" Target="http://twitter.com/BobbyGeorge19/statuses/1521055704467050496" TargetMode="External"/><Relationship Id="rId947" Type="http://schemas.openxmlformats.org/officeDocument/2006/relationships/hyperlink" Target="http://pbs.twimg.com/profile_images/1209807544610369537/_QjJgoZH_normal.jpg" TargetMode="External"/><Relationship Id="rId946" Type="http://schemas.openxmlformats.org/officeDocument/2006/relationships/hyperlink" Target="http://twitter.com/DavidDsmithson1/statuses/1521055596757364737" TargetMode="External"/><Relationship Id="rId945" Type="http://schemas.openxmlformats.org/officeDocument/2006/relationships/hyperlink" Target="http://abs.twimg.com/sticky/default_profile_images/default_profile_normal.png" TargetMode="External"/><Relationship Id="rId944" Type="http://schemas.openxmlformats.org/officeDocument/2006/relationships/hyperlink" Target="http://twitter.com/robert0461/statuses/1521055653653098496" TargetMode="External"/><Relationship Id="rId2860" Type="http://schemas.openxmlformats.org/officeDocument/2006/relationships/hyperlink" Target="http://twitter.com/sally_steel_/statuses/1521022127029248000" TargetMode="External"/><Relationship Id="rId1530" Type="http://schemas.openxmlformats.org/officeDocument/2006/relationships/hyperlink" Target="http://twitter.com/Robby5211/statuses/1521045383018913792" TargetMode="External"/><Relationship Id="rId2861" Type="http://schemas.openxmlformats.org/officeDocument/2006/relationships/hyperlink" Target="http://pbs.twimg.com/profile_images/1355857254101233668/psAAsmYX_normal.jpg" TargetMode="External"/><Relationship Id="rId1531" Type="http://schemas.openxmlformats.org/officeDocument/2006/relationships/hyperlink" Target="http://pbs.twimg.com/profile_images/1499373910508322818/SkZsvKfx_normal.jpg" TargetMode="External"/><Relationship Id="rId2862" Type="http://schemas.openxmlformats.org/officeDocument/2006/relationships/hyperlink" Target="http://twitter.com/Gary_antiPC_Vet/statuses/1521022076999680002" TargetMode="External"/><Relationship Id="rId1521" Type="http://schemas.openxmlformats.org/officeDocument/2006/relationships/hyperlink" Target="http://pbs.twimg.com/profile_images/1505543969840803849/Rb7-NF8b_normal.jpg" TargetMode="External"/><Relationship Id="rId2852" Type="http://schemas.openxmlformats.org/officeDocument/2006/relationships/hyperlink" Target="http://twitter.com/SallyAnneWalker/statuses/1521022261590953984" TargetMode="External"/><Relationship Id="rId1522" Type="http://schemas.openxmlformats.org/officeDocument/2006/relationships/hyperlink" Target="http://twitter.com/ryanjean77/statuses/1521045621628710916" TargetMode="External"/><Relationship Id="rId2853" Type="http://schemas.openxmlformats.org/officeDocument/2006/relationships/hyperlink" Target="http://pbs.twimg.com/profile_images/420550107340107776/8BXOrwg2_normal.jpeg" TargetMode="External"/><Relationship Id="rId1523" Type="http://schemas.openxmlformats.org/officeDocument/2006/relationships/hyperlink" Target="http://pbs.twimg.com/profile_images/631831155231322112/Z3cI13po_normal.jpg" TargetMode="External"/><Relationship Id="rId2854" Type="http://schemas.openxmlformats.org/officeDocument/2006/relationships/hyperlink" Target="http://twitter.com/BHaigh1/statuses/1521022241915510784" TargetMode="External"/><Relationship Id="rId1524" Type="http://schemas.openxmlformats.org/officeDocument/2006/relationships/hyperlink" Target="http://twitter.com/DarrenEwers/statuses/1521045584739713024" TargetMode="External"/><Relationship Id="rId2855" Type="http://schemas.openxmlformats.org/officeDocument/2006/relationships/hyperlink" Target="http://abs.twimg.com/sticky/default_profile_images/default_profile_normal.png" TargetMode="External"/><Relationship Id="rId1525" Type="http://schemas.openxmlformats.org/officeDocument/2006/relationships/hyperlink" Target="http://pbs.twimg.com/profile_images/1011498662848073728/y92RkQML_normal.jpg" TargetMode="External"/><Relationship Id="rId2856" Type="http://schemas.openxmlformats.org/officeDocument/2006/relationships/hyperlink" Target="http://twitter.com/pelargonium2/statuses/1521022157949710338" TargetMode="External"/><Relationship Id="rId1526" Type="http://schemas.openxmlformats.org/officeDocument/2006/relationships/hyperlink" Target="http://twitter.com/KelsallDaniel/statuses/1521045571225759744" TargetMode="External"/><Relationship Id="rId2857" Type="http://schemas.openxmlformats.org/officeDocument/2006/relationships/hyperlink" Target="http://pbs.twimg.com/profile_images/378800000513401192/8c3491330a445f0a8965dc386793558f_normal.jpeg" TargetMode="External"/><Relationship Id="rId1527" Type="http://schemas.openxmlformats.org/officeDocument/2006/relationships/hyperlink" Target="http://pbs.twimg.com/profile_images/1208774702451298305/4NSLD5My_normal.jpg" TargetMode="External"/><Relationship Id="rId2858" Type="http://schemas.openxmlformats.org/officeDocument/2006/relationships/hyperlink" Target="http://twitter.com/paul_m_a_martin/statuses/1521022129445163009" TargetMode="External"/><Relationship Id="rId1528" Type="http://schemas.openxmlformats.org/officeDocument/2006/relationships/hyperlink" Target="http://twitter.com/RashellTamina/statuses/1521045510483816453" TargetMode="External"/><Relationship Id="rId2859" Type="http://schemas.openxmlformats.org/officeDocument/2006/relationships/hyperlink" Target="http://pbs.twimg.com/profile_images/1224240583738298368/NHh0ysy5_normal.jpg" TargetMode="External"/><Relationship Id="rId1529" Type="http://schemas.openxmlformats.org/officeDocument/2006/relationships/hyperlink" Target="http://pbs.twimg.com/profile_images/1419335078866571268/9uy4RhCk_normal.jpg" TargetMode="External"/><Relationship Id="rId939" Type="http://schemas.openxmlformats.org/officeDocument/2006/relationships/hyperlink" Target="http://pbs.twimg.com/profile_images/3580729394/9c33e9730e44951bf582b74ed1517405_normal.jpeg" TargetMode="External"/><Relationship Id="rId938" Type="http://schemas.openxmlformats.org/officeDocument/2006/relationships/hyperlink" Target="http://twitter.com/AlexStillMe/statuses/1521055712289468418" TargetMode="External"/><Relationship Id="rId937" Type="http://schemas.openxmlformats.org/officeDocument/2006/relationships/hyperlink" Target="http://pbs.twimg.com/profile_images/1176984900681043968/RbUZHMp9_normal.jpg" TargetMode="External"/><Relationship Id="rId932" Type="http://schemas.openxmlformats.org/officeDocument/2006/relationships/hyperlink" Target="http://twitter.com/TheOlivr/statuses/1521055822238949376" TargetMode="External"/><Relationship Id="rId931" Type="http://schemas.openxmlformats.org/officeDocument/2006/relationships/hyperlink" Target="http://pbs.twimg.com/profile_images/1489892907226124296/lQFADUox_normal.jpg" TargetMode="External"/><Relationship Id="rId930" Type="http://schemas.openxmlformats.org/officeDocument/2006/relationships/hyperlink" Target="http://twitter.com/BluJay1066/statuses/1521055822540853248" TargetMode="External"/><Relationship Id="rId936" Type="http://schemas.openxmlformats.org/officeDocument/2006/relationships/hyperlink" Target="http://twitter.com/RogMull/statuses/1521055737878880259" TargetMode="External"/><Relationship Id="rId935" Type="http://schemas.openxmlformats.org/officeDocument/2006/relationships/hyperlink" Target="http://pbs.twimg.com/profile_images/948143177822851074/SxbLrpli_normal.jpg" TargetMode="External"/><Relationship Id="rId934" Type="http://schemas.openxmlformats.org/officeDocument/2006/relationships/hyperlink" Target="http://twitter.com/BerylHylton/statuses/1521055814039048192" TargetMode="External"/><Relationship Id="rId933" Type="http://schemas.openxmlformats.org/officeDocument/2006/relationships/hyperlink" Target="http://abs.twimg.com/sticky/default_profile_images/default_profile_normal.png" TargetMode="External"/><Relationship Id="rId2850" Type="http://schemas.openxmlformats.org/officeDocument/2006/relationships/hyperlink" Target="http://twitter.com/gillditch55/statuses/1521022280234639360" TargetMode="External"/><Relationship Id="rId1520" Type="http://schemas.openxmlformats.org/officeDocument/2006/relationships/hyperlink" Target="http://twitter.com/hexenbeest/statuses/1521045626284392449" TargetMode="External"/><Relationship Id="rId2851" Type="http://schemas.openxmlformats.org/officeDocument/2006/relationships/hyperlink" Target="http://pbs.twimg.com/profile_images/1046458519057297408/aKPWkC33_normal.jpg" TargetMode="External"/><Relationship Id="rId1554" Type="http://schemas.openxmlformats.org/officeDocument/2006/relationships/hyperlink" Target="http://twitter.com/LadyJules_Cath/statuses/1521045023034327042" TargetMode="External"/><Relationship Id="rId2885" Type="http://schemas.openxmlformats.org/officeDocument/2006/relationships/hyperlink" Target="http://abs.twimg.com/sticky/default_profile_images/default_profile_normal.png" TargetMode="External"/><Relationship Id="rId5912" Type="http://schemas.openxmlformats.org/officeDocument/2006/relationships/hyperlink" Target="http://twitter.com/fbpe_h/statuses/1520884166212136963" TargetMode="External"/><Relationship Id="rId1555" Type="http://schemas.openxmlformats.org/officeDocument/2006/relationships/hyperlink" Target="http://pbs.twimg.com/profile_images/1501162550897090561/cJmTmBZs_normal.jpg" TargetMode="External"/><Relationship Id="rId2886" Type="http://schemas.openxmlformats.org/officeDocument/2006/relationships/hyperlink" Target="http://twitter.com/pelargonium2/statuses/1521021748132683776" TargetMode="External"/><Relationship Id="rId5913" Type="http://schemas.openxmlformats.org/officeDocument/2006/relationships/hyperlink" Target="http://pbs.twimg.com/profile_images/1411628356072886272/hWEGiPhc_normal.jpg" TargetMode="External"/><Relationship Id="rId1556" Type="http://schemas.openxmlformats.org/officeDocument/2006/relationships/hyperlink" Target="http://twitter.com/PhilMorandi/statuses/1521044999466594305" TargetMode="External"/><Relationship Id="rId2887" Type="http://schemas.openxmlformats.org/officeDocument/2006/relationships/hyperlink" Target="http://pbs.twimg.com/profile_images/1438046920342228992/2L12rKEG_normal.jpg" TargetMode="External"/><Relationship Id="rId5910" Type="http://schemas.openxmlformats.org/officeDocument/2006/relationships/hyperlink" Target="http://twitter.com/Patrici89225734/statuses/1520884219286851589" TargetMode="External"/><Relationship Id="rId1557" Type="http://schemas.openxmlformats.org/officeDocument/2006/relationships/hyperlink" Target="http://pbs.twimg.com/profile_images/1468364160731951105/Yf4SIteT_normal.jpg" TargetMode="External"/><Relationship Id="rId2888" Type="http://schemas.openxmlformats.org/officeDocument/2006/relationships/hyperlink" Target="http://twitter.com/Lost_Tribe/statuses/1521021695934537730" TargetMode="External"/><Relationship Id="rId5911" Type="http://schemas.openxmlformats.org/officeDocument/2006/relationships/hyperlink" Target="http://pbs.twimg.com/profile_images/1390040788894195718/q0fkE8aG_normal.jpg" TargetMode="External"/><Relationship Id="rId1558" Type="http://schemas.openxmlformats.org/officeDocument/2006/relationships/hyperlink" Target="http://twitter.com/nellwriter16/statuses/1521044988070612992" TargetMode="External"/><Relationship Id="rId2889" Type="http://schemas.openxmlformats.org/officeDocument/2006/relationships/hyperlink" Target="http://pbs.twimg.com/profile_images/420550107340107776/8BXOrwg2_normal.jpeg" TargetMode="External"/><Relationship Id="rId5916" Type="http://schemas.openxmlformats.org/officeDocument/2006/relationships/hyperlink" Target="http://twitter.com/Skaro7/statuses/1520884126647304195" TargetMode="External"/><Relationship Id="rId1559" Type="http://schemas.openxmlformats.org/officeDocument/2006/relationships/hyperlink" Target="http://pbs.twimg.com/profile_images/1500038866098610177/EBTbyJDK_normal.jpg" TargetMode="External"/><Relationship Id="rId5917" Type="http://schemas.openxmlformats.org/officeDocument/2006/relationships/hyperlink" Target="http://pbs.twimg.com/profile_images/1489255410724864004/7myTtajd_normal.jpg" TargetMode="External"/><Relationship Id="rId5914" Type="http://schemas.openxmlformats.org/officeDocument/2006/relationships/hyperlink" Target="http://twitter.com/Akounas1/statuses/1520884140756844544" TargetMode="External"/><Relationship Id="rId5915" Type="http://schemas.openxmlformats.org/officeDocument/2006/relationships/hyperlink" Target="http://pbs.twimg.com/profile_images/1486097184777031686/3NFDl86R_normal.jpg" TargetMode="External"/><Relationship Id="rId5918" Type="http://schemas.openxmlformats.org/officeDocument/2006/relationships/hyperlink" Target="http://twitter.com/Jackiem62275317/statuses/1520884093788979200" TargetMode="External"/><Relationship Id="rId5919" Type="http://schemas.openxmlformats.org/officeDocument/2006/relationships/hyperlink" Target="http://pbs.twimg.com/profile_images/1504751236125446144/8iMubNJi_normal.jpg" TargetMode="External"/><Relationship Id="rId965" Type="http://schemas.openxmlformats.org/officeDocument/2006/relationships/hyperlink" Target="http://pbs.twimg.com/profile_images/1416887010892165127/J5jaKNGH_normal.jpg" TargetMode="External"/><Relationship Id="rId964" Type="http://schemas.openxmlformats.org/officeDocument/2006/relationships/hyperlink" Target="http://twitter.com/Cat_Empurrer/statuses/1521055357149265920" TargetMode="External"/><Relationship Id="rId963" Type="http://schemas.openxmlformats.org/officeDocument/2006/relationships/hyperlink" Target="http://pbs.twimg.com/profile_images/1472233053787500555/1Ziaf_mj_normal.jpg" TargetMode="External"/><Relationship Id="rId962" Type="http://schemas.openxmlformats.org/officeDocument/2006/relationships/hyperlink" Target="http://twitter.com/ClarkStefmog/statuses/1521055357744918528" TargetMode="External"/><Relationship Id="rId969" Type="http://schemas.openxmlformats.org/officeDocument/2006/relationships/hyperlink" Target="http://pbs.twimg.com/profile_images/1222937956870168578/I59A7veZ_normal.jpg" TargetMode="External"/><Relationship Id="rId968" Type="http://schemas.openxmlformats.org/officeDocument/2006/relationships/hyperlink" Target="http://twitter.com/ClarkStefmog/statuses/1521055335733243904" TargetMode="External"/><Relationship Id="rId967" Type="http://schemas.openxmlformats.org/officeDocument/2006/relationships/hyperlink" Target="http://pbs.twimg.com/profile_images/1388970816931565568/OoUdlkUy_normal.jpg" TargetMode="External"/><Relationship Id="rId966" Type="http://schemas.openxmlformats.org/officeDocument/2006/relationships/hyperlink" Target="http://twitter.com/BrexitPhobe/statuses/1521055355442184192" TargetMode="External"/><Relationship Id="rId2880" Type="http://schemas.openxmlformats.org/officeDocument/2006/relationships/hyperlink" Target="http://twitter.com/V_partners/statuses/1521021810594271233" TargetMode="External"/><Relationship Id="rId961" Type="http://schemas.openxmlformats.org/officeDocument/2006/relationships/hyperlink" Target="http://pbs.twimg.com/profile_images/1388970816931565568/OoUdlkUy_normal.jpg" TargetMode="External"/><Relationship Id="rId1550" Type="http://schemas.openxmlformats.org/officeDocument/2006/relationships/hyperlink" Target="http://twitter.com/ARHunter1980/statuses/1521045036477128704" TargetMode="External"/><Relationship Id="rId2881" Type="http://schemas.openxmlformats.org/officeDocument/2006/relationships/hyperlink" Target="http://abs.twimg.com/sticky/default_profile_images/default_profile_normal.png" TargetMode="External"/><Relationship Id="rId960" Type="http://schemas.openxmlformats.org/officeDocument/2006/relationships/hyperlink" Target="http://twitter.com/LarryCuffe/statuses/1521055368251592704" TargetMode="External"/><Relationship Id="rId1551" Type="http://schemas.openxmlformats.org/officeDocument/2006/relationships/hyperlink" Target="http://pbs.twimg.com/profile_images/1247870702159609856/lsD09ZMg_normal.jpg" TargetMode="External"/><Relationship Id="rId2882" Type="http://schemas.openxmlformats.org/officeDocument/2006/relationships/hyperlink" Target="http://twitter.com/pelargonium2/statuses/1521021794299359232" TargetMode="External"/><Relationship Id="rId1552" Type="http://schemas.openxmlformats.org/officeDocument/2006/relationships/hyperlink" Target="http://twitter.com/amandajs11/statuses/1521045030013657088" TargetMode="External"/><Relationship Id="rId2883" Type="http://schemas.openxmlformats.org/officeDocument/2006/relationships/hyperlink" Target="http://pbs.twimg.com/profile_images/1380910627439394818/jn_JWwdp_normal.jpg" TargetMode="External"/><Relationship Id="rId1553" Type="http://schemas.openxmlformats.org/officeDocument/2006/relationships/hyperlink" Target="http://pbs.twimg.com/profile_images/1294923882944757760/8gQOZeOk_normal.jpg" TargetMode="External"/><Relationship Id="rId2884" Type="http://schemas.openxmlformats.org/officeDocument/2006/relationships/hyperlink" Target="http://twitter.com/tearea13/statuses/1521021756332552198" TargetMode="External"/><Relationship Id="rId1543" Type="http://schemas.openxmlformats.org/officeDocument/2006/relationships/hyperlink" Target="http://pbs.twimg.com/profile_images/1294923882944757760/8gQOZeOk_normal.jpg" TargetMode="External"/><Relationship Id="rId2874" Type="http://schemas.openxmlformats.org/officeDocument/2006/relationships/hyperlink" Target="http://twitter.com/marktabet/statuses/1521021918329069570" TargetMode="External"/><Relationship Id="rId5901" Type="http://schemas.openxmlformats.org/officeDocument/2006/relationships/hyperlink" Target="http://abs.twimg.com/sticky/default_profile_images/default_profile_normal.png" TargetMode="External"/><Relationship Id="rId1544" Type="http://schemas.openxmlformats.org/officeDocument/2006/relationships/hyperlink" Target="http://twitter.com/LadyJules_Cath/statuses/1521045236251770881" TargetMode="External"/><Relationship Id="rId2875" Type="http://schemas.openxmlformats.org/officeDocument/2006/relationships/hyperlink" Target="http://abs.twimg.com/sticky/default_profile_images/default_profile_normal.png" TargetMode="External"/><Relationship Id="rId5902" Type="http://schemas.openxmlformats.org/officeDocument/2006/relationships/hyperlink" Target="http://twitter.com/Patthedog5/statuses/1520884280020377603" TargetMode="External"/><Relationship Id="rId1545" Type="http://schemas.openxmlformats.org/officeDocument/2006/relationships/hyperlink" Target="http://abs.twimg.com/sticky/default_profile_images/default_profile_normal.png" TargetMode="External"/><Relationship Id="rId2876" Type="http://schemas.openxmlformats.org/officeDocument/2006/relationships/hyperlink" Target="http://twitter.com/pelargonium2/statuses/1521021816323686400" TargetMode="External"/><Relationship Id="rId1546" Type="http://schemas.openxmlformats.org/officeDocument/2006/relationships/hyperlink" Target="http://twitter.com/DenneyDesign/statuses/1521045215712272384" TargetMode="External"/><Relationship Id="rId2877" Type="http://schemas.openxmlformats.org/officeDocument/2006/relationships/hyperlink" Target="http://pbs.twimg.com/profile_images/1431195883777953792/eQIiCspb_normal.jpg" TargetMode="External"/><Relationship Id="rId5900" Type="http://schemas.openxmlformats.org/officeDocument/2006/relationships/hyperlink" Target="http://twitter.com/PeritaRisus/statuses/1520884290661363713" TargetMode="External"/><Relationship Id="rId1547" Type="http://schemas.openxmlformats.org/officeDocument/2006/relationships/hyperlink" Target="http://abs.twimg.com/sticky/default_profile_images/default_profile_normal.png" TargetMode="External"/><Relationship Id="rId2878" Type="http://schemas.openxmlformats.org/officeDocument/2006/relationships/hyperlink" Target="http://twitter.com/SilverstonePod/statuses/1521021814566273027" TargetMode="External"/><Relationship Id="rId5905" Type="http://schemas.openxmlformats.org/officeDocument/2006/relationships/hyperlink" Target="http://pbs.twimg.com/profile_images/466988941733015552/SNyFn9Jl_normal.jpeg" TargetMode="External"/><Relationship Id="rId1548" Type="http://schemas.openxmlformats.org/officeDocument/2006/relationships/hyperlink" Target="http://twitter.com/philnooney/statuses/1521045121160327168" TargetMode="External"/><Relationship Id="rId2879" Type="http://schemas.openxmlformats.org/officeDocument/2006/relationships/hyperlink" Target="http://pbs.twimg.com/profile_images/378800000052817581/2aa632b09f313b52f870cd8fd6d3bf12_normal.jpeg" TargetMode="External"/><Relationship Id="rId5906" Type="http://schemas.openxmlformats.org/officeDocument/2006/relationships/hyperlink" Target="http://twitter.com/100pctcocoa/statuses/1520884231546810373" TargetMode="External"/><Relationship Id="rId1549" Type="http://schemas.openxmlformats.org/officeDocument/2006/relationships/hyperlink" Target="http://pbs.twimg.com/profile_images/1491559116040507401/J8xk2J5u_normal.jpg" TargetMode="External"/><Relationship Id="rId5903" Type="http://schemas.openxmlformats.org/officeDocument/2006/relationships/hyperlink" Target="http://pbs.twimg.com/profile_images/1277654195584327680/2E5k65qF_normal.jpg" TargetMode="External"/><Relationship Id="rId5904" Type="http://schemas.openxmlformats.org/officeDocument/2006/relationships/hyperlink" Target="http://twitter.com/Patrici89225734/statuses/1520884264807682055" TargetMode="External"/><Relationship Id="rId5909" Type="http://schemas.openxmlformats.org/officeDocument/2006/relationships/hyperlink" Target="http://pbs.twimg.com/profile_images/1277654195584327680/2E5k65qF_normal.jpg" TargetMode="External"/><Relationship Id="rId5907" Type="http://schemas.openxmlformats.org/officeDocument/2006/relationships/hyperlink" Target="http://pbs.twimg.com/profile_images/1519406274601005059/Ac5IUQIN_normal.jpg" TargetMode="External"/><Relationship Id="rId959" Type="http://schemas.openxmlformats.org/officeDocument/2006/relationships/hyperlink" Target="http://pbs.twimg.com/profile_images/1485567861095555072/TrpHpK2F_normal.jpg" TargetMode="External"/><Relationship Id="rId5908" Type="http://schemas.openxmlformats.org/officeDocument/2006/relationships/hyperlink" Target="http://twitter.com/macameron66/statuses/1520884227419656192" TargetMode="External"/><Relationship Id="rId954" Type="http://schemas.openxmlformats.org/officeDocument/2006/relationships/hyperlink" Target="http://twitter.com/Ride4Truth/statuses/1521055510203617281" TargetMode="External"/><Relationship Id="rId953" Type="http://schemas.openxmlformats.org/officeDocument/2006/relationships/hyperlink" Target="http://pbs.twimg.com/profile_images/1498092652453146627/Ya-KcsJJ_normal.jpg" TargetMode="External"/><Relationship Id="rId952" Type="http://schemas.openxmlformats.org/officeDocument/2006/relationships/hyperlink" Target="http://twitter.com/bwrthesquirrel/statuses/1521055562049507328" TargetMode="External"/><Relationship Id="rId951" Type="http://schemas.openxmlformats.org/officeDocument/2006/relationships/hyperlink" Target="http://abs.twimg.com/sticky/default_profile_images/default_profile_normal.png" TargetMode="External"/><Relationship Id="rId958" Type="http://schemas.openxmlformats.org/officeDocument/2006/relationships/hyperlink" Target="http://twitter.com/ClarkStefmog/statuses/1521055394474430464" TargetMode="External"/><Relationship Id="rId957" Type="http://schemas.openxmlformats.org/officeDocument/2006/relationships/hyperlink" Target="http://pbs.twimg.com/profile_images/1388970816931565568/OoUdlkUy_normal.jpg" TargetMode="External"/><Relationship Id="rId956" Type="http://schemas.openxmlformats.org/officeDocument/2006/relationships/hyperlink" Target="http://twitter.com/fatoldsun68/statuses/1521055473629282305" TargetMode="External"/><Relationship Id="rId955" Type="http://schemas.openxmlformats.org/officeDocument/2006/relationships/hyperlink" Target="http://abs.twimg.com/sticky/default_profile_images/default_profile_normal.png" TargetMode="External"/><Relationship Id="rId950" Type="http://schemas.openxmlformats.org/officeDocument/2006/relationships/hyperlink" Target="http://twitter.com/LadyJules_Cath/statuses/1521055567879491584" TargetMode="External"/><Relationship Id="rId2870" Type="http://schemas.openxmlformats.org/officeDocument/2006/relationships/hyperlink" Target="http://twitter.com/dbkell/statuses/1521021955964649473" TargetMode="External"/><Relationship Id="rId1540" Type="http://schemas.openxmlformats.org/officeDocument/2006/relationships/hyperlink" Target="http://twitter.com/AnneMcEwan8/statuses/1521045283437748225" TargetMode="External"/><Relationship Id="rId2871" Type="http://schemas.openxmlformats.org/officeDocument/2006/relationships/hyperlink" Target="http://pbs.twimg.com/profile_images/1418179099609255937/Qj2ednPd_normal.jpg" TargetMode="External"/><Relationship Id="rId1541" Type="http://schemas.openxmlformats.org/officeDocument/2006/relationships/hyperlink" Target="http://pbs.twimg.com/profile_images/1307333286272868352/I5lIwe8W_normal.jpg" TargetMode="External"/><Relationship Id="rId2872" Type="http://schemas.openxmlformats.org/officeDocument/2006/relationships/hyperlink" Target="http://twitter.com/mcfrankface/statuses/1521021929997623296" TargetMode="External"/><Relationship Id="rId1542" Type="http://schemas.openxmlformats.org/officeDocument/2006/relationships/hyperlink" Target="http://twitter.com/d5_rss/statuses/1521045236314693632" TargetMode="External"/><Relationship Id="rId2873" Type="http://schemas.openxmlformats.org/officeDocument/2006/relationships/hyperlink" Target="http://pbs.twimg.com/profile_images/1208321671611981825/jS702eL__normal.jpg" TargetMode="External"/><Relationship Id="rId2027" Type="http://schemas.openxmlformats.org/officeDocument/2006/relationships/hyperlink" Target="http://pbs.twimg.com/profile_images/752107170871775232/T6nOk4qn_normal.jpg" TargetMode="External"/><Relationship Id="rId3359" Type="http://schemas.openxmlformats.org/officeDocument/2006/relationships/hyperlink" Target="http://pbs.twimg.com/profile_images/1521019628801208321/ga6uozLl_normal.jpg" TargetMode="External"/><Relationship Id="rId2028" Type="http://schemas.openxmlformats.org/officeDocument/2006/relationships/hyperlink" Target="http://twitter.com/jennyranderson/statuses/1521036871064866816" TargetMode="External"/><Relationship Id="rId3358" Type="http://schemas.openxmlformats.org/officeDocument/2006/relationships/hyperlink" Target="http://twitter.com/shellymott1/statuses/1521013576986775552" TargetMode="External"/><Relationship Id="rId4689" Type="http://schemas.openxmlformats.org/officeDocument/2006/relationships/hyperlink" Target="http://pbs.twimg.com/profile_images/1412207136470450177/oFkjYVkI_normal.jpg" TargetMode="External"/><Relationship Id="rId2029" Type="http://schemas.openxmlformats.org/officeDocument/2006/relationships/hyperlink" Target="http://pbs.twimg.com/profile_images/2428232771/image_normal.jpg" TargetMode="External"/><Relationship Id="rId107" Type="http://schemas.openxmlformats.org/officeDocument/2006/relationships/hyperlink" Target="http://pbs.twimg.com/profile_images/933080856306110465/nK4vz9VF_normal.jpg" TargetMode="External"/><Relationship Id="rId106" Type="http://schemas.openxmlformats.org/officeDocument/2006/relationships/hyperlink" Target="http://twitter.com/tommy54w/statuses/1521069562497744896" TargetMode="External"/><Relationship Id="rId105" Type="http://schemas.openxmlformats.org/officeDocument/2006/relationships/hyperlink" Target="http://pbs.twimg.com/profile_images/1038096714559893504/oHRuelJc_normal.jpg" TargetMode="External"/><Relationship Id="rId104" Type="http://schemas.openxmlformats.org/officeDocument/2006/relationships/hyperlink" Target="http://twitter.com/Swingkatz/statuses/1521069581116313600" TargetMode="External"/><Relationship Id="rId109" Type="http://schemas.openxmlformats.org/officeDocument/2006/relationships/hyperlink" Target="http://pbs.twimg.com/profile_images/1446856162670940162/O47rvv2h_normal.jpg" TargetMode="External"/><Relationship Id="rId4680" Type="http://schemas.openxmlformats.org/officeDocument/2006/relationships/hyperlink" Target="http://twitter.com/CuriousLearner2/statuses/1520932524003926016" TargetMode="External"/><Relationship Id="rId108" Type="http://schemas.openxmlformats.org/officeDocument/2006/relationships/hyperlink" Target="http://twitter.com/DespiteBrexbot/statuses/1521069556562898945" TargetMode="External"/><Relationship Id="rId3351" Type="http://schemas.openxmlformats.org/officeDocument/2006/relationships/hyperlink" Target="http://pbs.twimg.com/profile_images/1512749476036943878/GWvUt7Wx_normal.jpg" TargetMode="External"/><Relationship Id="rId4682" Type="http://schemas.openxmlformats.org/officeDocument/2006/relationships/hyperlink" Target="http://twitter.com/CuriousLearner2/statuses/1520932458837032960" TargetMode="External"/><Relationship Id="rId2020" Type="http://schemas.openxmlformats.org/officeDocument/2006/relationships/hyperlink" Target="http://twitter.com/RogerXMathew/statuses/1521036957245001728" TargetMode="External"/><Relationship Id="rId3350" Type="http://schemas.openxmlformats.org/officeDocument/2006/relationships/hyperlink" Target="http://twitter.com/UrsusClan/statuses/1521013803080724481" TargetMode="External"/><Relationship Id="rId4681" Type="http://schemas.openxmlformats.org/officeDocument/2006/relationships/hyperlink" Target="http://pbs.twimg.com/profile_images/1124310842592432130/kxzc9l-s_normal.jpg" TargetMode="External"/><Relationship Id="rId2021" Type="http://schemas.openxmlformats.org/officeDocument/2006/relationships/hyperlink" Target="http://pbs.twimg.com/profile_images/933853202524659712/BGkpaJRQ_normal.jpg" TargetMode="External"/><Relationship Id="rId3353" Type="http://schemas.openxmlformats.org/officeDocument/2006/relationships/hyperlink" Target="http://pbs.twimg.com/profile_images/1512749476036943878/GWvUt7Wx_normal.jpg" TargetMode="External"/><Relationship Id="rId4684" Type="http://schemas.openxmlformats.org/officeDocument/2006/relationships/hyperlink" Target="http://twitter.com/ronbuch/statuses/1520932204645212161" TargetMode="External"/><Relationship Id="rId2022" Type="http://schemas.openxmlformats.org/officeDocument/2006/relationships/hyperlink" Target="http://twitter.com/botbaitclick/statuses/1521036936227393536" TargetMode="External"/><Relationship Id="rId3352" Type="http://schemas.openxmlformats.org/officeDocument/2006/relationships/hyperlink" Target="http://twitter.com/UrsusClan/statuses/1521013784680316930" TargetMode="External"/><Relationship Id="rId4683" Type="http://schemas.openxmlformats.org/officeDocument/2006/relationships/hyperlink" Target="http://pbs.twimg.com/profile_images/1412642165843402752/CINlrLtA_normal.jpg" TargetMode="External"/><Relationship Id="rId103" Type="http://schemas.openxmlformats.org/officeDocument/2006/relationships/hyperlink" Target="http://abs.twimg.com/sticky/default_profile_images/default_profile_normal.png" TargetMode="External"/><Relationship Id="rId2023" Type="http://schemas.openxmlformats.org/officeDocument/2006/relationships/hyperlink" Target="http://pbs.twimg.com/profile_images/1499866299366785032/jciGB-nF_normal.jpg" TargetMode="External"/><Relationship Id="rId3355" Type="http://schemas.openxmlformats.org/officeDocument/2006/relationships/hyperlink" Target="http://pbs.twimg.com/profile_images/1493719603557634050/NXWVnlby_normal.jpg" TargetMode="External"/><Relationship Id="rId4686" Type="http://schemas.openxmlformats.org/officeDocument/2006/relationships/hyperlink" Target="http://twitter.com/FbpePiste/statuses/1520931800469716992" TargetMode="External"/><Relationship Id="rId102" Type="http://schemas.openxmlformats.org/officeDocument/2006/relationships/hyperlink" Target="http://twitter.com/MissLed20/statuses/1521069604587646976" TargetMode="External"/><Relationship Id="rId2024" Type="http://schemas.openxmlformats.org/officeDocument/2006/relationships/hyperlink" Target="http://twitter.com/csibike1/statuses/1521036915440553985" TargetMode="External"/><Relationship Id="rId3354" Type="http://schemas.openxmlformats.org/officeDocument/2006/relationships/hyperlink" Target="http://twitter.com/UrsusClan/statuses/1521013727159541760" TargetMode="External"/><Relationship Id="rId4685" Type="http://schemas.openxmlformats.org/officeDocument/2006/relationships/hyperlink" Target="http://pbs.twimg.com/profile_images/1180798962699243521/awbRJcSm_normal.jpg" TargetMode="External"/><Relationship Id="rId101" Type="http://schemas.openxmlformats.org/officeDocument/2006/relationships/hyperlink" Target="http://pbs.twimg.com/profile_images/1229836871188058112/amt43BkG_normal.jpg" TargetMode="External"/><Relationship Id="rId2025" Type="http://schemas.openxmlformats.org/officeDocument/2006/relationships/hyperlink" Target="http://pbs.twimg.com/profile_images/1124054246977155075/c1cWzXsv_normal.jpg" TargetMode="External"/><Relationship Id="rId3357" Type="http://schemas.openxmlformats.org/officeDocument/2006/relationships/hyperlink" Target="http://pbs.twimg.com/profile_images/1513948389360259072/3QXlpbeR_normal.jpg" TargetMode="External"/><Relationship Id="rId4688" Type="http://schemas.openxmlformats.org/officeDocument/2006/relationships/hyperlink" Target="http://twitter.com/danielRob001/statuses/1520931531786788866" TargetMode="External"/><Relationship Id="rId100" Type="http://schemas.openxmlformats.org/officeDocument/2006/relationships/hyperlink" Target="http://twitter.com/Marianna___S/statuses/1521069620769271809" TargetMode="External"/><Relationship Id="rId2026" Type="http://schemas.openxmlformats.org/officeDocument/2006/relationships/hyperlink" Target="http://twitter.com/jaynehannahx/statuses/1521036872385978368" TargetMode="External"/><Relationship Id="rId3356" Type="http://schemas.openxmlformats.org/officeDocument/2006/relationships/hyperlink" Target="http://twitter.com/damienburke1234/statuses/1521013626592808966" TargetMode="External"/><Relationship Id="rId4687" Type="http://schemas.openxmlformats.org/officeDocument/2006/relationships/hyperlink" Target="http://pbs.twimg.com/profile_images/623808529820848129/n3RdlFXp_normal.png" TargetMode="External"/><Relationship Id="rId2016" Type="http://schemas.openxmlformats.org/officeDocument/2006/relationships/hyperlink" Target="http://twitter.com/Green2020Tweet/statuses/1521037005756551168" TargetMode="External"/><Relationship Id="rId3348" Type="http://schemas.openxmlformats.org/officeDocument/2006/relationships/hyperlink" Target="http://twitter.com/mail_bird/statuses/1521013818134081538" TargetMode="External"/><Relationship Id="rId4679" Type="http://schemas.openxmlformats.org/officeDocument/2006/relationships/hyperlink" Target="http://pbs.twimg.com/profile_images/1124310842592432130/kxzc9l-s_normal.jpg" TargetMode="External"/><Relationship Id="rId2017" Type="http://schemas.openxmlformats.org/officeDocument/2006/relationships/hyperlink" Target="http://pbs.twimg.com/profile_images/1204039291590103045/bXwVvdN4_normal.jpg" TargetMode="External"/><Relationship Id="rId3347" Type="http://schemas.openxmlformats.org/officeDocument/2006/relationships/hyperlink" Target="http://pbs.twimg.com/profile_images/669870911584120832/G01bEXl7_normal.jpg" TargetMode="External"/><Relationship Id="rId4678" Type="http://schemas.openxmlformats.org/officeDocument/2006/relationships/hyperlink" Target="http://twitter.com/JohnKLDN/statuses/1520932582707417088" TargetMode="External"/><Relationship Id="rId2018" Type="http://schemas.openxmlformats.org/officeDocument/2006/relationships/hyperlink" Target="http://twitter.com/TLNnieuws/statuses/1521036975633047553" TargetMode="External"/><Relationship Id="rId2019" Type="http://schemas.openxmlformats.org/officeDocument/2006/relationships/hyperlink" Target="http://pbs.twimg.com/profile_images/378800000151604542/92dcfa04f14ac897b5d2a769b19dca72_normal.jpeg" TargetMode="External"/><Relationship Id="rId3349" Type="http://schemas.openxmlformats.org/officeDocument/2006/relationships/hyperlink" Target="http://pbs.twimg.com/profile_images/1512749476036943878/GWvUt7Wx_normal.jpg" TargetMode="External"/><Relationship Id="rId3340" Type="http://schemas.openxmlformats.org/officeDocument/2006/relationships/hyperlink" Target="http://twitter.com/David_T_Evans/statuses/1521013913264996352" TargetMode="External"/><Relationship Id="rId4671" Type="http://schemas.openxmlformats.org/officeDocument/2006/relationships/hyperlink" Target="http://pbs.twimg.com/profile_images/1180842254/TM-logo-black-low_normal.jpg" TargetMode="External"/><Relationship Id="rId4670" Type="http://schemas.openxmlformats.org/officeDocument/2006/relationships/hyperlink" Target="http://twitter.com/WelfordGeoff/statuses/1520933228948959233" TargetMode="External"/><Relationship Id="rId2010" Type="http://schemas.openxmlformats.org/officeDocument/2006/relationships/hyperlink" Target="http://twitter.com/Annette56341407/statuses/1521037086815666180" TargetMode="External"/><Relationship Id="rId3342" Type="http://schemas.openxmlformats.org/officeDocument/2006/relationships/hyperlink" Target="http://twitter.com/touchst0ne/statuses/1521013892733976576" TargetMode="External"/><Relationship Id="rId4673" Type="http://schemas.openxmlformats.org/officeDocument/2006/relationships/hyperlink" Target="http://pbs.twimg.com/profile_images/1180842254/TM-logo-black-low_normal.jpg" TargetMode="External"/><Relationship Id="rId2011" Type="http://schemas.openxmlformats.org/officeDocument/2006/relationships/hyperlink" Target="http://pbs.twimg.com/profile_images/1428705087455735810/N_h57QUC_normal.jpg" TargetMode="External"/><Relationship Id="rId3341" Type="http://schemas.openxmlformats.org/officeDocument/2006/relationships/hyperlink" Target="http://pbs.twimg.com/profile_images/711656308584357888/-uEJgOeT_normal.jpg" TargetMode="External"/><Relationship Id="rId4672" Type="http://schemas.openxmlformats.org/officeDocument/2006/relationships/hyperlink" Target="http://twitter.com/AscendinPenguin/statuses/1520933224716947457" TargetMode="External"/><Relationship Id="rId2012" Type="http://schemas.openxmlformats.org/officeDocument/2006/relationships/hyperlink" Target="http://twitter.com/BrexitFails/statuses/1521037084684914688" TargetMode="External"/><Relationship Id="rId3344" Type="http://schemas.openxmlformats.org/officeDocument/2006/relationships/hyperlink" Target="http://twitter.com/Jms7777Justin/statuses/1521013874992025601" TargetMode="External"/><Relationship Id="rId4675" Type="http://schemas.openxmlformats.org/officeDocument/2006/relationships/hyperlink" Target="http://pbs.twimg.com/profile_images/1124310842592432130/kxzc9l-s_normal.jpg" TargetMode="External"/><Relationship Id="rId2013" Type="http://schemas.openxmlformats.org/officeDocument/2006/relationships/hyperlink" Target="http://pbs.twimg.com/profile_images/1496837563423805447/setncjWz_normal.jpg" TargetMode="External"/><Relationship Id="rId3343" Type="http://schemas.openxmlformats.org/officeDocument/2006/relationships/hyperlink" Target="http://pbs.twimg.com/profile_images/614327019845849088/JWJMhQbQ_normal.png" TargetMode="External"/><Relationship Id="rId4674" Type="http://schemas.openxmlformats.org/officeDocument/2006/relationships/hyperlink" Target="http://twitter.com/AscendinPenguin/statuses/1520933213358772224" TargetMode="External"/><Relationship Id="rId2014" Type="http://schemas.openxmlformats.org/officeDocument/2006/relationships/hyperlink" Target="http://twitter.com/Sukraine/statuses/1521037052242022401" TargetMode="External"/><Relationship Id="rId3346" Type="http://schemas.openxmlformats.org/officeDocument/2006/relationships/hyperlink" Target="http://twitter.com/Tedestrela/statuses/1521013852351217666" TargetMode="External"/><Relationship Id="rId4677" Type="http://schemas.openxmlformats.org/officeDocument/2006/relationships/hyperlink" Target="http://pbs.twimg.com/profile_images/1224491997030907904/ijyV4Dwh_normal.jpg" TargetMode="External"/><Relationship Id="rId2015" Type="http://schemas.openxmlformats.org/officeDocument/2006/relationships/hyperlink" Target="http://pbs.twimg.com/profile_images/1328847471255162880/1w4s9XEe_normal.jpg" TargetMode="External"/><Relationship Id="rId3345" Type="http://schemas.openxmlformats.org/officeDocument/2006/relationships/hyperlink" Target="http://pbs.twimg.com/profile_images/1172472983237070848/_vPar8SP_normal.jpg" TargetMode="External"/><Relationship Id="rId4676" Type="http://schemas.openxmlformats.org/officeDocument/2006/relationships/hyperlink" Target="http://twitter.com/CuriousLearner2/statuses/1520932583395270657" TargetMode="External"/><Relationship Id="rId2049" Type="http://schemas.openxmlformats.org/officeDocument/2006/relationships/hyperlink" Target="http://pbs.twimg.com/profile_images/1143849900448407552/URqMVj3X_normal.jpg" TargetMode="External"/><Relationship Id="rId129" Type="http://schemas.openxmlformats.org/officeDocument/2006/relationships/hyperlink" Target="http://pbs.twimg.com/profile_images/1429968806756200448/MvL243_V_normal.jpg" TargetMode="External"/><Relationship Id="rId128" Type="http://schemas.openxmlformats.org/officeDocument/2006/relationships/hyperlink" Target="http://twitter.com/AESimmons2/statuses/1521069427244077057" TargetMode="External"/><Relationship Id="rId127" Type="http://schemas.openxmlformats.org/officeDocument/2006/relationships/hyperlink" Target="http://pbs.twimg.com/profile_images/1429968806756200448/MvL243_V_normal.jpg" TargetMode="External"/><Relationship Id="rId126" Type="http://schemas.openxmlformats.org/officeDocument/2006/relationships/hyperlink" Target="http://twitter.com/sjharley/statuses/1521069462300114946" TargetMode="External"/><Relationship Id="rId3371" Type="http://schemas.openxmlformats.org/officeDocument/2006/relationships/hyperlink" Target="http://pbs.twimg.com/profile_images/1465322518730919942/GQayXjPu_normal.jpg" TargetMode="External"/><Relationship Id="rId2040" Type="http://schemas.openxmlformats.org/officeDocument/2006/relationships/hyperlink" Target="http://twitter.com/irelandseye/statuses/1521036635080740864" TargetMode="External"/><Relationship Id="rId3370" Type="http://schemas.openxmlformats.org/officeDocument/2006/relationships/hyperlink" Target="http://twitter.com/stoner1968/statuses/1521013409856294915" TargetMode="External"/><Relationship Id="rId121" Type="http://schemas.openxmlformats.org/officeDocument/2006/relationships/hyperlink" Target="http://pbs.twimg.com/profile_images/1460027336074698757/CpYSaKdn_normal.jpg" TargetMode="External"/><Relationship Id="rId2041" Type="http://schemas.openxmlformats.org/officeDocument/2006/relationships/hyperlink" Target="http://pbs.twimg.com/profile_images/1230430710781161474/T9U91zom_normal.jpg" TargetMode="External"/><Relationship Id="rId3373" Type="http://schemas.openxmlformats.org/officeDocument/2006/relationships/hyperlink" Target="http://pbs.twimg.com/profile_images/455287930781970432/xDPXY9yU_normal.jpeg" TargetMode="External"/><Relationship Id="rId120" Type="http://schemas.openxmlformats.org/officeDocument/2006/relationships/hyperlink" Target="http://twitter.com/BrummieMan1/statuses/1521069508768772097" TargetMode="External"/><Relationship Id="rId2042" Type="http://schemas.openxmlformats.org/officeDocument/2006/relationships/hyperlink" Target="http://twitter.com/AndreaMatyellow/statuses/1521036622476845059" TargetMode="External"/><Relationship Id="rId3372" Type="http://schemas.openxmlformats.org/officeDocument/2006/relationships/hyperlink" Target="http://twitter.com/John2000AD/statuses/1521013360266985472" TargetMode="External"/><Relationship Id="rId2043" Type="http://schemas.openxmlformats.org/officeDocument/2006/relationships/hyperlink" Target="http://pbs.twimg.com/profile_images/431177639953715200/9qKNbjEc_normal.jpeg" TargetMode="External"/><Relationship Id="rId3375" Type="http://schemas.openxmlformats.org/officeDocument/2006/relationships/hyperlink" Target="http://pbs.twimg.com/profile_images/1489614905015779336/0lXDvpyv_normal.jpg" TargetMode="External"/><Relationship Id="rId2044" Type="http://schemas.openxmlformats.org/officeDocument/2006/relationships/hyperlink" Target="http://twitter.com/10_000BC/statuses/1521036599231979520" TargetMode="External"/><Relationship Id="rId3374" Type="http://schemas.openxmlformats.org/officeDocument/2006/relationships/hyperlink" Target="http://twitter.com/stoner1968/statuses/1521013350817316869" TargetMode="External"/><Relationship Id="rId125" Type="http://schemas.openxmlformats.org/officeDocument/2006/relationships/hyperlink" Target="http://pbs.twimg.com/profile_images/1460027336074698757/CpYSaKdn_normal.jpg" TargetMode="External"/><Relationship Id="rId2045" Type="http://schemas.openxmlformats.org/officeDocument/2006/relationships/hyperlink" Target="http://pbs.twimg.com/profile_images/431177639953715200/9qKNbjEc_normal.jpeg" TargetMode="External"/><Relationship Id="rId3377" Type="http://schemas.openxmlformats.org/officeDocument/2006/relationships/hyperlink" Target="http://pbs.twimg.com/profile_images/1273638011385896962/QxmIriP8_normal.jpg" TargetMode="External"/><Relationship Id="rId124" Type="http://schemas.openxmlformats.org/officeDocument/2006/relationships/hyperlink" Target="http://twitter.com/DaveCampaigns/statuses/1521069498094170112" TargetMode="External"/><Relationship Id="rId2046" Type="http://schemas.openxmlformats.org/officeDocument/2006/relationships/hyperlink" Target="http://twitter.com/10_000BC/statuses/1521036496244985856" TargetMode="External"/><Relationship Id="rId3376" Type="http://schemas.openxmlformats.org/officeDocument/2006/relationships/hyperlink" Target="http://twitter.com/janfeghia/statuses/1521013342214623233" TargetMode="External"/><Relationship Id="rId123" Type="http://schemas.openxmlformats.org/officeDocument/2006/relationships/hyperlink" Target="http://pbs.twimg.com/profile_images/1224324229472161792/hLC0qGKk_normal.jpg" TargetMode="External"/><Relationship Id="rId2047" Type="http://schemas.openxmlformats.org/officeDocument/2006/relationships/hyperlink" Target="http://pbs.twimg.com/profile_images/1292716589/Alison_2_normal.jpg" TargetMode="External"/><Relationship Id="rId3379" Type="http://schemas.openxmlformats.org/officeDocument/2006/relationships/hyperlink" Target="http://pbs.twimg.com/profile_images/1459586946062327811/dTSme5pe_normal.jpg" TargetMode="External"/><Relationship Id="rId122" Type="http://schemas.openxmlformats.org/officeDocument/2006/relationships/hyperlink" Target="http://twitter.com/sjharley/statuses/1521069499461640193" TargetMode="External"/><Relationship Id="rId2048" Type="http://schemas.openxmlformats.org/officeDocument/2006/relationships/hyperlink" Target="http://twitter.com/alliebabe57/statuses/1521036474845736960" TargetMode="External"/><Relationship Id="rId3378" Type="http://schemas.openxmlformats.org/officeDocument/2006/relationships/hyperlink" Target="http://twitter.com/toomuchbrexit/statuses/1521013290721234944" TargetMode="External"/><Relationship Id="rId2038" Type="http://schemas.openxmlformats.org/officeDocument/2006/relationships/hyperlink" Target="http://twitter.com/vittart75/statuses/1521036718761295872" TargetMode="External"/><Relationship Id="rId2039" Type="http://schemas.openxmlformats.org/officeDocument/2006/relationships/hyperlink" Target="http://pbs.twimg.com/profile_images/1443147625465794564/QpgeO_ai_normal.jpg" TargetMode="External"/><Relationship Id="rId3369" Type="http://schemas.openxmlformats.org/officeDocument/2006/relationships/hyperlink" Target="http://pbs.twimg.com/profile_images/455287930781970432/xDPXY9yU_normal.jpeg" TargetMode="External"/><Relationship Id="rId118" Type="http://schemas.openxmlformats.org/officeDocument/2006/relationships/hyperlink" Target="http://twitter.com/Swingkatz/statuses/1521069513046990849" TargetMode="External"/><Relationship Id="rId117" Type="http://schemas.openxmlformats.org/officeDocument/2006/relationships/hyperlink" Target="http://abs.twimg.com/sticky/default_profile_images/default_profile_normal.png" TargetMode="External"/><Relationship Id="rId116" Type="http://schemas.openxmlformats.org/officeDocument/2006/relationships/hyperlink" Target="http://twitter.com/RockDoc1975/statuses/1521069529027207169" TargetMode="External"/><Relationship Id="rId115" Type="http://schemas.openxmlformats.org/officeDocument/2006/relationships/hyperlink" Target="http://pbs.twimg.com/profile_images/631049338156924928/0ele4iba_normal.jpg" TargetMode="External"/><Relationship Id="rId3360" Type="http://schemas.openxmlformats.org/officeDocument/2006/relationships/hyperlink" Target="http://twitter.com/Mike_k_Haden/statuses/1521013558934441984" TargetMode="External"/><Relationship Id="rId4691" Type="http://schemas.openxmlformats.org/officeDocument/2006/relationships/hyperlink" Target="http://pbs.twimg.com/profile_images/763489790406828032/q5iwm01V_normal.jpg" TargetMode="External"/><Relationship Id="rId119" Type="http://schemas.openxmlformats.org/officeDocument/2006/relationships/hyperlink" Target="http://pbs.twimg.com/profile_images/1287350306234302466/4ycLlahe_normal.jpg" TargetMode="External"/><Relationship Id="rId4690" Type="http://schemas.openxmlformats.org/officeDocument/2006/relationships/hyperlink" Target="http://twitter.com/BramProvost/statuses/1520930757610545154" TargetMode="External"/><Relationship Id="rId110" Type="http://schemas.openxmlformats.org/officeDocument/2006/relationships/hyperlink" Target="http://twitter.com/CleoColin/statuses/1521069544973950977" TargetMode="External"/><Relationship Id="rId2030" Type="http://schemas.openxmlformats.org/officeDocument/2006/relationships/hyperlink" Target="http://twitter.com/cedge_mbe/statuses/1521036835438440448" TargetMode="External"/><Relationship Id="rId3362" Type="http://schemas.openxmlformats.org/officeDocument/2006/relationships/hyperlink" Target="http://twitter.com/Nealy_OB/statuses/1521013521122742272" TargetMode="External"/><Relationship Id="rId4693" Type="http://schemas.openxmlformats.org/officeDocument/2006/relationships/hyperlink" Target="http://pbs.twimg.com/profile_images/763489790406828032/q5iwm01V_normal.jpg" TargetMode="External"/><Relationship Id="rId2031" Type="http://schemas.openxmlformats.org/officeDocument/2006/relationships/hyperlink" Target="http://pbs.twimg.com/profile_images/1350458341366050821/bCR1y2AT_normal.jpg" TargetMode="External"/><Relationship Id="rId3361" Type="http://schemas.openxmlformats.org/officeDocument/2006/relationships/hyperlink" Target="http://pbs.twimg.com/profile_images/977270570025877504/LSl1a7Tm_normal.jpg" TargetMode="External"/><Relationship Id="rId4692" Type="http://schemas.openxmlformats.org/officeDocument/2006/relationships/hyperlink" Target="http://twitter.com/thomaslynda123/statuses/1520930368005812226" TargetMode="External"/><Relationship Id="rId2032" Type="http://schemas.openxmlformats.org/officeDocument/2006/relationships/hyperlink" Target="http://twitter.com/chrisastbury19/statuses/1521036832888299527" TargetMode="External"/><Relationship Id="rId3364" Type="http://schemas.openxmlformats.org/officeDocument/2006/relationships/hyperlink" Target="http://twitter.com/BonaparteFabri1/statuses/1521013468245204993" TargetMode="External"/><Relationship Id="rId4695" Type="http://schemas.openxmlformats.org/officeDocument/2006/relationships/hyperlink" Target="http://pbs.twimg.com/profile_images/763489790406828032/q5iwm01V_normal.jpg" TargetMode="External"/><Relationship Id="rId2033" Type="http://schemas.openxmlformats.org/officeDocument/2006/relationships/hyperlink" Target="http://pbs.twimg.com/profile_images/656774694893408256/tIQJ6sBn_normal.jpg" TargetMode="External"/><Relationship Id="rId3363" Type="http://schemas.openxmlformats.org/officeDocument/2006/relationships/hyperlink" Target="http://pbs.twimg.com/profile_images/1445385419630252056/OUSE5A4q_normal.jpg" TargetMode="External"/><Relationship Id="rId4694" Type="http://schemas.openxmlformats.org/officeDocument/2006/relationships/hyperlink" Target="http://twitter.com/thomaslynda123/statuses/1520930335466434561" TargetMode="External"/><Relationship Id="rId114" Type="http://schemas.openxmlformats.org/officeDocument/2006/relationships/hyperlink" Target="http://twitter.com/Marianna___S/statuses/1521069536862158849" TargetMode="External"/><Relationship Id="rId2034" Type="http://schemas.openxmlformats.org/officeDocument/2006/relationships/hyperlink" Target="http://twitter.com/bootleian/statuses/1521036804832604160" TargetMode="External"/><Relationship Id="rId3366" Type="http://schemas.openxmlformats.org/officeDocument/2006/relationships/hyperlink" Target="http://twitter.com/imagesconcept/statuses/1521013454710231040" TargetMode="External"/><Relationship Id="rId4697" Type="http://schemas.openxmlformats.org/officeDocument/2006/relationships/hyperlink" Target="http://pbs.twimg.com/profile_images/868092806262403072/nDQH5C4d_normal.jpg" TargetMode="External"/><Relationship Id="rId113" Type="http://schemas.openxmlformats.org/officeDocument/2006/relationships/hyperlink" Target="http://pbs.twimg.com/profile_images/2331707272/image_normal.jpg" TargetMode="External"/><Relationship Id="rId2035" Type="http://schemas.openxmlformats.org/officeDocument/2006/relationships/hyperlink" Target="http://pbs.twimg.com/profile_images/1408142104941973508/dikeMPtz_normal.jpg" TargetMode="External"/><Relationship Id="rId3365" Type="http://schemas.openxmlformats.org/officeDocument/2006/relationships/hyperlink" Target="http://pbs.twimg.com/profile_images/826556895330713606/Qxl6T4sK_normal.jpg" TargetMode="External"/><Relationship Id="rId4696" Type="http://schemas.openxmlformats.org/officeDocument/2006/relationships/hyperlink" Target="http://twitter.com/thomaslynda123/statuses/1520930301517733888" TargetMode="External"/><Relationship Id="rId112" Type="http://schemas.openxmlformats.org/officeDocument/2006/relationships/hyperlink" Target="http://twitter.com/sjharley/statuses/1521069541010378754" TargetMode="External"/><Relationship Id="rId2036" Type="http://schemas.openxmlformats.org/officeDocument/2006/relationships/hyperlink" Target="http://twitter.com/garyj71/statuses/1521036729267929088" TargetMode="External"/><Relationship Id="rId3368" Type="http://schemas.openxmlformats.org/officeDocument/2006/relationships/hyperlink" Target="http://twitter.com/RichardSTOCKDA4/statuses/1521013452969594883" TargetMode="External"/><Relationship Id="rId4699" Type="http://schemas.openxmlformats.org/officeDocument/2006/relationships/hyperlink" Target="http://pbs.twimg.com/profile_images/1345571648590802944/PVUCi5Fd_normal.jpg" TargetMode="External"/><Relationship Id="rId111" Type="http://schemas.openxmlformats.org/officeDocument/2006/relationships/hyperlink" Target="http://pbs.twimg.com/profile_images/1460027336074698757/CpYSaKdn_normal.jpg" TargetMode="External"/><Relationship Id="rId2037" Type="http://schemas.openxmlformats.org/officeDocument/2006/relationships/hyperlink" Target="http://pbs.twimg.com/profile_images/1236248398338146309/ar47lf55_normal.jpg" TargetMode="External"/><Relationship Id="rId3367" Type="http://schemas.openxmlformats.org/officeDocument/2006/relationships/hyperlink" Target="http://pbs.twimg.com/profile_images/1326616742546853888/1FM6ZvvL_normal.jpg" TargetMode="External"/><Relationship Id="rId4698" Type="http://schemas.openxmlformats.org/officeDocument/2006/relationships/hyperlink" Target="http://twitter.com/MichaelJGollop/statuses/1520930212065824768" TargetMode="External"/><Relationship Id="rId3315" Type="http://schemas.openxmlformats.org/officeDocument/2006/relationships/hyperlink" Target="http://abs.twimg.com/sticky/default_profile_images/default_profile_normal.png" TargetMode="External"/><Relationship Id="rId4646" Type="http://schemas.openxmlformats.org/officeDocument/2006/relationships/hyperlink" Target="http://twitter.com/CraggKeith/statuses/1520937022503936002" TargetMode="External"/><Relationship Id="rId5978" Type="http://schemas.openxmlformats.org/officeDocument/2006/relationships/hyperlink" Target="http://twitter.com/eurightswatch/statuses/1520882834549919745" TargetMode="External"/><Relationship Id="rId3314" Type="http://schemas.openxmlformats.org/officeDocument/2006/relationships/hyperlink" Target="http://twitter.com/TonyGentGD1/statuses/1521014363863363584" TargetMode="External"/><Relationship Id="rId4645" Type="http://schemas.openxmlformats.org/officeDocument/2006/relationships/hyperlink" Target="http://abs.twimg.com/sticky/default_profile_images/default_profile_normal.png" TargetMode="External"/><Relationship Id="rId5979" Type="http://schemas.openxmlformats.org/officeDocument/2006/relationships/hyperlink" Target="http://pbs.twimg.com/profile_images/378800000180590833/e15b6f2bccad3cd3db49d8aae73e4bc5_normal.jpeg" TargetMode="External"/><Relationship Id="rId3317" Type="http://schemas.openxmlformats.org/officeDocument/2006/relationships/hyperlink" Target="http://pbs.twimg.com/profile_images/746375622188900352/iAckgS5R_normal.jpg" TargetMode="External"/><Relationship Id="rId4648" Type="http://schemas.openxmlformats.org/officeDocument/2006/relationships/hyperlink" Target="http://twitter.com/CraggKeith/statuses/1520936937355370497" TargetMode="External"/><Relationship Id="rId5976" Type="http://schemas.openxmlformats.org/officeDocument/2006/relationships/hyperlink" Target="http://twitter.com/michaelkerton/statuses/1520882849242566657" TargetMode="External"/><Relationship Id="rId3316" Type="http://schemas.openxmlformats.org/officeDocument/2006/relationships/hyperlink" Target="http://twitter.com/TonyGentGD1/statuses/1521014294011383813" TargetMode="External"/><Relationship Id="rId4647" Type="http://schemas.openxmlformats.org/officeDocument/2006/relationships/hyperlink" Target="http://abs.twimg.com/sticky/default_profile_images/default_profile_normal.png" TargetMode="External"/><Relationship Id="rId5977" Type="http://schemas.openxmlformats.org/officeDocument/2006/relationships/hyperlink" Target="http://abs.twimg.com/sticky/default_profile_images/default_profile_normal.png" TargetMode="External"/><Relationship Id="rId3319" Type="http://schemas.openxmlformats.org/officeDocument/2006/relationships/hyperlink" Target="http://pbs.twimg.com/profile_images/1346882036888436739/2h6XsDqY_normal.jpg" TargetMode="External"/><Relationship Id="rId3318" Type="http://schemas.openxmlformats.org/officeDocument/2006/relationships/hyperlink" Target="http://twitter.com/CampbellDonny/statuses/1521014266492555264" TargetMode="External"/><Relationship Id="rId4649" Type="http://schemas.openxmlformats.org/officeDocument/2006/relationships/hyperlink" Target="http://pbs.twimg.com/profile_images/772859536759787520/iLc_j3La_normal.jpg" TargetMode="External"/><Relationship Id="rId5970" Type="http://schemas.openxmlformats.org/officeDocument/2006/relationships/hyperlink" Target="http://twitter.com/louisepots/statuses/1520882930524082177" TargetMode="External"/><Relationship Id="rId5971" Type="http://schemas.openxmlformats.org/officeDocument/2006/relationships/hyperlink" Target="http://abs.twimg.com/sticky/default_profile_images/default_profile_normal.png" TargetMode="External"/><Relationship Id="rId4640" Type="http://schemas.openxmlformats.org/officeDocument/2006/relationships/hyperlink" Target="http://twitter.com/CraggKeith/statuses/1520937215806910465" TargetMode="External"/><Relationship Id="rId3311" Type="http://schemas.openxmlformats.org/officeDocument/2006/relationships/hyperlink" Target="http://pbs.twimg.com/profile_images/1496865295/00052_normal.jpg" TargetMode="External"/><Relationship Id="rId4642" Type="http://schemas.openxmlformats.org/officeDocument/2006/relationships/hyperlink" Target="http://twitter.com/CraggKeith/statuses/1520937151256485888" TargetMode="External"/><Relationship Id="rId5974" Type="http://schemas.openxmlformats.org/officeDocument/2006/relationships/hyperlink" Target="http://twitter.com/Fishion1/statuses/1520882875100499968" TargetMode="External"/><Relationship Id="rId3310" Type="http://schemas.openxmlformats.org/officeDocument/2006/relationships/hyperlink" Target="http://twitter.com/TK_Golf_Buys/statuses/1521014478065831942" TargetMode="External"/><Relationship Id="rId4641" Type="http://schemas.openxmlformats.org/officeDocument/2006/relationships/hyperlink" Target="http://abs.twimg.com/sticky/default_profile_images/default_profile_normal.png" TargetMode="External"/><Relationship Id="rId5975" Type="http://schemas.openxmlformats.org/officeDocument/2006/relationships/hyperlink" Target="http://pbs.twimg.com/profile_images/2018407842/_MG_5423-Edit_normal.jpg" TargetMode="External"/><Relationship Id="rId3313" Type="http://schemas.openxmlformats.org/officeDocument/2006/relationships/hyperlink" Target="http://abs.twimg.com/sticky/default_profile_images/default_profile_normal.png" TargetMode="External"/><Relationship Id="rId4644" Type="http://schemas.openxmlformats.org/officeDocument/2006/relationships/hyperlink" Target="http://twitter.com/CraggKeith/statuses/1520937103525392384" TargetMode="External"/><Relationship Id="rId5972" Type="http://schemas.openxmlformats.org/officeDocument/2006/relationships/hyperlink" Target="http://twitter.com/EggAlison/statuses/1520882889352790016" TargetMode="External"/><Relationship Id="rId3312" Type="http://schemas.openxmlformats.org/officeDocument/2006/relationships/hyperlink" Target="http://twitter.com/Vicktor1111/statuses/1521014390656544770" TargetMode="External"/><Relationship Id="rId4643" Type="http://schemas.openxmlformats.org/officeDocument/2006/relationships/hyperlink" Target="http://abs.twimg.com/sticky/default_profile_images/default_profile_normal.png" TargetMode="External"/><Relationship Id="rId5973" Type="http://schemas.openxmlformats.org/officeDocument/2006/relationships/hyperlink" Target="http://pbs.twimg.com/profile_images/1497841676680929280/CPs4z8e6_normal.jpg" TargetMode="External"/><Relationship Id="rId3304" Type="http://schemas.openxmlformats.org/officeDocument/2006/relationships/hyperlink" Target="http://twitter.com/Tom_StCroix/statuses/1521014726288986112" TargetMode="External"/><Relationship Id="rId4635" Type="http://schemas.openxmlformats.org/officeDocument/2006/relationships/hyperlink" Target="http://pbs.twimg.com/profile_images/344513261577725615/acda2866b361136070daec6cda5adf13_normal.jpeg" TargetMode="External"/><Relationship Id="rId5967" Type="http://schemas.openxmlformats.org/officeDocument/2006/relationships/hyperlink" Target="http://pbs.twimg.com/profile_images/1520004264667619329/5rt2GR_y_normal.jpg" TargetMode="External"/><Relationship Id="rId3303" Type="http://schemas.openxmlformats.org/officeDocument/2006/relationships/hyperlink" Target="http://abs.twimg.com/sticky/default_profile_images/default_profile_normal.png" TargetMode="External"/><Relationship Id="rId4634" Type="http://schemas.openxmlformats.org/officeDocument/2006/relationships/hyperlink" Target="http://twitter.com/MomentsTo_2016/statuses/1520938642717487106" TargetMode="External"/><Relationship Id="rId5968" Type="http://schemas.openxmlformats.org/officeDocument/2006/relationships/hyperlink" Target="http://twitter.com/Mitsawokett_UK/statuses/1520882965915611155" TargetMode="External"/><Relationship Id="rId3306" Type="http://schemas.openxmlformats.org/officeDocument/2006/relationships/hyperlink" Target="http://twitter.com/Iain643/statuses/1521014651626078208" TargetMode="External"/><Relationship Id="rId4637" Type="http://schemas.openxmlformats.org/officeDocument/2006/relationships/hyperlink" Target="http://abs.twimg.com/sticky/default_profile_images/default_profile_normal.png" TargetMode="External"/><Relationship Id="rId5965" Type="http://schemas.openxmlformats.org/officeDocument/2006/relationships/hyperlink" Target="http://pbs.twimg.com/profile_images/972929786317344769/Ah4ZFCWC_normal.jpg" TargetMode="External"/><Relationship Id="rId3305" Type="http://schemas.openxmlformats.org/officeDocument/2006/relationships/hyperlink" Target="http://pbs.twimg.com/profile_images/925267701995655168/-SaPFDNK_normal.jpg" TargetMode="External"/><Relationship Id="rId4636" Type="http://schemas.openxmlformats.org/officeDocument/2006/relationships/hyperlink" Target="http://twitter.com/ratcliffe_nick/statuses/1520938401373036545" TargetMode="External"/><Relationship Id="rId5966" Type="http://schemas.openxmlformats.org/officeDocument/2006/relationships/hyperlink" Target="http://twitter.com/sydturner1/statuses/1520882998417231874" TargetMode="External"/><Relationship Id="rId3308" Type="http://schemas.openxmlformats.org/officeDocument/2006/relationships/hyperlink" Target="http://twitter.com/LoziCamp/statuses/1521014625231380482" TargetMode="External"/><Relationship Id="rId4639" Type="http://schemas.openxmlformats.org/officeDocument/2006/relationships/hyperlink" Target="http://abs.twimg.com/sticky/default_profile_images/default_profile_normal.png" TargetMode="External"/><Relationship Id="rId3307" Type="http://schemas.openxmlformats.org/officeDocument/2006/relationships/hyperlink" Target="http://pbs.twimg.com/profile_images/962789599532732419/jZID-3KG_normal.jpg" TargetMode="External"/><Relationship Id="rId4638" Type="http://schemas.openxmlformats.org/officeDocument/2006/relationships/hyperlink" Target="http://twitter.com/CraggKeith/statuses/1520937416093220864" TargetMode="External"/><Relationship Id="rId5969" Type="http://schemas.openxmlformats.org/officeDocument/2006/relationships/hyperlink" Target="http://pbs.twimg.com/profile_images/971098888860991488/n3z4APs5_normal.jpg" TargetMode="External"/><Relationship Id="rId3309" Type="http://schemas.openxmlformats.org/officeDocument/2006/relationships/hyperlink" Target="http://pbs.twimg.com/profile_images/780878515/131-1_normal.jpg" TargetMode="External"/><Relationship Id="rId5960" Type="http://schemas.openxmlformats.org/officeDocument/2006/relationships/hyperlink" Target="http://twitter.com/AndrewOJ21MPP/statuses/1520883188633153536" TargetMode="External"/><Relationship Id="rId3300" Type="http://schemas.openxmlformats.org/officeDocument/2006/relationships/hyperlink" Target="http://twitter.com/Ker1244/statuses/1521014873609617408" TargetMode="External"/><Relationship Id="rId4631" Type="http://schemas.openxmlformats.org/officeDocument/2006/relationships/hyperlink" Target="http://pbs.twimg.com/profile_images/1114586458948608006/BQgJeOgm_normal.jpg" TargetMode="External"/><Relationship Id="rId5963" Type="http://schemas.openxmlformats.org/officeDocument/2006/relationships/hyperlink" Target="http://pbs.twimg.com/profile_images/1356708836384665609/bHoOXCbW_normal.jpg" TargetMode="External"/><Relationship Id="rId4630" Type="http://schemas.openxmlformats.org/officeDocument/2006/relationships/hyperlink" Target="http://twitter.com/m_innocenti3/statuses/1520938867674783745" TargetMode="External"/><Relationship Id="rId5964" Type="http://schemas.openxmlformats.org/officeDocument/2006/relationships/hyperlink" Target="http://twitter.com/Frederi00431818/statuses/1520883069179289603" TargetMode="External"/><Relationship Id="rId3302" Type="http://schemas.openxmlformats.org/officeDocument/2006/relationships/hyperlink" Target="http://twitter.com/johngreenemusic/statuses/1521014741136822272" TargetMode="External"/><Relationship Id="rId4633" Type="http://schemas.openxmlformats.org/officeDocument/2006/relationships/hyperlink" Target="http://pbs.twimg.com/profile_images/1281650798947119105/RKpluo4L_normal.jpg" TargetMode="External"/><Relationship Id="rId5961" Type="http://schemas.openxmlformats.org/officeDocument/2006/relationships/hyperlink" Target="http://pbs.twimg.com/profile_images/972929786317344769/Ah4ZFCWC_normal.jpg" TargetMode="External"/><Relationship Id="rId3301" Type="http://schemas.openxmlformats.org/officeDocument/2006/relationships/hyperlink" Target="http://pbs.twimg.com/profile_images/1468941730854707203/-7rGhi4x_normal.jpg" TargetMode="External"/><Relationship Id="rId4632" Type="http://schemas.openxmlformats.org/officeDocument/2006/relationships/hyperlink" Target="http://twitter.com/WandaKloza/statuses/1520938722430267396" TargetMode="External"/><Relationship Id="rId5962" Type="http://schemas.openxmlformats.org/officeDocument/2006/relationships/hyperlink" Target="http://twitter.com/sydturner1/statuses/1520883119288684545" TargetMode="External"/><Relationship Id="rId2005" Type="http://schemas.openxmlformats.org/officeDocument/2006/relationships/hyperlink" Target="http://pbs.twimg.com/profile_images/563467930458136577/sHteWM3F_normal.jpeg" TargetMode="External"/><Relationship Id="rId3337" Type="http://schemas.openxmlformats.org/officeDocument/2006/relationships/hyperlink" Target="http://pbs.twimg.com/profile_images/1459939849239158788/im8b-u3s_normal.jpg" TargetMode="External"/><Relationship Id="rId4668" Type="http://schemas.openxmlformats.org/officeDocument/2006/relationships/hyperlink" Target="http://twitter.com/AscendinPenguin/statuses/1520933264634036225" TargetMode="External"/><Relationship Id="rId2006" Type="http://schemas.openxmlformats.org/officeDocument/2006/relationships/hyperlink" Target="http://twitter.com/VerityKalcev/statuses/1521037092041678850" TargetMode="External"/><Relationship Id="rId3336" Type="http://schemas.openxmlformats.org/officeDocument/2006/relationships/hyperlink" Target="http://twitter.com/TonyGentGD1/statuses/1521014046111281152" TargetMode="External"/><Relationship Id="rId4667" Type="http://schemas.openxmlformats.org/officeDocument/2006/relationships/hyperlink" Target="http://pbs.twimg.com/profile_images/1180842254/TM-logo-black-low_normal.jpg" TargetMode="External"/><Relationship Id="rId2007" Type="http://schemas.openxmlformats.org/officeDocument/2006/relationships/hyperlink" Target="http://pbs.twimg.com/profile_images/1496837563423805447/setncjWz_normal.jpg" TargetMode="External"/><Relationship Id="rId3339" Type="http://schemas.openxmlformats.org/officeDocument/2006/relationships/hyperlink" Target="http://pbs.twimg.com/profile_images/1504034703699030018/WBBrjNFT_normal.jpg" TargetMode="External"/><Relationship Id="rId5998" Type="http://schemas.openxmlformats.org/officeDocument/2006/relationships/hyperlink" Target="http://twitter.com/JKLDNMAD/statuses/1520882598150610944" TargetMode="External"/><Relationship Id="rId2008" Type="http://schemas.openxmlformats.org/officeDocument/2006/relationships/hyperlink" Target="http://twitter.com/Sukraine/statuses/1521037090657611776" TargetMode="External"/><Relationship Id="rId3338" Type="http://schemas.openxmlformats.org/officeDocument/2006/relationships/hyperlink" Target="http://twitter.com/YvetteHenson/statuses/1521014008211460098" TargetMode="External"/><Relationship Id="rId4669" Type="http://schemas.openxmlformats.org/officeDocument/2006/relationships/hyperlink" Target="http://abs.twimg.com/sticky/default_profile_images/default_profile_normal.png" TargetMode="External"/><Relationship Id="rId5999" Type="http://schemas.openxmlformats.org/officeDocument/2006/relationships/hyperlink" Target="http://pbs.twimg.com/profile_images/1309162358414155780/eD7_KkAP_normal.jpg" TargetMode="External"/><Relationship Id="rId2009" Type="http://schemas.openxmlformats.org/officeDocument/2006/relationships/hyperlink" Target="http://abs.twimg.com/sticky/default_profile_images/default_profile_normal.png" TargetMode="External"/><Relationship Id="rId4660" Type="http://schemas.openxmlformats.org/officeDocument/2006/relationships/hyperlink" Target="http://twitter.com/HackettTom/statuses/1520934261129416704" TargetMode="External"/><Relationship Id="rId5992" Type="http://schemas.openxmlformats.org/officeDocument/2006/relationships/hyperlink" Target="http://twitter.com/J_Niteroi/statuses/1520882639837687808" TargetMode="External"/><Relationship Id="rId5993" Type="http://schemas.openxmlformats.org/officeDocument/2006/relationships/hyperlink" Target="http://pbs.twimg.com/profile_images/1489200827122212869/oXh-HN0L_normal.jpg" TargetMode="External"/><Relationship Id="rId3331" Type="http://schemas.openxmlformats.org/officeDocument/2006/relationships/hyperlink" Target="http://pbs.twimg.com/profile_images/921717795049689088/JQ-gPZx__normal.jpg" TargetMode="External"/><Relationship Id="rId4662" Type="http://schemas.openxmlformats.org/officeDocument/2006/relationships/hyperlink" Target="http://twitter.com/SueKeen1/statuses/1520934256607965185" TargetMode="External"/><Relationship Id="rId5990" Type="http://schemas.openxmlformats.org/officeDocument/2006/relationships/hyperlink" Target="http://twitter.com/aev1609/statuses/1520882645625880579" TargetMode="External"/><Relationship Id="rId2000" Type="http://schemas.openxmlformats.org/officeDocument/2006/relationships/hyperlink" Target="http://twitter.com/Julie69019314/statuses/1521037160488607744" TargetMode="External"/><Relationship Id="rId3330" Type="http://schemas.openxmlformats.org/officeDocument/2006/relationships/hyperlink" Target="http://twitter.com/TonyGentGD1/statuses/1521014136309792768" TargetMode="External"/><Relationship Id="rId4661" Type="http://schemas.openxmlformats.org/officeDocument/2006/relationships/hyperlink" Target="http://pbs.twimg.com/profile_images/1340002885015318531/MT4QGTrF_normal.jpg" TargetMode="External"/><Relationship Id="rId5991" Type="http://schemas.openxmlformats.org/officeDocument/2006/relationships/hyperlink" Target="http://pbs.twimg.com/profile_images/678910244953526272/ZbsRfYZT_normal.jpg" TargetMode="External"/><Relationship Id="rId2001" Type="http://schemas.openxmlformats.org/officeDocument/2006/relationships/hyperlink" Target="http://pbs.twimg.com/profile_images/1476965932148924417/khwSd39I_normal.jpg" TargetMode="External"/><Relationship Id="rId3333" Type="http://schemas.openxmlformats.org/officeDocument/2006/relationships/hyperlink" Target="http://abs.twimg.com/sticky/default_profile_images/default_profile_normal.png" TargetMode="External"/><Relationship Id="rId4664" Type="http://schemas.openxmlformats.org/officeDocument/2006/relationships/hyperlink" Target="http://twitter.com/AscendinPenguin/statuses/1520933336344113153" TargetMode="External"/><Relationship Id="rId5996" Type="http://schemas.openxmlformats.org/officeDocument/2006/relationships/hyperlink" Target="http://twitter.com/weareyandi/statuses/1520882601321447428" TargetMode="External"/><Relationship Id="rId2002" Type="http://schemas.openxmlformats.org/officeDocument/2006/relationships/hyperlink" Target="http://twitter.com/SheilaLeahW/statuses/1521037119636094976" TargetMode="External"/><Relationship Id="rId3332" Type="http://schemas.openxmlformats.org/officeDocument/2006/relationships/hyperlink" Target="http://twitter.com/overwater001/statuses/1521014106551197696" TargetMode="External"/><Relationship Id="rId4663" Type="http://schemas.openxmlformats.org/officeDocument/2006/relationships/hyperlink" Target="http://pbs.twimg.com/profile_images/1180842254/TM-logo-black-low_normal.jpg" TargetMode="External"/><Relationship Id="rId5997" Type="http://schemas.openxmlformats.org/officeDocument/2006/relationships/hyperlink" Target="http://pbs.twimg.com/profile_images/880014924407345153/zg2mChMm_normal.jpg" TargetMode="External"/><Relationship Id="rId2003" Type="http://schemas.openxmlformats.org/officeDocument/2006/relationships/hyperlink" Target="http://pbs.twimg.com/profile_images/1496837563423805447/setncjWz_normal.jpg" TargetMode="External"/><Relationship Id="rId3335" Type="http://schemas.openxmlformats.org/officeDocument/2006/relationships/hyperlink" Target="http://abs.twimg.com/sticky/default_profile_images/default_profile_normal.png" TargetMode="External"/><Relationship Id="rId4666" Type="http://schemas.openxmlformats.org/officeDocument/2006/relationships/hyperlink" Target="http://twitter.com/AscendinPenguin/statuses/1520933299312545793" TargetMode="External"/><Relationship Id="rId5994" Type="http://schemas.openxmlformats.org/officeDocument/2006/relationships/hyperlink" Target="http://twitter.com/Dr__H__Lekter/statuses/1520882616538390539" TargetMode="External"/><Relationship Id="rId2004" Type="http://schemas.openxmlformats.org/officeDocument/2006/relationships/hyperlink" Target="http://twitter.com/Sukraine/statuses/1521037113797529602" TargetMode="External"/><Relationship Id="rId3334" Type="http://schemas.openxmlformats.org/officeDocument/2006/relationships/hyperlink" Target="http://twitter.com/davidmatterson/statuses/1521014057230295040" TargetMode="External"/><Relationship Id="rId4665" Type="http://schemas.openxmlformats.org/officeDocument/2006/relationships/hyperlink" Target="http://pbs.twimg.com/profile_images/1180842254/TM-logo-black-low_normal.jpg" TargetMode="External"/><Relationship Id="rId5995" Type="http://schemas.openxmlformats.org/officeDocument/2006/relationships/hyperlink" Target="http://pbs.twimg.com/profile_images/1269295944476082182/O7fHg67U_normal.jpg" TargetMode="External"/><Relationship Id="rId3326" Type="http://schemas.openxmlformats.org/officeDocument/2006/relationships/hyperlink" Target="http://twitter.com/gushingtide/statuses/1521014172925968385" TargetMode="External"/><Relationship Id="rId4657" Type="http://schemas.openxmlformats.org/officeDocument/2006/relationships/hyperlink" Target="http://pbs.twimg.com/profile_images/1350137782417707011/paRyTeYD_normal.jpg" TargetMode="External"/><Relationship Id="rId5989" Type="http://schemas.openxmlformats.org/officeDocument/2006/relationships/hyperlink" Target="http://pbs.twimg.com/profile_images/1496781069571477504/L9QnDc-j_normal.jpg" TargetMode="External"/><Relationship Id="rId3325" Type="http://schemas.openxmlformats.org/officeDocument/2006/relationships/hyperlink" Target="http://pbs.twimg.com/profile_images/1245599046338637831/zaRQEOLX_normal.jpg" TargetMode="External"/><Relationship Id="rId4656" Type="http://schemas.openxmlformats.org/officeDocument/2006/relationships/hyperlink" Target="http://twitter.com/NoMiddleNameAH/statuses/1520935008810434561" TargetMode="External"/><Relationship Id="rId3328" Type="http://schemas.openxmlformats.org/officeDocument/2006/relationships/hyperlink" Target="http://twitter.com/Bryan_K1/statuses/1521014155171569664" TargetMode="External"/><Relationship Id="rId4659" Type="http://schemas.openxmlformats.org/officeDocument/2006/relationships/hyperlink" Target="http://pbs.twimg.com/profile_images/1511030380467478530/2rGH3Qum_normal.jpg" TargetMode="External"/><Relationship Id="rId5987" Type="http://schemas.openxmlformats.org/officeDocument/2006/relationships/hyperlink" Target="http://pbs.twimg.com/profile_images/1189318488596217856/6qRUz7ad_normal.png" TargetMode="External"/><Relationship Id="rId3327" Type="http://schemas.openxmlformats.org/officeDocument/2006/relationships/hyperlink" Target="http://pbs.twimg.com/profile_images/1252164120503291910/prx5Ea9C_normal.jpg" TargetMode="External"/><Relationship Id="rId4658" Type="http://schemas.openxmlformats.org/officeDocument/2006/relationships/hyperlink" Target="http://twitter.com/Panbocchh/statuses/1520934442549878786" TargetMode="External"/><Relationship Id="rId5988" Type="http://schemas.openxmlformats.org/officeDocument/2006/relationships/hyperlink" Target="http://twitter.com/PeterKenyon/statuses/1520882714932662273" TargetMode="External"/><Relationship Id="rId3329" Type="http://schemas.openxmlformats.org/officeDocument/2006/relationships/hyperlink" Target="http://abs.twimg.com/sticky/default_profile_images/default_profile_normal.png" TargetMode="External"/><Relationship Id="rId5981" Type="http://schemas.openxmlformats.org/officeDocument/2006/relationships/hyperlink" Target="http://pbs.twimg.com/profile_images/873939419719495681/PEak68tB_normal.jpg" TargetMode="External"/><Relationship Id="rId5982" Type="http://schemas.openxmlformats.org/officeDocument/2006/relationships/hyperlink" Target="http://twitter.com/MaryKHarringto2/statuses/1520882794754416642" TargetMode="External"/><Relationship Id="rId3320" Type="http://schemas.openxmlformats.org/officeDocument/2006/relationships/hyperlink" Target="http://twitter.com/MarkInNorthWest/statuses/1521014260096245760" TargetMode="External"/><Relationship Id="rId4651" Type="http://schemas.openxmlformats.org/officeDocument/2006/relationships/hyperlink" Target="http://pbs.twimg.com/profile_images/1260733751388225537/_T5gxorh_normal.jpg" TargetMode="External"/><Relationship Id="rId4650" Type="http://schemas.openxmlformats.org/officeDocument/2006/relationships/hyperlink" Target="http://twitter.com/Tighnacoille/statuses/1520936143281442816" TargetMode="External"/><Relationship Id="rId5980" Type="http://schemas.openxmlformats.org/officeDocument/2006/relationships/hyperlink" Target="http://twitter.com/rajni1959/statuses/1520882808054505473" TargetMode="External"/><Relationship Id="rId3322" Type="http://schemas.openxmlformats.org/officeDocument/2006/relationships/hyperlink" Target="http://twitter.com/helkala/statuses/1521014222892814336" TargetMode="External"/><Relationship Id="rId4653" Type="http://schemas.openxmlformats.org/officeDocument/2006/relationships/hyperlink" Target="http://pbs.twimg.com/profile_images/1188048406561918981/MHEPajYL_normal.jpg" TargetMode="External"/><Relationship Id="rId5985" Type="http://schemas.openxmlformats.org/officeDocument/2006/relationships/hyperlink" Target="http://pbs.twimg.com/profile_images/919944027205767168/ThgS-cLQ_normal.jpg" TargetMode="External"/><Relationship Id="rId3321" Type="http://schemas.openxmlformats.org/officeDocument/2006/relationships/hyperlink" Target="http://pbs.twimg.com/profile_images/1380405942840393728/XtfXCITP_normal.jpg" TargetMode="External"/><Relationship Id="rId4652" Type="http://schemas.openxmlformats.org/officeDocument/2006/relationships/hyperlink" Target="http://twitter.com/julie4north/statuses/1520935163173163008" TargetMode="External"/><Relationship Id="rId5986" Type="http://schemas.openxmlformats.org/officeDocument/2006/relationships/hyperlink" Target="http://twitter.com/SpindleBiggins/statuses/1520882742447140865" TargetMode="External"/><Relationship Id="rId3324" Type="http://schemas.openxmlformats.org/officeDocument/2006/relationships/hyperlink" Target="http://twitter.com/TonyGentGD1/statuses/1521014220992790528" TargetMode="External"/><Relationship Id="rId4655" Type="http://schemas.openxmlformats.org/officeDocument/2006/relationships/hyperlink" Target="http://pbs.twimg.com/profile_images/1184778750023655424/ZJbDFfH9_normal.jpg" TargetMode="External"/><Relationship Id="rId5983" Type="http://schemas.openxmlformats.org/officeDocument/2006/relationships/hyperlink" Target="http://pbs.twimg.com/profile_images/602891967358439424/P6jbq6Xz_normal.jpg" TargetMode="External"/><Relationship Id="rId3323" Type="http://schemas.openxmlformats.org/officeDocument/2006/relationships/hyperlink" Target="http://abs.twimg.com/sticky/default_profile_images/default_profile_normal.png" TargetMode="External"/><Relationship Id="rId4654" Type="http://schemas.openxmlformats.org/officeDocument/2006/relationships/hyperlink" Target="http://twitter.com/botanic_my/statuses/1520935068700659712" TargetMode="External"/><Relationship Id="rId5984" Type="http://schemas.openxmlformats.org/officeDocument/2006/relationships/hyperlink" Target="http://twitter.com/LucyW67/statuses/1520882760776355842" TargetMode="External"/><Relationship Id="rId5130" Type="http://schemas.openxmlformats.org/officeDocument/2006/relationships/hyperlink" Target="http://twitter.com/MrsMoys/statuses/1520904721103523841" TargetMode="External"/><Relationship Id="rId5131" Type="http://schemas.openxmlformats.org/officeDocument/2006/relationships/hyperlink" Target="http://pbs.twimg.com/profile_images/300655131/112003_normal.jpeg" TargetMode="External"/><Relationship Id="rId5134" Type="http://schemas.openxmlformats.org/officeDocument/2006/relationships/hyperlink" Target="http://twitter.com/DrDavidRSewell/statuses/1520904645832548353" TargetMode="External"/><Relationship Id="rId5135" Type="http://schemas.openxmlformats.org/officeDocument/2006/relationships/hyperlink" Target="http://pbs.twimg.com/profile_images/1368935203482263553/MYKYwTlK_normal.jpg" TargetMode="External"/><Relationship Id="rId5132" Type="http://schemas.openxmlformats.org/officeDocument/2006/relationships/hyperlink" Target="http://twitter.com/hooshymally/statuses/1520904696524939264" TargetMode="External"/><Relationship Id="rId5133" Type="http://schemas.openxmlformats.org/officeDocument/2006/relationships/hyperlink" Target="http://pbs.twimg.com/profile_images/1193631665156952070/hfBXquvc_normal.jpg" TargetMode="External"/><Relationship Id="rId5138" Type="http://schemas.openxmlformats.org/officeDocument/2006/relationships/hyperlink" Target="http://twitter.com/Dr__H__Lekter/statuses/1520904484939083778" TargetMode="External"/><Relationship Id="rId5139" Type="http://schemas.openxmlformats.org/officeDocument/2006/relationships/hyperlink" Target="http://pbs.twimg.com/profile_images/939777045436993536/oYHVfFka_normal.jpg" TargetMode="External"/><Relationship Id="rId5136" Type="http://schemas.openxmlformats.org/officeDocument/2006/relationships/hyperlink" Target="http://twitter.com/makadaw/statuses/1520904519609163779" TargetMode="External"/><Relationship Id="rId5137" Type="http://schemas.openxmlformats.org/officeDocument/2006/relationships/hyperlink" Target="http://pbs.twimg.com/profile_images/1489200827122212869/oXh-HN0L_normal.jpg" TargetMode="External"/><Relationship Id="rId5129" Type="http://schemas.openxmlformats.org/officeDocument/2006/relationships/hyperlink" Target="http://pbs.twimg.com/profile_images/1520386094537261056/HOZOGSbG_normal.jpg" TargetMode="External"/><Relationship Id="rId2090" Type="http://schemas.openxmlformats.org/officeDocument/2006/relationships/hyperlink" Target="http://twitter.com/LibbyKerensky/statuses/1521035649331212290" TargetMode="External"/><Relationship Id="rId2091" Type="http://schemas.openxmlformats.org/officeDocument/2006/relationships/hyperlink" Target="http://pbs.twimg.com/profile_images/1504218268441194499/LdYqy0s7_normal.jpg" TargetMode="External"/><Relationship Id="rId2092" Type="http://schemas.openxmlformats.org/officeDocument/2006/relationships/hyperlink" Target="http://twitter.com/CarmelMcLough12/statuses/1521035571958886402" TargetMode="External"/><Relationship Id="rId2093" Type="http://schemas.openxmlformats.org/officeDocument/2006/relationships/hyperlink" Target="http://pbs.twimg.com/profile_images/805400635898261504/l-mGDlWh_normal.jpg" TargetMode="External"/><Relationship Id="rId5120" Type="http://schemas.openxmlformats.org/officeDocument/2006/relationships/hyperlink" Target="http://twitter.com/barlaventoexp/statuses/1520905270406299649" TargetMode="External"/><Relationship Id="rId2094" Type="http://schemas.openxmlformats.org/officeDocument/2006/relationships/hyperlink" Target="http://twitter.com/PalmerTim1/statuses/1521035537276149760" TargetMode="External"/><Relationship Id="rId2095" Type="http://schemas.openxmlformats.org/officeDocument/2006/relationships/hyperlink" Target="http://abs.twimg.com/sticky/default_profile_images/default_profile_normal.png" TargetMode="External"/><Relationship Id="rId2096" Type="http://schemas.openxmlformats.org/officeDocument/2006/relationships/hyperlink" Target="http://twitter.com/huxleyisland/statuses/1521035516526972928" TargetMode="External"/><Relationship Id="rId5123" Type="http://schemas.openxmlformats.org/officeDocument/2006/relationships/hyperlink" Target="http://pbs.twimg.com/profile_images/1315637432864444417/R_jL0u4i_normal.jpg" TargetMode="External"/><Relationship Id="rId2097" Type="http://schemas.openxmlformats.org/officeDocument/2006/relationships/hyperlink" Target="http://pbs.twimg.com/profile_images/1503490865037287431/DvNlT9BT_normal.jpg" TargetMode="External"/><Relationship Id="rId5124" Type="http://schemas.openxmlformats.org/officeDocument/2006/relationships/hyperlink" Target="http://twitter.com/ScrewedContrac1/statuses/1520905243885768704" TargetMode="External"/><Relationship Id="rId2098" Type="http://schemas.openxmlformats.org/officeDocument/2006/relationships/hyperlink" Target="http://twitter.com/grahamwwaters/statuses/1521035504950693890" TargetMode="External"/><Relationship Id="rId5121" Type="http://schemas.openxmlformats.org/officeDocument/2006/relationships/hyperlink" Target="http://pbs.twimg.com/profile_images/1511749810558283786/GvJQ26xM_normal.jpg" TargetMode="External"/><Relationship Id="rId2099" Type="http://schemas.openxmlformats.org/officeDocument/2006/relationships/hyperlink" Target="http://pbs.twimg.com/profile_images/1390586326114787328/ZVec1zDP_normal.jpg" TargetMode="External"/><Relationship Id="rId5122" Type="http://schemas.openxmlformats.org/officeDocument/2006/relationships/hyperlink" Target="http://twitter.com/PeterWi19446290/statuses/1520905259597631489" TargetMode="External"/><Relationship Id="rId5127" Type="http://schemas.openxmlformats.org/officeDocument/2006/relationships/hyperlink" Target="http://pbs.twimg.com/profile_images/1193631665156952070/hfBXquvc_normal.jpg" TargetMode="External"/><Relationship Id="rId5128" Type="http://schemas.openxmlformats.org/officeDocument/2006/relationships/hyperlink" Target="http://twitter.com/DrDavidRSewell/statuses/1520904733636050945" TargetMode="External"/><Relationship Id="rId5125" Type="http://schemas.openxmlformats.org/officeDocument/2006/relationships/hyperlink" Target="http://pbs.twimg.com/profile_images/706265624461352962/SHhLNSSS_normal.jpg" TargetMode="External"/><Relationship Id="rId5126" Type="http://schemas.openxmlformats.org/officeDocument/2006/relationships/hyperlink" Target="http://twitter.com/guyson_7/statuses/1520905073433493504" TargetMode="External"/><Relationship Id="rId5152" Type="http://schemas.openxmlformats.org/officeDocument/2006/relationships/hyperlink" Target="http://twitter.com/hassanrh/statuses/1520904191488806912" TargetMode="External"/><Relationship Id="rId5153" Type="http://schemas.openxmlformats.org/officeDocument/2006/relationships/hyperlink" Target="http://pbs.twimg.com/profile_images/1705369073/n837705144_2339926_8938_1__normal.jpg" TargetMode="External"/><Relationship Id="rId5150" Type="http://schemas.openxmlformats.org/officeDocument/2006/relationships/hyperlink" Target="http://twitter.com/Dr__H__Lekter/statuses/1520904216449282048" TargetMode="External"/><Relationship Id="rId5151" Type="http://schemas.openxmlformats.org/officeDocument/2006/relationships/hyperlink" Target="http://pbs.twimg.com/profile_images/756818955348697088/MEAO7SEp_normal.jpg" TargetMode="External"/><Relationship Id="rId5156" Type="http://schemas.openxmlformats.org/officeDocument/2006/relationships/hyperlink" Target="http://twitter.com/Dr__H__Lekter/statuses/1520904046885969920" TargetMode="External"/><Relationship Id="rId5157" Type="http://schemas.openxmlformats.org/officeDocument/2006/relationships/hyperlink" Target="http://pbs.twimg.com/profile_images/1489200827122212869/oXh-HN0L_normal.jpg" TargetMode="External"/><Relationship Id="rId5154" Type="http://schemas.openxmlformats.org/officeDocument/2006/relationships/hyperlink" Target="http://twitter.com/dholland422/statuses/1520904073352028160" TargetMode="External"/><Relationship Id="rId5155" Type="http://schemas.openxmlformats.org/officeDocument/2006/relationships/hyperlink" Target="http://pbs.twimg.com/profile_images/1489200827122212869/oXh-HN0L_normal.jpg" TargetMode="External"/><Relationship Id="rId5158" Type="http://schemas.openxmlformats.org/officeDocument/2006/relationships/hyperlink" Target="http://twitter.com/Dr__H__Lekter/statuses/1520903848164052993" TargetMode="External"/><Relationship Id="rId5159" Type="http://schemas.openxmlformats.org/officeDocument/2006/relationships/hyperlink" Target="http://pbs.twimg.com/profile_images/773463260158984192/NPPkqVAc_normal.jpg" TargetMode="External"/><Relationship Id="rId5141" Type="http://schemas.openxmlformats.org/officeDocument/2006/relationships/hyperlink" Target="http://pbs.twimg.com/profile_images/1290416798844637184/KQIaDkYc_normal.jpg" TargetMode="External"/><Relationship Id="rId5142" Type="http://schemas.openxmlformats.org/officeDocument/2006/relationships/hyperlink" Target="http://twitter.com/JackyHilary/statuses/1520904426063544323" TargetMode="External"/><Relationship Id="rId5140" Type="http://schemas.openxmlformats.org/officeDocument/2006/relationships/hyperlink" Target="http://twitter.com/roger_heywood/statuses/1520904461291507712" TargetMode="External"/><Relationship Id="rId5145" Type="http://schemas.openxmlformats.org/officeDocument/2006/relationships/hyperlink" Target="http://pbs.twimg.com/profile_images/1368935203482263553/MYKYwTlK_normal.jpg" TargetMode="External"/><Relationship Id="rId5146" Type="http://schemas.openxmlformats.org/officeDocument/2006/relationships/hyperlink" Target="http://twitter.com/makadaw/statuses/1520904306412687361" TargetMode="External"/><Relationship Id="rId5143" Type="http://schemas.openxmlformats.org/officeDocument/2006/relationships/hyperlink" Target="http://pbs.twimg.com/profile_images/1368935203482263553/MYKYwTlK_normal.jpg" TargetMode="External"/><Relationship Id="rId5144" Type="http://schemas.openxmlformats.org/officeDocument/2006/relationships/hyperlink" Target="http://twitter.com/makadaw/statuses/1520904377183223808" TargetMode="External"/><Relationship Id="rId5149" Type="http://schemas.openxmlformats.org/officeDocument/2006/relationships/hyperlink" Target="http://pbs.twimg.com/profile_images/1489200827122212869/oXh-HN0L_normal.jpg" TargetMode="External"/><Relationship Id="rId5147" Type="http://schemas.openxmlformats.org/officeDocument/2006/relationships/hyperlink" Target="http://abs.twimg.com/sticky/default_profile_images/default_profile_normal.png" TargetMode="External"/><Relationship Id="rId5148" Type="http://schemas.openxmlformats.org/officeDocument/2006/relationships/hyperlink" Target="http://twitter.com/EssiemfWilson/statuses/1520904247201644549" TargetMode="External"/><Relationship Id="rId3391" Type="http://schemas.openxmlformats.org/officeDocument/2006/relationships/hyperlink" Target="http://pbs.twimg.com/profile_images/815514739208056832/qSa6SPSg_normal.jpg" TargetMode="External"/><Relationship Id="rId2060" Type="http://schemas.openxmlformats.org/officeDocument/2006/relationships/hyperlink" Target="http://twitter.com/AuSeEc2/statuses/1521036221505548289" TargetMode="External"/><Relationship Id="rId3390" Type="http://schemas.openxmlformats.org/officeDocument/2006/relationships/hyperlink" Target="http://twitter.com/Mz_Kitten/statuses/1521012766265511936" TargetMode="External"/><Relationship Id="rId2061" Type="http://schemas.openxmlformats.org/officeDocument/2006/relationships/hyperlink" Target="http://pbs.twimg.com/profile_images/491926804303970304/K7qWWAWa_normal.jpeg" TargetMode="External"/><Relationship Id="rId3393" Type="http://schemas.openxmlformats.org/officeDocument/2006/relationships/hyperlink" Target="http://pbs.twimg.com/profile_images/1384141550251221002/B4dkaZIS_normal.jpg" TargetMode="External"/><Relationship Id="rId2062" Type="http://schemas.openxmlformats.org/officeDocument/2006/relationships/hyperlink" Target="http://twitter.com/BrummieGran/statuses/1521036206448033793" TargetMode="External"/><Relationship Id="rId3392" Type="http://schemas.openxmlformats.org/officeDocument/2006/relationships/hyperlink" Target="http://twitter.com/58paulb/statuses/1521012754139734016" TargetMode="External"/><Relationship Id="rId2063" Type="http://schemas.openxmlformats.org/officeDocument/2006/relationships/hyperlink" Target="http://pbs.twimg.com/profile_images/1344996700449099777/dr0rQ1p8_normal.jpg" TargetMode="External"/><Relationship Id="rId3395" Type="http://schemas.openxmlformats.org/officeDocument/2006/relationships/hyperlink" Target="http://pbs.twimg.com/profile_images/1429787776506023942/M4G6asVt_normal.jpg" TargetMode="External"/><Relationship Id="rId2064" Type="http://schemas.openxmlformats.org/officeDocument/2006/relationships/hyperlink" Target="http://twitter.com/RebeccaTillett1/statuses/1521036195219791880" TargetMode="External"/><Relationship Id="rId3394" Type="http://schemas.openxmlformats.org/officeDocument/2006/relationships/hyperlink" Target="http://twitter.com/RichardHewison/statuses/1521012746187415552" TargetMode="External"/><Relationship Id="rId2065" Type="http://schemas.openxmlformats.org/officeDocument/2006/relationships/hyperlink" Target="http://pbs.twimg.com/profile_images/1504840373033701384/LuiwMD1V_normal.jpg" TargetMode="External"/><Relationship Id="rId3397" Type="http://schemas.openxmlformats.org/officeDocument/2006/relationships/hyperlink" Target="http://pbs.twimg.com/profile_images/1300427272588005377/204mlNYz_normal.jpg" TargetMode="External"/><Relationship Id="rId2066" Type="http://schemas.openxmlformats.org/officeDocument/2006/relationships/hyperlink" Target="http://twitter.com/BameFor/statuses/1521036142874877952" TargetMode="External"/><Relationship Id="rId3396" Type="http://schemas.openxmlformats.org/officeDocument/2006/relationships/hyperlink" Target="http://twitter.com/DurhamWhines/statuses/1521012686494081024" TargetMode="External"/><Relationship Id="rId2067" Type="http://schemas.openxmlformats.org/officeDocument/2006/relationships/hyperlink" Target="http://pbs.twimg.com/profile_images/1354521360219955208/atBR2Nfw_normal.jpg" TargetMode="External"/><Relationship Id="rId3399" Type="http://schemas.openxmlformats.org/officeDocument/2006/relationships/hyperlink" Target="http://pbs.twimg.com/profile_images/1508400544246906882/rZnvkUzU_normal.jpg" TargetMode="External"/><Relationship Id="rId2068" Type="http://schemas.openxmlformats.org/officeDocument/2006/relationships/hyperlink" Target="http://twitter.com/JohnGillibrand/statuses/1521036121244852225" TargetMode="External"/><Relationship Id="rId3398" Type="http://schemas.openxmlformats.org/officeDocument/2006/relationships/hyperlink" Target="http://twitter.com/HSillitto/statuses/1521012631460589568" TargetMode="External"/><Relationship Id="rId2069" Type="http://schemas.openxmlformats.org/officeDocument/2006/relationships/hyperlink" Target="http://pbs.twimg.com/profile_images/1349066594551558146/RYryEavm_normal.jpg" TargetMode="External"/><Relationship Id="rId3380" Type="http://schemas.openxmlformats.org/officeDocument/2006/relationships/hyperlink" Target="http://twitter.com/JonLegsby/statuses/1521013117135822848" TargetMode="External"/><Relationship Id="rId2050" Type="http://schemas.openxmlformats.org/officeDocument/2006/relationships/hyperlink" Target="http://twitter.com/ElizeBiermann/statuses/1521036434228006912" TargetMode="External"/><Relationship Id="rId3382" Type="http://schemas.openxmlformats.org/officeDocument/2006/relationships/hyperlink" Target="http://twitter.com/valerimelnyczuk/statuses/1521013103026229248" TargetMode="External"/><Relationship Id="rId2051" Type="http://schemas.openxmlformats.org/officeDocument/2006/relationships/hyperlink" Target="http://pbs.twimg.com/profile_images/1088310057895378944/cfOHIRLn_normal.jpg" TargetMode="External"/><Relationship Id="rId3381" Type="http://schemas.openxmlformats.org/officeDocument/2006/relationships/hyperlink" Target="http://pbs.twimg.com/profile_images/1185991819215167494/6bcF5HjK_normal.jpg" TargetMode="External"/><Relationship Id="rId2052" Type="http://schemas.openxmlformats.org/officeDocument/2006/relationships/hyperlink" Target="http://twitter.com/pensioenjaren/statuses/1521036395879534592" TargetMode="External"/><Relationship Id="rId3384" Type="http://schemas.openxmlformats.org/officeDocument/2006/relationships/hyperlink" Target="http://twitter.com/soundabuse/statuses/1521013046960865281" TargetMode="External"/><Relationship Id="rId2053" Type="http://schemas.openxmlformats.org/officeDocument/2006/relationships/hyperlink" Target="http://pbs.twimg.com/profile_images/1322097759525179393/5zBOChKN_normal.jpg" TargetMode="External"/><Relationship Id="rId3383" Type="http://schemas.openxmlformats.org/officeDocument/2006/relationships/hyperlink" Target="http://pbs.twimg.com/profile_images/476480594629500928/N5EedWz9_normal.png" TargetMode="External"/><Relationship Id="rId2054" Type="http://schemas.openxmlformats.org/officeDocument/2006/relationships/hyperlink" Target="http://twitter.com/rubyshoes18/statuses/1521036288912207872" TargetMode="External"/><Relationship Id="rId3386" Type="http://schemas.openxmlformats.org/officeDocument/2006/relationships/hyperlink" Target="http://twitter.com/Michell37191856/statuses/1521013014505431041" TargetMode="External"/><Relationship Id="rId2055" Type="http://schemas.openxmlformats.org/officeDocument/2006/relationships/hyperlink" Target="http://pbs.twimg.com/profile_images/2159403450/me_normal.jpg" TargetMode="External"/><Relationship Id="rId3385" Type="http://schemas.openxmlformats.org/officeDocument/2006/relationships/hyperlink" Target="http://abs.twimg.com/sticky/default_profile_images/default_profile_normal.png" TargetMode="External"/><Relationship Id="rId2056" Type="http://schemas.openxmlformats.org/officeDocument/2006/relationships/hyperlink" Target="http://twitter.com/WoodlouseHouse/statuses/1521036257157074944" TargetMode="External"/><Relationship Id="rId3388" Type="http://schemas.openxmlformats.org/officeDocument/2006/relationships/hyperlink" Target="http://twitter.com/Michell37191856/statuses/1521012966581231616" TargetMode="External"/><Relationship Id="rId2057" Type="http://schemas.openxmlformats.org/officeDocument/2006/relationships/hyperlink" Target="http://pbs.twimg.com/profile_images/1497320756182720512/4auhrCAX_normal.jpg" TargetMode="External"/><Relationship Id="rId3387" Type="http://schemas.openxmlformats.org/officeDocument/2006/relationships/hyperlink" Target="http://abs.twimg.com/sticky/default_profile_images/default_profile_normal.png" TargetMode="External"/><Relationship Id="rId2058" Type="http://schemas.openxmlformats.org/officeDocument/2006/relationships/hyperlink" Target="http://twitter.com/grifffinsu/statuses/1521036233144688640" TargetMode="External"/><Relationship Id="rId2059" Type="http://schemas.openxmlformats.org/officeDocument/2006/relationships/hyperlink" Target="http://pbs.twimg.com/profile_images/1511715937845657603/7FYBYshA_normal.jpg" TargetMode="External"/><Relationship Id="rId3389" Type="http://schemas.openxmlformats.org/officeDocument/2006/relationships/hyperlink" Target="http://pbs.twimg.com/profile_images/1345824957897572354/xVvyc0Xs_normal.jpg" TargetMode="External"/><Relationship Id="rId5118" Type="http://schemas.openxmlformats.org/officeDocument/2006/relationships/hyperlink" Target="http://twitter.com/BernardMcEldown/statuses/1520905335766233096" TargetMode="External"/><Relationship Id="rId5119" Type="http://schemas.openxmlformats.org/officeDocument/2006/relationships/hyperlink" Target="http://pbs.twimg.com/profile_images/1488820916922556416/DvGLecA1_normal.jpg" TargetMode="External"/><Relationship Id="rId2080" Type="http://schemas.openxmlformats.org/officeDocument/2006/relationships/hyperlink" Target="http://twitter.com/dracuk/statuses/1521035855766429697" TargetMode="External"/><Relationship Id="rId2081" Type="http://schemas.openxmlformats.org/officeDocument/2006/relationships/hyperlink" Target="http://pbs.twimg.com/profile_images/1397113931789963266/Ia5-1n_c_normal.jpg" TargetMode="External"/><Relationship Id="rId2082" Type="http://schemas.openxmlformats.org/officeDocument/2006/relationships/hyperlink" Target="http://twitter.com/keefyclarke/statuses/1521035810526617605" TargetMode="External"/><Relationship Id="rId2083" Type="http://schemas.openxmlformats.org/officeDocument/2006/relationships/hyperlink" Target="http://pbs.twimg.com/profile_images/1066654391242027008/mID9TNie_normal.jpg" TargetMode="External"/><Relationship Id="rId2084" Type="http://schemas.openxmlformats.org/officeDocument/2006/relationships/hyperlink" Target="http://twitter.com/penelopedarby/statuses/1521035757263200256" TargetMode="External"/><Relationship Id="rId2085" Type="http://schemas.openxmlformats.org/officeDocument/2006/relationships/hyperlink" Target="http://pbs.twimg.com/profile_images/1415779985202327556/Iydul9Po_normal.jpg" TargetMode="External"/><Relationship Id="rId5112" Type="http://schemas.openxmlformats.org/officeDocument/2006/relationships/hyperlink" Target="http://twitter.com/Tah72388211/statuses/1520905573176422400" TargetMode="External"/><Relationship Id="rId2086" Type="http://schemas.openxmlformats.org/officeDocument/2006/relationships/hyperlink" Target="http://twitter.com/claregrove01/statuses/1521035741228326913" TargetMode="External"/><Relationship Id="rId5113" Type="http://schemas.openxmlformats.org/officeDocument/2006/relationships/hyperlink" Target="http://pbs.twimg.com/profile_images/1511749810558283786/GvJQ26xM_normal.jpg" TargetMode="External"/><Relationship Id="rId2087" Type="http://schemas.openxmlformats.org/officeDocument/2006/relationships/hyperlink" Target="http://pbs.twimg.com/profile_images/1498348134950395910/rgW3YNg6_normal.jpg" TargetMode="External"/><Relationship Id="rId5110" Type="http://schemas.openxmlformats.org/officeDocument/2006/relationships/hyperlink" Target="http://twitter.com/Mark_Bloomfield/statuses/1520905593183260674" TargetMode="External"/><Relationship Id="rId2088" Type="http://schemas.openxmlformats.org/officeDocument/2006/relationships/hyperlink" Target="http://twitter.com/ianvward/statuses/1521035735700283400" TargetMode="External"/><Relationship Id="rId5111" Type="http://schemas.openxmlformats.org/officeDocument/2006/relationships/hyperlink" Target="http://pbs.twimg.com/profile_images/1347643535445663751/enrobbXb_normal.jpg" TargetMode="External"/><Relationship Id="rId2089" Type="http://schemas.openxmlformats.org/officeDocument/2006/relationships/hyperlink" Target="http://pbs.twimg.com/profile_images/1511016518548529154/S55TUC4t_normal.png" TargetMode="External"/><Relationship Id="rId5116" Type="http://schemas.openxmlformats.org/officeDocument/2006/relationships/hyperlink" Target="http://twitter.com/PeterWi19446290/statuses/1520905340669378566" TargetMode="External"/><Relationship Id="rId5117" Type="http://schemas.openxmlformats.org/officeDocument/2006/relationships/hyperlink" Target="http://pbs.twimg.com/profile_images/1441222866264076290/9vscQIak_normal.jpg" TargetMode="External"/><Relationship Id="rId5114" Type="http://schemas.openxmlformats.org/officeDocument/2006/relationships/hyperlink" Target="http://twitter.com/PeterWi19446290/statuses/1520905373628219392" TargetMode="External"/><Relationship Id="rId5115" Type="http://schemas.openxmlformats.org/officeDocument/2006/relationships/hyperlink" Target="http://pbs.twimg.com/profile_images/1511749810558283786/GvJQ26xM_normal.jpg" TargetMode="External"/><Relationship Id="rId5109" Type="http://schemas.openxmlformats.org/officeDocument/2006/relationships/hyperlink" Target="http://pbs.twimg.com/profile_images/1231476277372170240/C2p9azfk_normal.jpg" TargetMode="External"/><Relationship Id="rId5107" Type="http://schemas.openxmlformats.org/officeDocument/2006/relationships/hyperlink" Target="http://pbs.twimg.com/profile_images/1231014543276548097/noLO_iqE_normal.jpg" TargetMode="External"/><Relationship Id="rId5108" Type="http://schemas.openxmlformats.org/officeDocument/2006/relationships/hyperlink" Target="http://twitter.com/therealkaz01/statuses/1520905694291152901" TargetMode="External"/><Relationship Id="rId2070" Type="http://schemas.openxmlformats.org/officeDocument/2006/relationships/hyperlink" Target="http://twitter.com/KarenJu62258050/statuses/1521036037153247234" TargetMode="External"/><Relationship Id="rId2071" Type="http://schemas.openxmlformats.org/officeDocument/2006/relationships/hyperlink" Target="http://abs.twimg.com/sticky/default_profile_images/default_profile_normal.png" TargetMode="External"/><Relationship Id="rId2072" Type="http://schemas.openxmlformats.org/officeDocument/2006/relationships/hyperlink" Target="http://twitter.com/Izzy92651441/statuses/1521036029301514241" TargetMode="External"/><Relationship Id="rId2073" Type="http://schemas.openxmlformats.org/officeDocument/2006/relationships/hyperlink" Target="http://pbs.twimg.com/profile_images/740563042115723265/zuZJ4ym-_normal.jpg" TargetMode="External"/><Relationship Id="rId2074" Type="http://schemas.openxmlformats.org/officeDocument/2006/relationships/hyperlink" Target="http://twitter.com/zidanesboots/statuses/1521035969817948160" TargetMode="External"/><Relationship Id="rId5101" Type="http://schemas.openxmlformats.org/officeDocument/2006/relationships/hyperlink" Target="http://pbs.twimg.com/profile_images/1459245859300913155/IQnky-bO_normal.jpg" TargetMode="External"/><Relationship Id="rId2075" Type="http://schemas.openxmlformats.org/officeDocument/2006/relationships/hyperlink" Target="http://pbs.twimg.com/profile_images/1506338804726177795/_7wKQ7FX_normal.png" TargetMode="External"/><Relationship Id="rId5102" Type="http://schemas.openxmlformats.org/officeDocument/2006/relationships/hyperlink" Target="http://twitter.com/Mike_NE25/statuses/1520905825589604352" TargetMode="External"/><Relationship Id="rId2076" Type="http://schemas.openxmlformats.org/officeDocument/2006/relationships/hyperlink" Target="http://twitter.com/Tonytg806/statuses/1521035954991030273" TargetMode="External"/><Relationship Id="rId2077" Type="http://schemas.openxmlformats.org/officeDocument/2006/relationships/hyperlink" Target="http://pbs.twimg.com/profile_images/859189618155106304/ric6uR2G_normal.jpg" TargetMode="External"/><Relationship Id="rId5100" Type="http://schemas.openxmlformats.org/officeDocument/2006/relationships/hyperlink" Target="http://twitter.com/OthelloFloof/statuses/1520905827460292615" TargetMode="External"/><Relationship Id="rId2078" Type="http://schemas.openxmlformats.org/officeDocument/2006/relationships/hyperlink" Target="http://twitter.com/SamanthaOdessa/statuses/1521035952315154432" TargetMode="External"/><Relationship Id="rId5105" Type="http://schemas.openxmlformats.org/officeDocument/2006/relationships/hyperlink" Target="http://pbs.twimg.com/profile_images/1176018045904535552/42YZ3fZG_normal.jpg" TargetMode="External"/><Relationship Id="rId2079" Type="http://schemas.openxmlformats.org/officeDocument/2006/relationships/hyperlink" Target="http://abs.twimg.com/sticky/default_profile_images/default_profile_normal.png" TargetMode="External"/><Relationship Id="rId5106" Type="http://schemas.openxmlformats.org/officeDocument/2006/relationships/hyperlink" Target="http://twitter.com/OthelloFloof/statuses/1520905701157126146" TargetMode="External"/><Relationship Id="rId5103" Type="http://schemas.openxmlformats.org/officeDocument/2006/relationships/hyperlink" Target="http://pbs.twimg.com/profile_images/1231014543276548097/noLO_iqE_normal.jpg" TargetMode="External"/><Relationship Id="rId5104" Type="http://schemas.openxmlformats.org/officeDocument/2006/relationships/hyperlink" Target="http://twitter.com/therealkaz01/statuses/1520905809839935488" TargetMode="External"/><Relationship Id="rId2940" Type="http://schemas.openxmlformats.org/officeDocument/2006/relationships/hyperlink" Target="http://twitter.com/pancakeson/statuses/1521020334450819072" TargetMode="External"/><Relationship Id="rId1610" Type="http://schemas.openxmlformats.org/officeDocument/2006/relationships/hyperlink" Target="http://twitter.com/swanseagds/statuses/1521044279896023040" TargetMode="External"/><Relationship Id="rId2941" Type="http://schemas.openxmlformats.org/officeDocument/2006/relationships/hyperlink" Target="http://pbs.twimg.com/profile_images/1066408206954582021/RaKE_iFB_normal.jpg" TargetMode="External"/><Relationship Id="rId1611" Type="http://schemas.openxmlformats.org/officeDocument/2006/relationships/hyperlink" Target="http://pbs.twimg.com/profile_images/1266325372628545543/iPvaKOR3_normal.jpg" TargetMode="External"/><Relationship Id="rId2942" Type="http://schemas.openxmlformats.org/officeDocument/2006/relationships/hyperlink" Target="http://twitter.com/philiparrogers/statuses/1521020268159942656" TargetMode="External"/><Relationship Id="rId1612" Type="http://schemas.openxmlformats.org/officeDocument/2006/relationships/hyperlink" Target="http://twitter.com/Chris_Hix/statuses/1521044279820439553" TargetMode="External"/><Relationship Id="rId2943" Type="http://schemas.openxmlformats.org/officeDocument/2006/relationships/hyperlink" Target="http://pbs.twimg.com/profile_images/2542750339/windmill3_normal.gif" TargetMode="External"/><Relationship Id="rId1613" Type="http://schemas.openxmlformats.org/officeDocument/2006/relationships/hyperlink" Target="http://pbs.twimg.com/profile_images/1480148599791042564/RRlo-_zF_normal.jpg" TargetMode="External"/><Relationship Id="rId2944" Type="http://schemas.openxmlformats.org/officeDocument/2006/relationships/hyperlink" Target="http://twitter.com/VanDutchmanXXX/statuses/1521020110986743808" TargetMode="External"/><Relationship Id="rId1614" Type="http://schemas.openxmlformats.org/officeDocument/2006/relationships/hyperlink" Target="http://twitter.com/KarlLasis/statuses/1521044221251174400" TargetMode="External"/><Relationship Id="rId2945" Type="http://schemas.openxmlformats.org/officeDocument/2006/relationships/hyperlink" Target="http://pbs.twimg.com/profile_images/378800000753851774/0a74092018c55d99f137a9df8eb87d1f_normal.jpeg" TargetMode="External"/><Relationship Id="rId1615" Type="http://schemas.openxmlformats.org/officeDocument/2006/relationships/hyperlink" Target="http://pbs.twimg.com/profile_images/1434443984303181824/TMfnHe2r_normal.jpg" TargetMode="External"/><Relationship Id="rId2946" Type="http://schemas.openxmlformats.org/officeDocument/2006/relationships/hyperlink" Target="http://twitter.com/cbreretonartist/statuses/1521020100534538241" TargetMode="External"/><Relationship Id="rId1616" Type="http://schemas.openxmlformats.org/officeDocument/2006/relationships/hyperlink" Target="http://twitter.com/100_maincove/statuses/1521044219867054080" TargetMode="External"/><Relationship Id="rId2947" Type="http://schemas.openxmlformats.org/officeDocument/2006/relationships/hyperlink" Target="http://pbs.twimg.com/profile_images/783569600826974208/uyy1zaPL_normal.jpg" TargetMode="External"/><Relationship Id="rId907" Type="http://schemas.openxmlformats.org/officeDocument/2006/relationships/hyperlink" Target="http://pbs.twimg.com/profile_images/622341406984679424/xyScQHNz_normal.png" TargetMode="External"/><Relationship Id="rId1617" Type="http://schemas.openxmlformats.org/officeDocument/2006/relationships/hyperlink" Target="http://pbs.twimg.com/profile_images/1156914863148556288/yk9ilRnx_normal.jpg" TargetMode="External"/><Relationship Id="rId2948" Type="http://schemas.openxmlformats.org/officeDocument/2006/relationships/hyperlink" Target="http://twitter.com/New4aDay/statuses/1521019896225796096" TargetMode="External"/><Relationship Id="rId906" Type="http://schemas.openxmlformats.org/officeDocument/2006/relationships/hyperlink" Target="http://twitter.com/objectsmith/statuses/1521056170382921728" TargetMode="External"/><Relationship Id="rId1618" Type="http://schemas.openxmlformats.org/officeDocument/2006/relationships/hyperlink" Target="http://twitter.com/JWils60/statuses/1521044153555107840" TargetMode="External"/><Relationship Id="rId2949" Type="http://schemas.openxmlformats.org/officeDocument/2006/relationships/hyperlink" Target="http://pbs.twimg.com/profile_images/1059147573808783362/AR0amWgB_normal.jpg" TargetMode="External"/><Relationship Id="rId905" Type="http://schemas.openxmlformats.org/officeDocument/2006/relationships/hyperlink" Target="http://pbs.twimg.com/profile_images/857994932472164352/69-vkcsx_normal.jpg" TargetMode="External"/><Relationship Id="rId1619" Type="http://schemas.openxmlformats.org/officeDocument/2006/relationships/hyperlink" Target="http://pbs.twimg.com/profile_images/1425966337873092613/0LblHghu_normal.jpg" TargetMode="External"/><Relationship Id="rId904" Type="http://schemas.openxmlformats.org/officeDocument/2006/relationships/hyperlink" Target="http://twitter.com/NaturalMessiah/statuses/1521056243749695488" TargetMode="External"/><Relationship Id="rId909" Type="http://schemas.openxmlformats.org/officeDocument/2006/relationships/hyperlink" Target="http://pbs.twimg.com/profile_images/518083022051368962/T1ohmZW2_normal.jpeg" TargetMode="External"/><Relationship Id="rId908" Type="http://schemas.openxmlformats.org/officeDocument/2006/relationships/hyperlink" Target="http://twitter.com/SallyFereday/statuses/1521056159653892096" TargetMode="External"/><Relationship Id="rId903" Type="http://schemas.openxmlformats.org/officeDocument/2006/relationships/hyperlink" Target="http://pbs.twimg.com/profile_images/1515374077455777794/vgpz-fxU_normal.jpg" TargetMode="External"/><Relationship Id="rId902" Type="http://schemas.openxmlformats.org/officeDocument/2006/relationships/hyperlink" Target="http://twitter.com/BedlingtonJamie/statuses/1521056271708966912" TargetMode="External"/><Relationship Id="rId901" Type="http://schemas.openxmlformats.org/officeDocument/2006/relationships/hyperlink" Target="http://pbs.twimg.com/profile_images/1496066948584587266/Vj6GUUnG_normal.jpg" TargetMode="External"/><Relationship Id="rId900" Type="http://schemas.openxmlformats.org/officeDocument/2006/relationships/hyperlink" Target="http://twitter.com/magicdmw/statuses/1521056277396344832" TargetMode="External"/><Relationship Id="rId2930" Type="http://schemas.openxmlformats.org/officeDocument/2006/relationships/hyperlink" Target="http://twitter.com/PostgateJRD/statuses/1521020472623874048" TargetMode="External"/><Relationship Id="rId1600" Type="http://schemas.openxmlformats.org/officeDocument/2006/relationships/hyperlink" Target="http://twitter.com/south_n_sunny/statuses/1521044357440327682" TargetMode="External"/><Relationship Id="rId2931" Type="http://schemas.openxmlformats.org/officeDocument/2006/relationships/hyperlink" Target="http://pbs.twimg.com/profile_images/823590341098045440/_KnSOqm1_normal.jpg" TargetMode="External"/><Relationship Id="rId1601" Type="http://schemas.openxmlformats.org/officeDocument/2006/relationships/hyperlink" Target="http://pbs.twimg.com/profile_images/845583063077793792/iYYdfBuK_normal.jpg" TargetMode="External"/><Relationship Id="rId2932" Type="http://schemas.openxmlformats.org/officeDocument/2006/relationships/hyperlink" Target="http://twitter.com/EURACTIV/statuses/1521020414595682304" TargetMode="External"/><Relationship Id="rId1602" Type="http://schemas.openxmlformats.org/officeDocument/2006/relationships/hyperlink" Target="http://twitter.com/51TJK/statuses/1521044343917887488" TargetMode="External"/><Relationship Id="rId2933" Type="http://schemas.openxmlformats.org/officeDocument/2006/relationships/hyperlink" Target="http://pbs.twimg.com/profile_images/1515226446972788738/dFsazVuB_normal.jpg" TargetMode="External"/><Relationship Id="rId1603" Type="http://schemas.openxmlformats.org/officeDocument/2006/relationships/hyperlink" Target="http://pbs.twimg.com/profile_images/1296862042813538304/E67HnanF_normal.jpg" TargetMode="External"/><Relationship Id="rId2934" Type="http://schemas.openxmlformats.org/officeDocument/2006/relationships/hyperlink" Target="http://twitter.com/GilhamColin/statuses/1521020373118205953" TargetMode="External"/><Relationship Id="rId1604" Type="http://schemas.openxmlformats.org/officeDocument/2006/relationships/hyperlink" Target="http://twitter.com/OudeLady/statuses/1521044342168858624" TargetMode="External"/><Relationship Id="rId2935" Type="http://schemas.openxmlformats.org/officeDocument/2006/relationships/hyperlink" Target="http://pbs.twimg.com/profile_images/1351227238449098755/0k8fESYn_normal.jpg" TargetMode="External"/><Relationship Id="rId1605" Type="http://schemas.openxmlformats.org/officeDocument/2006/relationships/hyperlink" Target="http://pbs.twimg.com/profile_images/1306320915035312130/oZRi-hii_normal.jpg" TargetMode="External"/><Relationship Id="rId2936" Type="http://schemas.openxmlformats.org/officeDocument/2006/relationships/hyperlink" Target="http://twitter.com/MJJSeagull/statuses/1521020356860985346" TargetMode="External"/><Relationship Id="rId1606" Type="http://schemas.openxmlformats.org/officeDocument/2006/relationships/hyperlink" Target="http://twitter.com/SebFinknottle/statuses/1521044284497178626" TargetMode="External"/><Relationship Id="rId2937" Type="http://schemas.openxmlformats.org/officeDocument/2006/relationships/hyperlink" Target="http://abs.twimg.com/sticky/default_profile_images/default_profile_normal.png" TargetMode="External"/><Relationship Id="rId1607" Type="http://schemas.openxmlformats.org/officeDocument/2006/relationships/hyperlink" Target="http://pbs.twimg.com/profile_images/1296862042813538304/E67HnanF_normal.jpg" TargetMode="External"/><Relationship Id="rId2938" Type="http://schemas.openxmlformats.org/officeDocument/2006/relationships/hyperlink" Target="http://twitter.com/huxleyisland/statuses/1521020342940188673" TargetMode="External"/><Relationship Id="rId1608" Type="http://schemas.openxmlformats.org/officeDocument/2006/relationships/hyperlink" Target="http://twitter.com/OudeLady/statuses/1521044280999043073" TargetMode="External"/><Relationship Id="rId2939" Type="http://schemas.openxmlformats.org/officeDocument/2006/relationships/hyperlink" Target="http://abs.twimg.com/sticky/default_profile_images/default_profile_normal.png" TargetMode="External"/><Relationship Id="rId1609" Type="http://schemas.openxmlformats.org/officeDocument/2006/relationships/hyperlink" Target="http://pbs.twimg.com/profile_images/790685827630333952/gs8gtjjm_normal.jpg" TargetMode="External"/><Relationship Id="rId1631" Type="http://schemas.openxmlformats.org/officeDocument/2006/relationships/hyperlink" Target="http://pbs.twimg.com/profile_images/1345696967234613248/C4SiwHMh_normal.jpg" TargetMode="External"/><Relationship Id="rId2962" Type="http://schemas.openxmlformats.org/officeDocument/2006/relationships/hyperlink" Target="http://twitter.com/New4aDay/statuses/1521019669943099393" TargetMode="External"/><Relationship Id="rId1632" Type="http://schemas.openxmlformats.org/officeDocument/2006/relationships/hyperlink" Target="http://twitter.com/swishthedragon/statuses/1521043642173083648" TargetMode="External"/><Relationship Id="rId2963" Type="http://schemas.openxmlformats.org/officeDocument/2006/relationships/hyperlink" Target="http://pbs.twimg.com/profile_images/685481151344062464/R0JCUp0g_normal.jpg" TargetMode="External"/><Relationship Id="rId1633" Type="http://schemas.openxmlformats.org/officeDocument/2006/relationships/hyperlink" Target="http://pbs.twimg.com/profile_images/1345417106167357447/m323Pjzm_normal.jpg" TargetMode="External"/><Relationship Id="rId2964" Type="http://schemas.openxmlformats.org/officeDocument/2006/relationships/hyperlink" Target="http://twitter.com/turbograndad65/statuses/1521019648099205120" TargetMode="External"/><Relationship Id="rId1634" Type="http://schemas.openxmlformats.org/officeDocument/2006/relationships/hyperlink" Target="http://twitter.com/revscott6/statuses/1521043594676736001" TargetMode="External"/><Relationship Id="rId2965" Type="http://schemas.openxmlformats.org/officeDocument/2006/relationships/hyperlink" Target="http://pbs.twimg.com/profile_images/1302286357264564225/PRiVC9QF_normal.jpg" TargetMode="External"/><Relationship Id="rId1635" Type="http://schemas.openxmlformats.org/officeDocument/2006/relationships/hyperlink" Target="http://abs.twimg.com/sticky/default_profile_images/default_profile_normal.png" TargetMode="External"/><Relationship Id="rId2966" Type="http://schemas.openxmlformats.org/officeDocument/2006/relationships/hyperlink" Target="http://twitter.com/Margare27402360/statuses/1521019616306335745" TargetMode="External"/><Relationship Id="rId1636" Type="http://schemas.openxmlformats.org/officeDocument/2006/relationships/hyperlink" Target="http://twitter.com/TaskerDavid/statuses/1521043575101968384" TargetMode="External"/><Relationship Id="rId2967" Type="http://schemas.openxmlformats.org/officeDocument/2006/relationships/hyperlink" Target="http://pbs.twimg.com/profile_images/615828077768232960/9ZhzrOoc_normal.jpg" TargetMode="External"/><Relationship Id="rId1637" Type="http://schemas.openxmlformats.org/officeDocument/2006/relationships/hyperlink" Target="http://abs.twimg.com/sticky/default_profile_images/default_profile_normal.png" TargetMode="External"/><Relationship Id="rId2968" Type="http://schemas.openxmlformats.org/officeDocument/2006/relationships/hyperlink" Target="http://twitter.com/paulstapleton8/statuses/1521019612485328896" TargetMode="External"/><Relationship Id="rId1638" Type="http://schemas.openxmlformats.org/officeDocument/2006/relationships/hyperlink" Target="http://twitter.com/SuePayn40820522/statuses/1521043538267586561" TargetMode="External"/><Relationship Id="rId2969" Type="http://schemas.openxmlformats.org/officeDocument/2006/relationships/hyperlink" Target="http://abs.twimg.com/sticky/default_profile_images/default_profile_normal.png" TargetMode="External"/><Relationship Id="rId929" Type="http://schemas.openxmlformats.org/officeDocument/2006/relationships/hyperlink" Target="http://pbs.twimg.com/profile_images/1506239366125047815/qUV_vjnn_normal.jpg" TargetMode="External"/><Relationship Id="rId1639" Type="http://schemas.openxmlformats.org/officeDocument/2006/relationships/hyperlink" Target="http://pbs.twimg.com/profile_images/1441424933465116672/Ik2hcfzL_normal.png" TargetMode="External"/><Relationship Id="rId928" Type="http://schemas.openxmlformats.org/officeDocument/2006/relationships/hyperlink" Target="http://twitter.com/KenAnderson01/statuses/1521055870909571073" TargetMode="External"/><Relationship Id="rId927" Type="http://schemas.openxmlformats.org/officeDocument/2006/relationships/hyperlink" Target="http://pbs.twimg.com/profile_images/647210858720923648/K1mA5zSf_normal.jpg" TargetMode="External"/><Relationship Id="rId926" Type="http://schemas.openxmlformats.org/officeDocument/2006/relationships/hyperlink" Target="http://twitter.com/RoderickOwenBa1/statuses/1521055898688528384" TargetMode="External"/><Relationship Id="rId921" Type="http://schemas.openxmlformats.org/officeDocument/2006/relationships/hyperlink" Target="http://pbs.twimg.com/profile_images/1496768431034617857/dR4lOzzA_normal.jpg" TargetMode="External"/><Relationship Id="rId920" Type="http://schemas.openxmlformats.org/officeDocument/2006/relationships/hyperlink" Target="http://twitter.com/TomFriang/statuses/1521055967001165824" TargetMode="External"/><Relationship Id="rId925" Type="http://schemas.openxmlformats.org/officeDocument/2006/relationships/hyperlink" Target="http://pbs.twimg.com/profile_images/1437700546220208129/J-K3rDNT_normal.png" TargetMode="External"/><Relationship Id="rId924" Type="http://schemas.openxmlformats.org/officeDocument/2006/relationships/hyperlink" Target="http://twitter.com/shaun_smith99/statuses/1521055938794373121" TargetMode="External"/><Relationship Id="rId923" Type="http://schemas.openxmlformats.org/officeDocument/2006/relationships/hyperlink" Target="http://pbs.twimg.com/profile_images/703969302597214208/b4Pkr5E-_normal.jpg" TargetMode="External"/><Relationship Id="rId922" Type="http://schemas.openxmlformats.org/officeDocument/2006/relationships/hyperlink" Target="http://twitter.com/jan1mal/statuses/1521055941462011905" TargetMode="External"/><Relationship Id="rId2960" Type="http://schemas.openxmlformats.org/officeDocument/2006/relationships/hyperlink" Target="http://twitter.com/New4aDay/statuses/1521019762184179712" TargetMode="External"/><Relationship Id="rId1630" Type="http://schemas.openxmlformats.org/officeDocument/2006/relationships/hyperlink" Target="http://twitter.com/swanseagds/statuses/1521043648481267714" TargetMode="External"/><Relationship Id="rId2961" Type="http://schemas.openxmlformats.org/officeDocument/2006/relationships/hyperlink" Target="http://pbs.twimg.com/profile_images/783569600826974208/uyy1zaPL_normal.jpg" TargetMode="External"/><Relationship Id="rId1620" Type="http://schemas.openxmlformats.org/officeDocument/2006/relationships/hyperlink" Target="http://twitter.com/Louisamcdonal12/statuses/1521043953793052672" TargetMode="External"/><Relationship Id="rId2951" Type="http://schemas.openxmlformats.org/officeDocument/2006/relationships/hyperlink" Target="http://pbs.twimg.com/profile_images/1486400183059505152/y-l8_avR_normal.jpg" TargetMode="External"/><Relationship Id="rId1621" Type="http://schemas.openxmlformats.org/officeDocument/2006/relationships/hyperlink" Target="http://pbs.twimg.com/profile_images/988741477550436352/eAE3suwB_normal.jpg" TargetMode="External"/><Relationship Id="rId2952" Type="http://schemas.openxmlformats.org/officeDocument/2006/relationships/hyperlink" Target="http://twitter.com/jayneinspain/statuses/1521019839774666752" TargetMode="External"/><Relationship Id="rId1622" Type="http://schemas.openxmlformats.org/officeDocument/2006/relationships/hyperlink" Target="http://twitter.com/reesprescribe/statuses/1521043892799520768" TargetMode="External"/><Relationship Id="rId2953" Type="http://schemas.openxmlformats.org/officeDocument/2006/relationships/hyperlink" Target="http://pbs.twimg.com/profile_images/783569600826974208/uyy1zaPL_normal.jpg" TargetMode="External"/><Relationship Id="rId1623" Type="http://schemas.openxmlformats.org/officeDocument/2006/relationships/hyperlink" Target="http://pbs.twimg.com/profile_images/491957614222512129/E_-TCXpI_normal.jpeg" TargetMode="External"/><Relationship Id="rId2954" Type="http://schemas.openxmlformats.org/officeDocument/2006/relationships/hyperlink" Target="http://twitter.com/New4aDay/statuses/1521019828949200896" TargetMode="External"/><Relationship Id="rId1624" Type="http://schemas.openxmlformats.org/officeDocument/2006/relationships/hyperlink" Target="http://twitter.com/frostyinfinity/statuses/1521043781000306690" TargetMode="External"/><Relationship Id="rId2955" Type="http://schemas.openxmlformats.org/officeDocument/2006/relationships/hyperlink" Target="http://pbs.twimg.com/profile_images/112254235/me_normal.jpg" TargetMode="External"/><Relationship Id="rId1625" Type="http://schemas.openxmlformats.org/officeDocument/2006/relationships/hyperlink" Target="http://pbs.twimg.com/profile_images/1517579013857947649/JYJqq2q1_normal.jpg" TargetMode="External"/><Relationship Id="rId2956" Type="http://schemas.openxmlformats.org/officeDocument/2006/relationships/hyperlink" Target="http://twitter.com/velmadoo/statuses/1521019807377764352" TargetMode="External"/><Relationship Id="rId1626" Type="http://schemas.openxmlformats.org/officeDocument/2006/relationships/hyperlink" Target="http://twitter.com/LoveLife_UK/statuses/1521043667544334336" TargetMode="External"/><Relationship Id="rId2957" Type="http://schemas.openxmlformats.org/officeDocument/2006/relationships/hyperlink" Target="http://pbs.twimg.com/profile_images/1141705492/ali_normal.jpg" TargetMode="External"/><Relationship Id="rId1627" Type="http://schemas.openxmlformats.org/officeDocument/2006/relationships/hyperlink" Target="http://pbs.twimg.com/profile_images/1170713497526816773/m16yBYLU_normal.jpg" TargetMode="External"/><Relationship Id="rId2958" Type="http://schemas.openxmlformats.org/officeDocument/2006/relationships/hyperlink" Target="http://twitter.com/alisonrphillips/statuses/1521019786179887105" TargetMode="External"/><Relationship Id="rId918" Type="http://schemas.openxmlformats.org/officeDocument/2006/relationships/hyperlink" Target="http://twitter.com/VanDutchmanXXX/statuses/1521055996923289601" TargetMode="External"/><Relationship Id="rId1628" Type="http://schemas.openxmlformats.org/officeDocument/2006/relationships/hyperlink" Target="http://twitter.com/YBrexiteer/statuses/1521043659432632322" TargetMode="External"/><Relationship Id="rId2959" Type="http://schemas.openxmlformats.org/officeDocument/2006/relationships/hyperlink" Target="http://pbs.twimg.com/profile_images/783569600826974208/uyy1zaPL_normal.jpg" TargetMode="External"/><Relationship Id="rId917" Type="http://schemas.openxmlformats.org/officeDocument/2006/relationships/hyperlink" Target="http://pbs.twimg.com/profile_images/2542750339/windmill3_normal.gif" TargetMode="External"/><Relationship Id="rId1629" Type="http://schemas.openxmlformats.org/officeDocument/2006/relationships/hyperlink" Target="http://pbs.twimg.com/profile_images/790685827630333952/gs8gtjjm_normal.jpg" TargetMode="External"/><Relationship Id="rId916" Type="http://schemas.openxmlformats.org/officeDocument/2006/relationships/hyperlink" Target="http://twitter.com/jan1mal/statuses/1521056022324031488" TargetMode="External"/><Relationship Id="rId915" Type="http://schemas.openxmlformats.org/officeDocument/2006/relationships/hyperlink" Target="http://pbs.twimg.com/profile_images/1496768431034617857/dR4lOzzA_normal.jpg" TargetMode="External"/><Relationship Id="rId919" Type="http://schemas.openxmlformats.org/officeDocument/2006/relationships/hyperlink" Target="http://pbs.twimg.com/profile_images/1507101161177948162/96BIsZQk_normal.jpg" TargetMode="External"/><Relationship Id="rId910" Type="http://schemas.openxmlformats.org/officeDocument/2006/relationships/hyperlink" Target="http://twitter.com/stuartfmckee1/statuses/1521056133884088321" TargetMode="External"/><Relationship Id="rId914" Type="http://schemas.openxmlformats.org/officeDocument/2006/relationships/hyperlink" Target="http://twitter.com/UnpubWrites/statuses/1521056030309945344" TargetMode="External"/><Relationship Id="rId913" Type="http://schemas.openxmlformats.org/officeDocument/2006/relationships/hyperlink" Target="http://pbs.twimg.com/profile_images/1850241420/Copy_of_avon_street_normal.JPG" TargetMode="External"/><Relationship Id="rId912" Type="http://schemas.openxmlformats.org/officeDocument/2006/relationships/hyperlink" Target="http://twitter.com/jamespfeffer/statuses/1521056105199292416" TargetMode="External"/><Relationship Id="rId911" Type="http://schemas.openxmlformats.org/officeDocument/2006/relationships/hyperlink" Target="http://pbs.twimg.com/profile_images/1297744995198410754/6_gnqt5L_normal.jpg" TargetMode="External"/><Relationship Id="rId2950" Type="http://schemas.openxmlformats.org/officeDocument/2006/relationships/hyperlink" Target="http://twitter.com/Davej3ffs/statuses/1521019890018177024" TargetMode="External"/><Relationship Id="rId2900" Type="http://schemas.openxmlformats.org/officeDocument/2006/relationships/hyperlink" Target="http://twitter.com/PapaFrew/statuses/1521021582604488706" TargetMode="External"/><Relationship Id="rId2901" Type="http://schemas.openxmlformats.org/officeDocument/2006/relationships/hyperlink" Target="http://abs.twimg.com/sticky/default_profile_images/default_profile_normal.png" TargetMode="External"/><Relationship Id="rId2902" Type="http://schemas.openxmlformats.org/officeDocument/2006/relationships/hyperlink" Target="http://twitter.com/pelargonium2/statuses/1521021496726020096" TargetMode="External"/><Relationship Id="rId2903" Type="http://schemas.openxmlformats.org/officeDocument/2006/relationships/hyperlink" Target="http://abs.twimg.com/sticky/default_profile_images/default_profile_normal.png" TargetMode="External"/><Relationship Id="rId2904" Type="http://schemas.openxmlformats.org/officeDocument/2006/relationships/hyperlink" Target="http://twitter.com/pelargonium2/statuses/1521021379755315202" TargetMode="External"/><Relationship Id="rId2905" Type="http://schemas.openxmlformats.org/officeDocument/2006/relationships/hyperlink" Target="http://pbs.twimg.com/profile_images/1330069745677328385/exJ3iPca_normal.jpg" TargetMode="External"/><Relationship Id="rId2906" Type="http://schemas.openxmlformats.org/officeDocument/2006/relationships/hyperlink" Target="http://twitter.com/winter_greg/statuses/1521021374487306241" TargetMode="External"/><Relationship Id="rId2907" Type="http://schemas.openxmlformats.org/officeDocument/2006/relationships/hyperlink" Target="http://pbs.twimg.com/profile_images/1477281448/Pics_7.5.11_001_normal.jpg" TargetMode="External"/><Relationship Id="rId2908" Type="http://schemas.openxmlformats.org/officeDocument/2006/relationships/hyperlink" Target="http://twitter.com/fionn114/statuses/1521021372868218880" TargetMode="External"/><Relationship Id="rId2909" Type="http://schemas.openxmlformats.org/officeDocument/2006/relationships/hyperlink" Target="http://pbs.twimg.com/profile_images/1037424551158792192/2kvxZjKf_normal.jpg" TargetMode="External"/><Relationship Id="rId5170" Type="http://schemas.openxmlformats.org/officeDocument/2006/relationships/hyperlink" Target="http://twitter.com/DjokoD/statuses/1520903315550347264" TargetMode="External"/><Relationship Id="rId5171" Type="http://schemas.openxmlformats.org/officeDocument/2006/relationships/hyperlink" Target="http://pbs.twimg.com/profile_images/1417705101/Willy_Party_Forks_normal.jpg" TargetMode="External"/><Relationship Id="rId5174" Type="http://schemas.openxmlformats.org/officeDocument/2006/relationships/hyperlink" Target="http://twitter.com/robeagleSS/statuses/1520903251931115521" TargetMode="External"/><Relationship Id="rId5175" Type="http://schemas.openxmlformats.org/officeDocument/2006/relationships/hyperlink" Target="http://pbs.twimg.com/profile_images/814949156364156929/jcdPvw_M_normal.jpg" TargetMode="External"/><Relationship Id="rId5172" Type="http://schemas.openxmlformats.org/officeDocument/2006/relationships/hyperlink" Target="http://twitter.com/missmarylikes/statuses/1520903299444224002" TargetMode="External"/><Relationship Id="rId5173" Type="http://schemas.openxmlformats.org/officeDocument/2006/relationships/hyperlink" Target="http://pbs.twimg.com/profile_images/1136567070206898180/YPRMbhj0_normal.jpg" TargetMode="External"/><Relationship Id="rId5178" Type="http://schemas.openxmlformats.org/officeDocument/2006/relationships/hyperlink" Target="http://twitter.com/solutionistAl/statuses/1520902953649025025" TargetMode="External"/><Relationship Id="rId5179" Type="http://schemas.openxmlformats.org/officeDocument/2006/relationships/hyperlink" Target="http://pbs.twimg.com/profile_images/1404587678574825472/I9PGsrSn_normal.jpg" TargetMode="External"/><Relationship Id="rId5176" Type="http://schemas.openxmlformats.org/officeDocument/2006/relationships/hyperlink" Target="http://twitter.com/SAdefiranye/statuses/1520903190132277248" TargetMode="External"/><Relationship Id="rId5177" Type="http://schemas.openxmlformats.org/officeDocument/2006/relationships/hyperlink" Target="http://pbs.twimg.com/profile_images/1246701766894329857/FeCO0dK__normal.jpg" TargetMode="External"/><Relationship Id="rId5160" Type="http://schemas.openxmlformats.org/officeDocument/2006/relationships/hyperlink" Target="http://twitter.com/JasmineIshika/statuses/1520903688432365569" TargetMode="External"/><Relationship Id="rId5163" Type="http://schemas.openxmlformats.org/officeDocument/2006/relationships/hyperlink" Target="http://pbs.twimg.com/profile_images/378800000371645203/7be272e1756cea222dce68757fc0ee2d_normal.jpeg" TargetMode="External"/><Relationship Id="rId5164" Type="http://schemas.openxmlformats.org/officeDocument/2006/relationships/hyperlink" Target="http://twitter.com/PedalTrill/statuses/1520903407552569344" TargetMode="External"/><Relationship Id="rId5161" Type="http://schemas.openxmlformats.org/officeDocument/2006/relationships/hyperlink" Target="http://pbs.twimg.com/profile_images/378800000354356513/eb26ebc78660378254e2886596693f13_normal.jpeg" TargetMode="External"/><Relationship Id="rId5162" Type="http://schemas.openxmlformats.org/officeDocument/2006/relationships/hyperlink" Target="http://twitter.com/alex_kovaleski/statuses/1520903662083756032" TargetMode="External"/><Relationship Id="rId5167" Type="http://schemas.openxmlformats.org/officeDocument/2006/relationships/hyperlink" Target="http://pbs.twimg.com/profile_images/1135338551/Serbia2010_020_normal.JPG" TargetMode="External"/><Relationship Id="rId5168" Type="http://schemas.openxmlformats.org/officeDocument/2006/relationships/hyperlink" Target="http://twitter.com/DjokoD/statuses/1520903324702289921" TargetMode="External"/><Relationship Id="rId5165" Type="http://schemas.openxmlformats.org/officeDocument/2006/relationships/hyperlink" Target="http://pbs.twimg.com/profile_images/1135338551/Serbia2010_020_normal.JPG" TargetMode="External"/><Relationship Id="rId5166" Type="http://schemas.openxmlformats.org/officeDocument/2006/relationships/hyperlink" Target="http://twitter.com/DjokoD/statuses/1520903341248811009" TargetMode="External"/><Relationship Id="rId5169" Type="http://schemas.openxmlformats.org/officeDocument/2006/relationships/hyperlink" Target="http://pbs.twimg.com/profile_images/1135338551/Serbia2010_020_normal.JPG" TargetMode="External"/><Relationship Id="rId2920" Type="http://schemas.openxmlformats.org/officeDocument/2006/relationships/hyperlink" Target="http://twitter.com/a_protheroe/statuses/1521021064683442176" TargetMode="External"/><Relationship Id="rId2921" Type="http://schemas.openxmlformats.org/officeDocument/2006/relationships/hyperlink" Target="http://pbs.twimg.com/profile_images/1325506894295928832/QhIsOD-v_normal.jpg" TargetMode="External"/><Relationship Id="rId2922" Type="http://schemas.openxmlformats.org/officeDocument/2006/relationships/hyperlink" Target="http://twitter.com/leejone46284322/statuses/1521020880339574790" TargetMode="External"/><Relationship Id="rId2923" Type="http://schemas.openxmlformats.org/officeDocument/2006/relationships/hyperlink" Target="http://pbs.twimg.com/profile_images/1016655593006862336/ixDQBB--_normal.jpg" TargetMode="External"/><Relationship Id="rId2924" Type="http://schemas.openxmlformats.org/officeDocument/2006/relationships/hyperlink" Target="http://twitter.com/BrianMailey1/statuses/1521020791214813184" TargetMode="External"/><Relationship Id="rId2925" Type="http://schemas.openxmlformats.org/officeDocument/2006/relationships/hyperlink" Target="http://pbs.twimg.com/profile_images/491851316277555202/kPHYuVzc_normal.jpeg" TargetMode="External"/><Relationship Id="rId2926" Type="http://schemas.openxmlformats.org/officeDocument/2006/relationships/hyperlink" Target="http://twitter.com/yllekonadnerb/statuses/1521020787108585472" TargetMode="External"/><Relationship Id="rId2927" Type="http://schemas.openxmlformats.org/officeDocument/2006/relationships/hyperlink" Target="http://pbs.twimg.com/profile_images/1253752656880979969/GjTQXBDK_normal.jpg" TargetMode="External"/><Relationship Id="rId2928" Type="http://schemas.openxmlformats.org/officeDocument/2006/relationships/hyperlink" Target="http://twitter.com/ClareMortimer6/statuses/1521020533655195649" TargetMode="External"/><Relationship Id="rId2929" Type="http://schemas.openxmlformats.org/officeDocument/2006/relationships/hyperlink" Target="http://abs.twimg.com/sticky/default_profile_images/default_profile_normal.png" TargetMode="External"/><Relationship Id="rId5192" Type="http://schemas.openxmlformats.org/officeDocument/2006/relationships/hyperlink" Target="http://twitter.com/BrexitPirates/statuses/1520901968939655169" TargetMode="External"/><Relationship Id="rId5193" Type="http://schemas.openxmlformats.org/officeDocument/2006/relationships/hyperlink" Target="http://pbs.twimg.com/profile_images/1363418900298358784/vTKNpoJQ_normal.jpg" TargetMode="External"/><Relationship Id="rId5190" Type="http://schemas.openxmlformats.org/officeDocument/2006/relationships/hyperlink" Target="http://twitter.com/JonnyShiraz/statuses/1520902202767855617" TargetMode="External"/><Relationship Id="rId5191" Type="http://schemas.openxmlformats.org/officeDocument/2006/relationships/hyperlink" Target="http://pbs.twimg.com/profile_images/1466830350487887877/fK92Y94w_normal.jpg" TargetMode="External"/><Relationship Id="rId5196" Type="http://schemas.openxmlformats.org/officeDocument/2006/relationships/hyperlink" Target="http://twitter.com/alecsalt/statuses/1520901918989631489" TargetMode="External"/><Relationship Id="rId5197" Type="http://schemas.openxmlformats.org/officeDocument/2006/relationships/hyperlink" Target="http://pbs.twimg.com/profile_images/1075539269291294721/5lbiaHgz_normal.jpg" TargetMode="External"/><Relationship Id="rId5194" Type="http://schemas.openxmlformats.org/officeDocument/2006/relationships/hyperlink" Target="http://twitter.com/jet9341/statuses/1520901947267731456" TargetMode="External"/><Relationship Id="rId5195" Type="http://schemas.openxmlformats.org/officeDocument/2006/relationships/hyperlink" Target="http://pbs.twimg.com/profile_images/1458167664/134_normal.JPG" TargetMode="External"/><Relationship Id="rId5198" Type="http://schemas.openxmlformats.org/officeDocument/2006/relationships/hyperlink" Target="http://twitter.com/DCHutchings/statuses/1520901812630528000" TargetMode="External"/><Relationship Id="rId5199" Type="http://schemas.openxmlformats.org/officeDocument/2006/relationships/hyperlink" Target="http://pbs.twimg.com/profile_images/1287662198362386432/lWPgGnVj_normal.jpg" TargetMode="External"/><Relationship Id="rId2910" Type="http://schemas.openxmlformats.org/officeDocument/2006/relationships/hyperlink" Target="http://twitter.com/NuncTempus/statuses/1521021353020772352" TargetMode="External"/><Relationship Id="rId2911" Type="http://schemas.openxmlformats.org/officeDocument/2006/relationships/hyperlink" Target="http://pbs.twimg.com/profile_images/1230263674151079938/hUXVB9P9_normal.jpg" TargetMode="External"/><Relationship Id="rId2912" Type="http://schemas.openxmlformats.org/officeDocument/2006/relationships/hyperlink" Target="http://twitter.com/NigelNorman/statuses/1521021278265778182" TargetMode="External"/><Relationship Id="rId2913" Type="http://schemas.openxmlformats.org/officeDocument/2006/relationships/hyperlink" Target="http://pbs.twimg.com/profile_images/1422569969817030663/C_uGC2nK_normal.jpg" TargetMode="External"/><Relationship Id="rId2914" Type="http://schemas.openxmlformats.org/officeDocument/2006/relationships/hyperlink" Target="http://twitter.com/fransglobal/statuses/1521021152075948033" TargetMode="External"/><Relationship Id="rId2915" Type="http://schemas.openxmlformats.org/officeDocument/2006/relationships/hyperlink" Target="http://pbs.twimg.com/profile_images/678236476098879488/mN8-W-Ek_normal.jpg" TargetMode="External"/><Relationship Id="rId2916" Type="http://schemas.openxmlformats.org/officeDocument/2006/relationships/hyperlink" Target="http://twitter.com/gingerbred79/statuses/1521021139082002433" TargetMode="External"/><Relationship Id="rId2917" Type="http://schemas.openxmlformats.org/officeDocument/2006/relationships/hyperlink" Target="http://pbs.twimg.com/profile_images/678236476098879488/mN8-W-Ek_normal.jpg" TargetMode="External"/><Relationship Id="rId2918" Type="http://schemas.openxmlformats.org/officeDocument/2006/relationships/hyperlink" Target="http://twitter.com/gingerbred79/statuses/1521021109159743489" TargetMode="External"/><Relationship Id="rId2919" Type="http://schemas.openxmlformats.org/officeDocument/2006/relationships/hyperlink" Target="http://abs.twimg.com/sticky/default_profile_images/default_profile_normal.png" TargetMode="External"/><Relationship Id="rId5181" Type="http://schemas.openxmlformats.org/officeDocument/2006/relationships/hyperlink" Target="http://pbs.twimg.com/profile_images/1502100367991095310/A9ahtZ8i_normal.jpg" TargetMode="External"/><Relationship Id="rId5182" Type="http://schemas.openxmlformats.org/officeDocument/2006/relationships/hyperlink" Target="http://twitter.com/XXX1946/statuses/1520902712350711810" TargetMode="External"/><Relationship Id="rId5180" Type="http://schemas.openxmlformats.org/officeDocument/2006/relationships/hyperlink" Target="http://twitter.com/PHandwright/statuses/1520902937421262851" TargetMode="External"/><Relationship Id="rId5185" Type="http://schemas.openxmlformats.org/officeDocument/2006/relationships/hyperlink" Target="http://pbs.twimg.com/profile_images/593556979668426754/u_smrZTy_normal.jpg" TargetMode="External"/><Relationship Id="rId5186" Type="http://schemas.openxmlformats.org/officeDocument/2006/relationships/hyperlink" Target="http://twitter.com/agnesmurray32/statuses/1520902469320069122" TargetMode="External"/><Relationship Id="rId5183" Type="http://schemas.openxmlformats.org/officeDocument/2006/relationships/hyperlink" Target="http://pbs.twimg.com/profile_images/1415508969104105472/_gv9rI_9_normal.jpg" TargetMode="External"/><Relationship Id="rId5184" Type="http://schemas.openxmlformats.org/officeDocument/2006/relationships/hyperlink" Target="http://twitter.com/whataboutyehi/statuses/1520902656910262274" TargetMode="External"/><Relationship Id="rId5189" Type="http://schemas.openxmlformats.org/officeDocument/2006/relationships/hyperlink" Target="http://pbs.twimg.com/profile_images/623966524034936832/w47w8tHT_normal.jpg" TargetMode="External"/><Relationship Id="rId5187" Type="http://schemas.openxmlformats.org/officeDocument/2006/relationships/hyperlink" Target="http://pbs.twimg.com/profile_images/1498020131158605825/4chs3VnJ_normal.jpg" TargetMode="External"/><Relationship Id="rId5188" Type="http://schemas.openxmlformats.org/officeDocument/2006/relationships/hyperlink" Target="http://twitter.com/CraigTribe2/statuses/1520902447778181120" TargetMode="External"/><Relationship Id="rId1697" Type="http://schemas.openxmlformats.org/officeDocument/2006/relationships/hyperlink" Target="http://pbs.twimg.com/profile_images/1165331170504167424/0lnnRBYK_normal.jpg" TargetMode="External"/><Relationship Id="rId4723" Type="http://schemas.openxmlformats.org/officeDocument/2006/relationships/hyperlink" Target="http://pbs.twimg.com/profile_images/1496784796864987137/ORjxUSVQ_normal.jpg" TargetMode="External"/><Relationship Id="rId1698" Type="http://schemas.openxmlformats.org/officeDocument/2006/relationships/hyperlink" Target="http://twitter.com/nirobe96/statuses/1521042368874622978" TargetMode="External"/><Relationship Id="rId4722" Type="http://schemas.openxmlformats.org/officeDocument/2006/relationships/hyperlink" Target="http://twitter.com/idlersj/statuses/1520926957592264704" TargetMode="External"/><Relationship Id="rId1699" Type="http://schemas.openxmlformats.org/officeDocument/2006/relationships/hyperlink" Target="http://pbs.twimg.com/profile_images/1519759587011960836/s-yTbLuj_normal.jpg" TargetMode="External"/><Relationship Id="rId4725" Type="http://schemas.openxmlformats.org/officeDocument/2006/relationships/hyperlink" Target="http://pbs.twimg.com/profile_images/1343629207637782528/Ryusk_NY_normal.jpg" TargetMode="External"/><Relationship Id="rId4724" Type="http://schemas.openxmlformats.org/officeDocument/2006/relationships/hyperlink" Target="http://twitter.com/h1llbillies/statuses/1520926658152341504" TargetMode="External"/><Relationship Id="rId4727" Type="http://schemas.openxmlformats.org/officeDocument/2006/relationships/hyperlink" Target="http://pbs.twimg.com/profile_images/1379157311638409216/9PxchByw_normal.jpg" TargetMode="External"/><Relationship Id="rId4726" Type="http://schemas.openxmlformats.org/officeDocument/2006/relationships/hyperlink" Target="http://twitter.com/yipmann82/statuses/1520926587000082432" TargetMode="External"/><Relationship Id="rId4729" Type="http://schemas.openxmlformats.org/officeDocument/2006/relationships/hyperlink" Target="http://pbs.twimg.com/profile_images/1491086171883061252/RQly2kc1_normal.jpg" TargetMode="External"/><Relationship Id="rId4728" Type="http://schemas.openxmlformats.org/officeDocument/2006/relationships/hyperlink" Target="http://twitter.com/SobiaStellarS/statuses/1520926533870829568" TargetMode="External"/><Relationship Id="rId866" Type="http://schemas.openxmlformats.org/officeDocument/2006/relationships/hyperlink" Target="http://twitter.com/DanieleMeloni80/statuses/1521057018483818497" TargetMode="External"/><Relationship Id="rId865" Type="http://schemas.openxmlformats.org/officeDocument/2006/relationships/hyperlink" Target="http://pbs.twimg.com/profile_images/1471193346844594177/XpBJRsCl_normal.jpg" TargetMode="External"/><Relationship Id="rId864" Type="http://schemas.openxmlformats.org/officeDocument/2006/relationships/hyperlink" Target="http://twitter.com/BFinham/statuses/1521057023802159104" TargetMode="External"/><Relationship Id="rId863" Type="http://schemas.openxmlformats.org/officeDocument/2006/relationships/hyperlink" Target="http://pbs.twimg.com/profile_images/1167371951851147264/SUDruXyL_normal.jpg" TargetMode="External"/><Relationship Id="rId869" Type="http://schemas.openxmlformats.org/officeDocument/2006/relationships/hyperlink" Target="http://pbs.twimg.com/profile_images/1363270410935046145/XhkUrG8W_normal.png" TargetMode="External"/><Relationship Id="rId868" Type="http://schemas.openxmlformats.org/officeDocument/2006/relationships/hyperlink" Target="http://twitter.com/JetoxTV/statuses/1521056985369698305" TargetMode="External"/><Relationship Id="rId867" Type="http://schemas.openxmlformats.org/officeDocument/2006/relationships/hyperlink" Target="http://pbs.twimg.com/profile_images/1149407856195715077/TX5QHYPA_normal.png" TargetMode="External"/><Relationship Id="rId1690" Type="http://schemas.openxmlformats.org/officeDocument/2006/relationships/hyperlink" Target="http://twitter.com/HistoricalMe99/statuses/1521042465804980228" TargetMode="External"/><Relationship Id="rId1691" Type="http://schemas.openxmlformats.org/officeDocument/2006/relationships/hyperlink" Target="http://pbs.twimg.com/profile_images/1283133456248197123/f1KI-Yno_normal.jpg" TargetMode="External"/><Relationship Id="rId1692" Type="http://schemas.openxmlformats.org/officeDocument/2006/relationships/hyperlink" Target="http://twitter.com/ChrisDomba/statuses/1521042443931688960" TargetMode="External"/><Relationship Id="rId862" Type="http://schemas.openxmlformats.org/officeDocument/2006/relationships/hyperlink" Target="http://twitter.com/EveCollen/statuses/1521057064134578177" TargetMode="External"/><Relationship Id="rId1693" Type="http://schemas.openxmlformats.org/officeDocument/2006/relationships/hyperlink" Target="http://pbs.twimg.com/profile_images/1335702970/pg_normal.jpg" TargetMode="External"/><Relationship Id="rId861" Type="http://schemas.openxmlformats.org/officeDocument/2006/relationships/hyperlink" Target="http://abs.twimg.com/sticky/default_profile_images/default_profile_normal.png" TargetMode="External"/><Relationship Id="rId1694" Type="http://schemas.openxmlformats.org/officeDocument/2006/relationships/hyperlink" Target="http://twitter.com/glospunkgirl/statuses/1521042414730940416" TargetMode="External"/><Relationship Id="rId860" Type="http://schemas.openxmlformats.org/officeDocument/2006/relationships/hyperlink" Target="http://twitter.com/Lifelandlady/statuses/1521057068266004486" TargetMode="External"/><Relationship Id="rId1695" Type="http://schemas.openxmlformats.org/officeDocument/2006/relationships/hyperlink" Target="http://pbs.twimg.com/profile_images/584322269226336256/-IVjZOqp_normal.jpg" TargetMode="External"/><Relationship Id="rId4721" Type="http://schemas.openxmlformats.org/officeDocument/2006/relationships/hyperlink" Target="http://pbs.twimg.com/profile_images/1333879298214694912/-gPTfqKp_normal.jpg" TargetMode="External"/><Relationship Id="rId1696" Type="http://schemas.openxmlformats.org/officeDocument/2006/relationships/hyperlink" Target="http://twitter.com/grahamnaylor/statuses/1521042414504394752" TargetMode="External"/><Relationship Id="rId4720" Type="http://schemas.openxmlformats.org/officeDocument/2006/relationships/hyperlink" Target="http://twitter.com/idlersj/statuses/1520927144670797824" TargetMode="External"/><Relationship Id="rId1686" Type="http://schemas.openxmlformats.org/officeDocument/2006/relationships/hyperlink" Target="http://twitter.com/AndrewJamesMM/statuses/1521042507857022976" TargetMode="External"/><Relationship Id="rId4712" Type="http://schemas.openxmlformats.org/officeDocument/2006/relationships/hyperlink" Target="http://twitter.com/Patthedog5/statuses/1520928255259426820" TargetMode="External"/><Relationship Id="rId1687" Type="http://schemas.openxmlformats.org/officeDocument/2006/relationships/hyperlink" Target="http://pbs.twimg.com/profile_images/1448704230244630534/Q2k-GKgw_normal.jpg" TargetMode="External"/><Relationship Id="rId4711" Type="http://schemas.openxmlformats.org/officeDocument/2006/relationships/hyperlink" Target="http://abs.twimg.com/sticky/default_profile_images/default_profile_normal.png" TargetMode="External"/><Relationship Id="rId1688" Type="http://schemas.openxmlformats.org/officeDocument/2006/relationships/hyperlink" Target="http://twitter.com/joanna_nicolson/statuses/1521042475414077442" TargetMode="External"/><Relationship Id="rId4714" Type="http://schemas.openxmlformats.org/officeDocument/2006/relationships/hyperlink" Target="http://twitter.com/Jackbentwarner/statuses/1520927841168371713" TargetMode="External"/><Relationship Id="rId1689" Type="http://schemas.openxmlformats.org/officeDocument/2006/relationships/hyperlink" Target="http://pbs.twimg.com/profile_images/1187278815707455488/JaDOkt01_normal.jpg" TargetMode="External"/><Relationship Id="rId4713" Type="http://schemas.openxmlformats.org/officeDocument/2006/relationships/hyperlink" Target="http://pbs.twimg.com/profile_images/946124966533173249/Ij-9M2m6_normal.jpg" TargetMode="External"/><Relationship Id="rId4716" Type="http://schemas.openxmlformats.org/officeDocument/2006/relationships/hyperlink" Target="http://twitter.com/BrexitLalaland/statuses/1520927748876865540" TargetMode="External"/><Relationship Id="rId4715" Type="http://schemas.openxmlformats.org/officeDocument/2006/relationships/hyperlink" Target="http://pbs.twimg.com/profile_images/835976168700534786/nkI_roQQ_normal.jpg" TargetMode="External"/><Relationship Id="rId4718" Type="http://schemas.openxmlformats.org/officeDocument/2006/relationships/hyperlink" Target="http://twitter.com/dexter_mavhura/statuses/1520927745190019074" TargetMode="External"/><Relationship Id="rId4717" Type="http://schemas.openxmlformats.org/officeDocument/2006/relationships/hyperlink" Target="http://pbs.twimg.com/profile_images/1491525494466093056/1K2vhhTj_normal.jpg" TargetMode="External"/><Relationship Id="rId4719" Type="http://schemas.openxmlformats.org/officeDocument/2006/relationships/hyperlink" Target="http://pbs.twimg.com/profile_images/1333879298214694912/-gPTfqKp_normal.jpg" TargetMode="External"/><Relationship Id="rId855" Type="http://schemas.openxmlformats.org/officeDocument/2006/relationships/hyperlink" Target="http://pbs.twimg.com/profile_images/1062715724957806592/RbGWD0X4_normal.jpg" TargetMode="External"/><Relationship Id="rId854" Type="http://schemas.openxmlformats.org/officeDocument/2006/relationships/hyperlink" Target="http://twitter.com/scook2003/statuses/1521057282745896960" TargetMode="External"/><Relationship Id="rId853" Type="http://schemas.openxmlformats.org/officeDocument/2006/relationships/hyperlink" Target="http://pbs.twimg.com/profile_images/1340343961165160449/nwUDWmUV_normal.jpg" TargetMode="External"/><Relationship Id="rId852" Type="http://schemas.openxmlformats.org/officeDocument/2006/relationships/hyperlink" Target="http://twitter.com/financedoor_de/statuses/1521057317638356992" TargetMode="External"/><Relationship Id="rId859" Type="http://schemas.openxmlformats.org/officeDocument/2006/relationships/hyperlink" Target="http://pbs.twimg.com/profile_images/782517021586104320/RLDnnJf6_normal.jpg" TargetMode="External"/><Relationship Id="rId858" Type="http://schemas.openxmlformats.org/officeDocument/2006/relationships/hyperlink" Target="http://twitter.com/Jan82276614/statuses/1521057078064087040" TargetMode="External"/><Relationship Id="rId857" Type="http://schemas.openxmlformats.org/officeDocument/2006/relationships/hyperlink" Target="http://abs.twimg.com/sticky/default_profile_images/default_profile_normal.png" TargetMode="External"/><Relationship Id="rId856" Type="http://schemas.openxmlformats.org/officeDocument/2006/relationships/hyperlink" Target="http://twitter.com/gellilyfdy/statuses/1521057258855190533" TargetMode="External"/><Relationship Id="rId1680" Type="http://schemas.openxmlformats.org/officeDocument/2006/relationships/hyperlink" Target="http://twitter.com/Sam_Fellowes/statuses/1521042815400222721" TargetMode="External"/><Relationship Id="rId1681" Type="http://schemas.openxmlformats.org/officeDocument/2006/relationships/hyperlink" Target="http://abs.twimg.com/sticky/default_profile_images/default_profile_normal.png" TargetMode="External"/><Relationship Id="rId851" Type="http://schemas.openxmlformats.org/officeDocument/2006/relationships/hyperlink" Target="http://pbs.twimg.com/profile_images/902864471814660097/mamfdo_E_normal.jpg" TargetMode="External"/><Relationship Id="rId1682" Type="http://schemas.openxmlformats.org/officeDocument/2006/relationships/hyperlink" Target="http://twitter.com/Lorrainemorich2/statuses/1521042784018391040" TargetMode="External"/><Relationship Id="rId850" Type="http://schemas.openxmlformats.org/officeDocument/2006/relationships/hyperlink" Target="http://twitter.com/sarahtturvey/statuses/1521057358918598657" TargetMode="External"/><Relationship Id="rId1683" Type="http://schemas.openxmlformats.org/officeDocument/2006/relationships/hyperlink" Target="http://pbs.twimg.com/profile_images/1510904760504930308/2p_2ivD5_normal.jpg" TargetMode="External"/><Relationship Id="rId1684" Type="http://schemas.openxmlformats.org/officeDocument/2006/relationships/hyperlink" Target="http://twitter.com/cathandfearne/statuses/1521042738195611648" TargetMode="External"/><Relationship Id="rId4710" Type="http://schemas.openxmlformats.org/officeDocument/2006/relationships/hyperlink" Target="http://twitter.com/isthisab0t/statuses/1520928320136925190" TargetMode="External"/><Relationship Id="rId1685" Type="http://schemas.openxmlformats.org/officeDocument/2006/relationships/hyperlink" Target="http://pbs.twimg.com/profile_images/1418457134568722432/oM0Ug-as_normal.jpg" TargetMode="External"/><Relationship Id="rId3414" Type="http://schemas.openxmlformats.org/officeDocument/2006/relationships/hyperlink" Target="http://twitter.com/pimp_creative/statuses/1521012476132921344" TargetMode="External"/><Relationship Id="rId4745" Type="http://schemas.openxmlformats.org/officeDocument/2006/relationships/hyperlink" Target="http://pbs.twimg.com/profile_images/1398765707240771586/GGF4w05V_normal.jpg" TargetMode="External"/><Relationship Id="rId3413" Type="http://schemas.openxmlformats.org/officeDocument/2006/relationships/hyperlink" Target="http://pbs.twimg.com/profile_images/1289501836521742336/2nbBGnIy_normal.jpg" TargetMode="External"/><Relationship Id="rId4744" Type="http://schemas.openxmlformats.org/officeDocument/2006/relationships/hyperlink" Target="http://twitter.com/JWGarratt/statuses/1520925215831867393" TargetMode="External"/><Relationship Id="rId3416" Type="http://schemas.openxmlformats.org/officeDocument/2006/relationships/hyperlink" Target="http://twitter.com/damienburke1234/statuses/1521012465781420032" TargetMode="External"/><Relationship Id="rId4747" Type="http://schemas.openxmlformats.org/officeDocument/2006/relationships/hyperlink" Target="http://abs.twimg.com/sticky/default_profile_images/default_profile_normal.png" TargetMode="External"/><Relationship Id="rId3415" Type="http://schemas.openxmlformats.org/officeDocument/2006/relationships/hyperlink" Target="http://pbs.twimg.com/profile_images/1493719603557634050/NXWVnlby_normal.jpg" TargetMode="External"/><Relationship Id="rId4746" Type="http://schemas.openxmlformats.org/officeDocument/2006/relationships/hyperlink" Target="http://twitter.com/Desinumber9/statuses/1520924848976932864" TargetMode="External"/><Relationship Id="rId3418" Type="http://schemas.openxmlformats.org/officeDocument/2006/relationships/hyperlink" Target="http://twitter.com/___angelheart__/statuses/1521012456323227648" TargetMode="External"/><Relationship Id="rId4749" Type="http://schemas.openxmlformats.org/officeDocument/2006/relationships/hyperlink" Target="http://pbs.twimg.com/profile_images/1136260032918687746/haOAps2N_normal.jpg" TargetMode="External"/><Relationship Id="rId3417" Type="http://schemas.openxmlformats.org/officeDocument/2006/relationships/hyperlink" Target="http://pbs.twimg.com/profile_images/1498239585989664769/w6UQZDfW_normal.jpg" TargetMode="External"/><Relationship Id="rId4748" Type="http://schemas.openxmlformats.org/officeDocument/2006/relationships/hyperlink" Target="http://twitter.com/FalcoScuderia/statuses/1520924722397167616" TargetMode="External"/><Relationship Id="rId3419" Type="http://schemas.openxmlformats.org/officeDocument/2006/relationships/hyperlink" Target="http://pbs.twimg.com/profile_images/701432128303661057/UTXpEBCI_normal.jpg" TargetMode="External"/><Relationship Id="rId888" Type="http://schemas.openxmlformats.org/officeDocument/2006/relationships/hyperlink" Target="http://twitter.com/SMOCKFORD/statuses/1521056455780093952" TargetMode="External"/><Relationship Id="rId887" Type="http://schemas.openxmlformats.org/officeDocument/2006/relationships/hyperlink" Target="http://pbs.twimg.com/profile_images/598879055077859330/fK9bASgM_normal.png" TargetMode="External"/><Relationship Id="rId886" Type="http://schemas.openxmlformats.org/officeDocument/2006/relationships/hyperlink" Target="http://twitter.com/YusufMoosajee/statuses/1521056482174902272" TargetMode="External"/><Relationship Id="rId885" Type="http://schemas.openxmlformats.org/officeDocument/2006/relationships/hyperlink" Target="http://pbs.twimg.com/profile_images/414028131465699328/pB1H-AwO_normal.jpeg" TargetMode="External"/><Relationship Id="rId889" Type="http://schemas.openxmlformats.org/officeDocument/2006/relationships/hyperlink" Target="http://pbs.twimg.com/profile_images/1463413720059727873/vFvaa_28_normal.png" TargetMode="External"/><Relationship Id="rId880" Type="http://schemas.openxmlformats.org/officeDocument/2006/relationships/hyperlink" Target="http://twitter.com/Raycspike/statuses/1521056495357632513" TargetMode="External"/><Relationship Id="rId884" Type="http://schemas.openxmlformats.org/officeDocument/2006/relationships/hyperlink" Target="http://twitter.com/smcc1954/statuses/1521056485094174723" TargetMode="External"/><Relationship Id="rId3410" Type="http://schemas.openxmlformats.org/officeDocument/2006/relationships/hyperlink" Target="http://twitter.com/MirandaPinch/statuses/1521012524983930885" TargetMode="External"/><Relationship Id="rId4741" Type="http://schemas.openxmlformats.org/officeDocument/2006/relationships/hyperlink" Target="http://pbs.twimg.com/profile_images/1205750435556007936/luwYM-O4_normal.jpg" TargetMode="External"/><Relationship Id="rId883" Type="http://schemas.openxmlformats.org/officeDocument/2006/relationships/hyperlink" Target="http://pbs.twimg.com/profile_images/848507346024267777/OUbCmi5C_normal.jpg" TargetMode="External"/><Relationship Id="rId4740" Type="http://schemas.openxmlformats.org/officeDocument/2006/relationships/hyperlink" Target="http://twitter.com/JWGarratt/statuses/1520925334312566786" TargetMode="External"/><Relationship Id="rId882" Type="http://schemas.openxmlformats.org/officeDocument/2006/relationships/hyperlink" Target="http://twitter.com/JBazzard/statuses/1521056485417136128" TargetMode="External"/><Relationship Id="rId3412" Type="http://schemas.openxmlformats.org/officeDocument/2006/relationships/hyperlink" Target="http://twitter.com/___angelheart__/statuses/1521012497658040320" TargetMode="External"/><Relationship Id="rId4743" Type="http://schemas.openxmlformats.org/officeDocument/2006/relationships/hyperlink" Target="http://pbs.twimg.com/profile_images/1240544974644576258/sWryMZ4m_normal.jpg" TargetMode="External"/><Relationship Id="rId881" Type="http://schemas.openxmlformats.org/officeDocument/2006/relationships/hyperlink" Target="http://pbs.twimg.com/profile_images/1232391988231704576/0BpwXf4B_normal.jpg" TargetMode="External"/><Relationship Id="rId3411" Type="http://schemas.openxmlformats.org/officeDocument/2006/relationships/hyperlink" Target="http://pbs.twimg.com/profile_images/1498239585989664769/w6UQZDfW_normal.jpg" TargetMode="External"/><Relationship Id="rId4742" Type="http://schemas.openxmlformats.org/officeDocument/2006/relationships/hyperlink" Target="http://twitter.com/SparklersW/statuses/1520925319607291906" TargetMode="External"/><Relationship Id="rId3403" Type="http://schemas.openxmlformats.org/officeDocument/2006/relationships/hyperlink" Target="http://abs.twimg.com/sticky/default_profile_images/default_profile_normal.png" TargetMode="External"/><Relationship Id="rId4734" Type="http://schemas.openxmlformats.org/officeDocument/2006/relationships/hyperlink" Target="http://twitter.com/SteviMandi/statuses/1520925611371413505" TargetMode="External"/><Relationship Id="rId3402" Type="http://schemas.openxmlformats.org/officeDocument/2006/relationships/hyperlink" Target="http://twitter.com/TrowsdaleGary/statuses/1521012622518374402" TargetMode="External"/><Relationship Id="rId4733" Type="http://schemas.openxmlformats.org/officeDocument/2006/relationships/hyperlink" Target="http://pbs.twimg.com/profile_images/1512377612500414465/Q3VrB91__normal.jpg" TargetMode="External"/><Relationship Id="rId3405" Type="http://schemas.openxmlformats.org/officeDocument/2006/relationships/hyperlink" Target="http://pbs.twimg.com/profile_images/748869522275307520/_5Ujhxgq_normal.jpg" TargetMode="External"/><Relationship Id="rId4736" Type="http://schemas.openxmlformats.org/officeDocument/2006/relationships/hyperlink" Target="http://twitter.com/isthisab0t/statuses/1520925553112588289" TargetMode="External"/><Relationship Id="rId3404" Type="http://schemas.openxmlformats.org/officeDocument/2006/relationships/hyperlink" Target="http://twitter.com/MirandaPinch/statuses/1521012608811339776" TargetMode="External"/><Relationship Id="rId4735" Type="http://schemas.openxmlformats.org/officeDocument/2006/relationships/hyperlink" Target="http://pbs.twimg.com/profile_images/1225538244344938496/16id1r6l_normal.jpg" TargetMode="External"/><Relationship Id="rId3407" Type="http://schemas.openxmlformats.org/officeDocument/2006/relationships/hyperlink" Target="http://pbs.twimg.com/profile_images/1498239585989664769/w6UQZDfW_normal.jpg" TargetMode="External"/><Relationship Id="rId4738" Type="http://schemas.openxmlformats.org/officeDocument/2006/relationships/hyperlink" Target="http://twitter.com/Patthedog5/statuses/1520925453254598656" TargetMode="External"/><Relationship Id="rId3406" Type="http://schemas.openxmlformats.org/officeDocument/2006/relationships/hyperlink" Target="http://twitter.com/ElizabethBangs/statuses/1521012555279474688" TargetMode="External"/><Relationship Id="rId4737" Type="http://schemas.openxmlformats.org/officeDocument/2006/relationships/hyperlink" Target="http://abs.twimg.com/sticky/default_profile_images/default_profile_normal.png" TargetMode="External"/><Relationship Id="rId3409" Type="http://schemas.openxmlformats.org/officeDocument/2006/relationships/hyperlink" Target="http://abs.twimg.com/sticky/default_profile_images/default_profile_normal.png" TargetMode="External"/><Relationship Id="rId3408" Type="http://schemas.openxmlformats.org/officeDocument/2006/relationships/hyperlink" Target="http://twitter.com/___angelheart__/statuses/1521012555057139712" TargetMode="External"/><Relationship Id="rId4739" Type="http://schemas.openxmlformats.org/officeDocument/2006/relationships/hyperlink" Target="http://pbs.twimg.com/profile_images/1240544974644576258/sWryMZ4m_normal.jpg" TargetMode="External"/><Relationship Id="rId877" Type="http://schemas.openxmlformats.org/officeDocument/2006/relationships/hyperlink" Target="http://pbs.twimg.com/profile_images/1501995012673912833/MK1XrXWQ_normal.jpg" TargetMode="External"/><Relationship Id="rId876" Type="http://schemas.openxmlformats.org/officeDocument/2006/relationships/hyperlink" Target="http://twitter.com/mwatsonlux/statuses/1521056611430809606" TargetMode="External"/><Relationship Id="rId875" Type="http://schemas.openxmlformats.org/officeDocument/2006/relationships/hyperlink" Target="http://pbs.twimg.com/profile_images/688051326325002240/7J4uxxgi_normal.jpg" TargetMode="External"/><Relationship Id="rId874" Type="http://schemas.openxmlformats.org/officeDocument/2006/relationships/hyperlink" Target="http://twitter.com/ChristinaDonn11/statuses/1521056739558412288" TargetMode="External"/><Relationship Id="rId879" Type="http://schemas.openxmlformats.org/officeDocument/2006/relationships/hyperlink" Target="http://pbs.twimg.com/profile_images/1496885079922167820/4k0114CY_normal.jpg" TargetMode="External"/><Relationship Id="rId878" Type="http://schemas.openxmlformats.org/officeDocument/2006/relationships/hyperlink" Target="http://twitter.com/Andy_sMyName/statuses/1521056588081074177" TargetMode="External"/><Relationship Id="rId873" Type="http://schemas.openxmlformats.org/officeDocument/2006/relationships/hyperlink" Target="http://pbs.twimg.com/profile_images/759143117962485761/Mqc4pn1-_normal.jpg" TargetMode="External"/><Relationship Id="rId4730" Type="http://schemas.openxmlformats.org/officeDocument/2006/relationships/hyperlink" Target="http://twitter.com/BusEconYMO_HGS/statuses/1520926051291041793" TargetMode="External"/><Relationship Id="rId872" Type="http://schemas.openxmlformats.org/officeDocument/2006/relationships/hyperlink" Target="http://twitter.com/Sanvers84/statuses/1521056826518872064" TargetMode="External"/><Relationship Id="rId871" Type="http://schemas.openxmlformats.org/officeDocument/2006/relationships/hyperlink" Target="http://pbs.twimg.com/profile_images/1100100365872234496/j4wfj6r2_normal.jpg" TargetMode="External"/><Relationship Id="rId3401" Type="http://schemas.openxmlformats.org/officeDocument/2006/relationships/hyperlink" Target="http://pbs.twimg.com/profile_images/1508400544246906882/rZnvkUzU_normal.jpg" TargetMode="External"/><Relationship Id="rId4732" Type="http://schemas.openxmlformats.org/officeDocument/2006/relationships/hyperlink" Target="http://twitter.com/cairnrobin/statuses/1520925781282631680" TargetMode="External"/><Relationship Id="rId870" Type="http://schemas.openxmlformats.org/officeDocument/2006/relationships/hyperlink" Target="http://twitter.com/tartancobweb/statuses/1521056827860996097" TargetMode="External"/><Relationship Id="rId3400" Type="http://schemas.openxmlformats.org/officeDocument/2006/relationships/hyperlink" Target="http://twitter.com/TrowsdaleGary/statuses/1521012628465848330" TargetMode="External"/><Relationship Id="rId4731" Type="http://schemas.openxmlformats.org/officeDocument/2006/relationships/hyperlink" Target="http://pbs.twimg.com/profile_images/1497722273741950976/OYGXf9Vr_normal.jpg" TargetMode="External"/><Relationship Id="rId1653" Type="http://schemas.openxmlformats.org/officeDocument/2006/relationships/hyperlink" Target="http://abs.twimg.com/sticky/default_profile_images/default_profile_normal.png" TargetMode="External"/><Relationship Id="rId2984" Type="http://schemas.openxmlformats.org/officeDocument/2006/relationships/hyperlink" Target="http://twitter.com/fourstar1979/statuses/1521019517454934018" TargetMode="External"/><Relationship Id="rId1654" Type="http://schemas.openxmlformats.org/officeDocument/2006/relationships/hyperlink" Target="http://twitter.com/RolandButter13/statuses/1521043357199384576" TargetMode="External"/><Relationship Id="rId2985" Type="http://schemas.openxmlformats.org/officeDocument/2006/relationships/hyperlink" Target="http://pbs.twimg.com/profile_images/1045347093215408128/A8A_WqkC_normal.jpg" TargetMode="External"/><Relationship Id="rId1655" Type="http://schemas.openxmlformats.org/officeDocument/2006/relationships/hyperlink" Target="http://pbs.twimg.com/profile_images/1148558490681729024/WmZZCGaQ_normal.jpg" TargetMode="External"/><Relationship Id="rId2986" Type="http://schemas.openxmlformats.org/officeDocument/2006/relationships/hyperlink" Target="http://twitter.com/andrewducker/statuses/1521019494335922176" TargetMode="External"/><Relationship Id="rId1656" Type="http://schemas.openxmlformats.org/officeDocument/2006/relationships/hyperlink" Target="http://twitter.com/KlausBlatter/statuses/1521043209023012865" TargetMode="External"/><Relationship Id="rId2987" Type="http://schemas.openxmlformats.org/officeDocument/2006/relationships/hyperlink" Target="http://pbs.twimg.com/profile_images/1453656269080907782/D5gurJkV_normal.jpg" TargetMode="External"/><Relationship Id="rId1657" Type="http://schemas.openxmlformats.org/officeDocument/2006/relationships/hyperlink" Target="http://pbs.twimg.com/profile_images/1364530519392854017/jE-AYQ8k_normal.jpg" TargetMode="External"/><Relationship Id="rId2988" Type="http://schemas.openxmlformats.org/officeDocument/2006/relationships/hyperlink" Target="http://twitter.com/fourstar1979/statuses/1521019473179951105" TargetMode="External"/><Relationship Id="rId1658" Type="http://schemas.openxmlformats.org/officeDocument/2006/relationships/hyperlink" Target="http://twitter.com/JJSum/statuses/1521043163883913216" TargetMode="External"/><Relationship Id="rId2989" Type="http://schemas.openxmlformats.org/officeDocument/2006/relationships/hyperlink" Target="http://pbs.twimg.com/profile_images/1481487528935198724/L-ZdmakS_normal.jpg" TargetMode="External"/><Relationship Id="rId1659" Type="http://schemas.openxmlformats.org/officeDocument/2006/relationships/hyperlink" Target="http://pbs.twimg.com/profile_images/3088039672/f1a872b52aa49016844991fe7d6abeff_normal.jpeg" TargetMode="External"/><Relationship Id="rId829" Type="http://schemas.openxmlformats.org/officeDocument/2006/relationships/hyperlink" Target="http://pbs.twimg.com/profile_images/1384425143469019137/FdTbubHv_normal.jpg" TargetMode="External"/><Relationship Id="rId828" Type="http://schemas.openxmlformats.org/officeDocument/2006/relationships/hyperlink" Target="http://twitter.com/CsizmadiaC/statuses/1521057744224202752" TargetMode="External"/><Relationship Id="rId827" Type="http://schemas.openxmlformats.org/officeDocument/2006/relationships/hyperlink" Target="http://pbs.twimg.com/profile_images/1515040477556396036/fE0eZGuh_normal.jpg" TargetMode="External"/><Relationship Id="rId822" Type="http://schemas.openxmlformats.org/officeDocument/2006/relationships/hyperlink" Target="http://twitter.com/MMRBoyce/statuses/1521057794308333568" TargetMode="External"/><Relationship Id="rId821" Type="http://schemas.openxmlformats.org/officeDocument/2006/relationships/hyperlink" Target="http://pbs.twimg.com/profile_images/893155363255484416/fGUwntBQ_normal.jpg" TargetMode="External"/><Relationship Id="rId820" Type="http://schemas.openxmlformats.org/officeDocument/2006/relationships/hyperlink" Target="http://twitter.com/coffer_mco18/statuses/1521057803179376642" TargetMode="External"/><Relationship Id="rId826" Type="http://schemas.openxmlformats.org/officeDocument/2006/relationships/hyperlink" Target="http://twitter.com/JoeCatcheside/statuses/1521057754391191554" TargetMode="External"/><Relationship Id="rId825" Type="http://schemas.openxmlformats.org/officeDocument/2006/relationships/hyperlink" Target="http://pbs.twimg.com/profile_images/1288398487726497792/GAMo5pWf_normal.jpg" TargetMode="External"/><Relationship Id="rId824" Type="http://schemas.openxmlformats.org/officeDocument/2006/relationships/hyperlink" Target="http://twitter.com/Tbuthfer/statuses/1521057759843827712" TargetMode="External"/><Relationship Id="rId823" Type="http://schemas.openxmlformats.org/officeDocument/2006/relationships/hyperlink" Target="http://pbs.twimg.com/profile_images/523435207257776128/5p_REixw_normal.jpeg" TargetMode="External"/><Relationship Id="rId2980" Type="http://schemas.openxmlformats.org/officeDocument/2006/relationships/hyperlink" Target="http://twitter.com/fourstar1979/statuses/1521019543862358016" TargetMode="External"/><Relationship Id="rId1650" Type="http://schemas.openxmlformats.org/officeDocument/2006/relationships/hyperlink" Target="http://twitter.com/Wspock/statuses/1521043396969865217" TargetMode="External"/><Relationship Id="rId2981" Type="http://schemas.openxmlformats.org/officeDocument/2006/relationships/hyperlink" Target="http://abs.twimg.com/sticky/default_profile_images/default_profile_normal.png" TargetMode="External"/><Relationship Id="rId1651" Type="http://schemas.openxmlformats.org/officeDocument/2006/relationships/hyperlink" Target="http://pbs.twimg.com/profile_images/845583063077793792/iYYdfBuK_normal.jpg" TargetMode="External"/><Relationship Id="rId2982" Type="http://schemas.openxmlformats.org/officeDocument/2006/relationships/hyperlink" Target="http://twitter.com/GrahamBright10/statuses/1521019518151237633" TargetMode="External"/><Relationship Id="rId1652" Type="http://schemas.openxmlformats.org/officeDocument/2006/relationships/hyperlink" Target="http://twitter.com/51TJK/statuses/1521043368884772866" TargetMode="External"/><Relationship Id="rId2983" Type="http://schemas.openxmlformats.org/officeDocument/2006/relationships/hyperlink" Target="http://pbs.twimg.com/profile_images/1453656269080907782/D5gurJkV_normal.jpg" TargetMode="External"/><Relationship Id="rId1642" Type="http://schemas.openxmlformats.org/officeDocument/2006/relationships/hyperlink" Target="http://twitter.com/Sunpoches/statuses/1521043511948288000" TargetMode="External"/><Relationship Id="rId2973" Type="http://schemas.openxmlformats.org/officeDocument/2006/relationships/hyperlink" Target="http://pbs.twimg.com/profile_images/1453656269080907782/D5gurJkV_normal.jpg" TargetMode="External"/><Relationship Id="rId1643" Type="http://schemas.openxmlformats.org/officeDocument/2006/relationships/hyperlink" Target="http://pbs.twimg.com/profile_images/1454719300774813698/yfWflkCS_normal.jpg" TargetMode="External"/><Relationship Id="rId2974" Type="http://schemas.openxmlformats.org/officeDocument/2006/relationships/hyperlink" Target="http://twitter.com/fourstar1979/statuses/1521019572417085440" TargetMode="External"/><Relationship Id="rId1644" Type="http://schemas.openxmlformats.org/officeDocument/2006/relationships/hyperlink" Target="http://twitter.com/christine998/statuses/1521043490578259970" TargetMode="External"/><Relationship Id="rId2975" Type="http://schemas.openxmlformats.org/officeDocument/2006/relationships/hyperlink" Target="http://pbs.twimg.com/profile_images/783569600826974208/uyy1zaPL_normal.jpg" TargetMode="External"/><Relationship Id="rId1645" Type="http://schemas.openxmlformats.org/officeDocument/2006/relationships/hyperlink" Target="http://pbs.twimg.com/profile_images/1146458901178724352/job4U1Rb_normal.jpg" TargetMode="External"/><Relationship Id="rId2976" Type="http://schemas.openxmlformats.org/officeDocument/2006/relationships/hyperlink" Target="http://twitter.com/New4aDay/statuses/1521019570487705602" TargetMode="External"/><Relationship Id="rId1646" Type="http://schemas.openxmlformats.org/officeDocument/2006/relationships/hyperlink" Target="http://twitter.com/GroupeID_FR/statuses/1521043439856586752" TargetMode="External"/><Relationship Id="rId2977" Type="http://schemas.openxmlformats.org/officeDocument/2006/relationships/hyperlink" Target="http://pbs.twimg.com/profile_images/1280433030490923009/tWmdsLvH_normal.jpg" TargetMode="External"/><Relationship Id="rId1647" Type="http://schemas.openxmlformats.org/officeDocument/2006/relationships/hyperlink" Target="http://abs.twimg.com/sticky/default_profile_images/default_profile_normal.png" TargetMode="External"/><Relationship Id="rId2978" Type="http://schemas.openxmlformats.org/officeDocument/2006/relationships/hyperlink" Target="http://twitter.com/sball11/statuses/1521019544583786496" TargetMode="External"/><Relationship Id="rId1648" Type="http://schemas.openxmlformats.org/officeDocument/2006/relationships/hyperlink" Target="http://twitter.com/jezobrien/statuses/1521043413746995201" TargetMode="External"/><Relationship Id="rId2979" Type="http://schemas.openxmlformats.org/officeDocument/2006/relationships/hyperlink" Target="http://pbs.twimg.com/profile_images/1453656269080907782/D5gurJkV_normal.jpg" TargetMode="External"/><Relationship Id="rId1649" Type="http://schemas.openxmlformats.org/officeDocument/2006/relationships/hyperlink" Target="http://pbs.twimg.com/profile_images/1253639440217649158/uYX7bmvZ_normal.jpg" TargetMode="External"/><Relationship Id="rId819" Type="http://schemas.openxmlformats.org/officeDocument/2006/relationships/hyperlink" Target="http://pbs.twimg.com/profile_images/597044604270174208/zewyccb4_normal.jpg" TargetMode="External"/><Relationship Id="rId818" Type="http://schemas.openxmlformats.org/officeDocument/2006/relationships/hyperlink" Target="http://twitter.com/jones_pj/statuses/1521057811584667648" TargetMode="External"/><Relationship Id="rId817" Type="http://schemas.openxmlformats.org/officeDocument/2006/relationships/hyperlink" Target="http://pbs.twimg.com/profile_images/1377761291/20-Sept_163a_normal.jpg" TargetMode="External"/><Relationship Id="rId816" Type="http://schemas.openxmlformats.org/officeDocument/2006/relationships/hyperlink" Target="http://twitter.com/MalkyC01/statuses/1521057964634873856" TargetMode="External"/><Relationship Id="rId811" Type="http://schemas.openxmlformats.org/officeDocument/2006/relationships/hyperlink" Target="http://pbs.twimg.com/profile_images/806465817084854272/ugde6AhY_normal.jpg" TargetMode="External"/><Relationship Id="rId810" Type="http://schemas.openxmlformats.org/officeDocument/2006/relationships/hyperlink" Target="http://twitter.com/SPropertyPortal/statuses/1521058004489154560" TargetMode="External"/><Relationship Id="rId815" Type="http://schemas.openxmlformats.org/officeDocument/2006/relationships/hyperlink" Target="http://pbs.twimg.com/profile_images/1494738610003890176/ICPgHh16_normal.jpg" TargetMode="External"/><Relationship Id="rId814" Type="http://schemas.openxmlformats.org/officeDocument/2006/relationships/hyperlink" Target="http://twitter.com/re11ddy/statuses/1521057982661935106" TargetMode="External"/><Relationship Id="rId813" Type="http://schemas.openxmlformats.org/officeDocument/2006/relationships/hyperlink" Target="http://abs.twimg.com/sticky/default_profile_images/default_profile_normal.png" TargetMode="External"/><Relationship Id="rId812" Type="http://schemas.openxmlformats.org/officeDocument/2006/relationships/hyperlink" Target="http://twitter.com/CleoDavies2/statuses/1521058001481838592" TargetMode="External"/><Relationship Id="rId2970" Type="http://schemas.openxmlformats.org/officeDocument/2006/relationships/hyperlink" Target="http://twitter.com/colemanr39/statuses/1521019587491512321" TargetMode="External"/><Relationship Id="rId1640" Type="http://schemas.openxmlformats.org/officeDocument/2006/relationships/hyperlink" Target="http://twitter.com/ChrissieGrech/statuses/1521043523352600576" TargetMode="External"/><Relationship Id="rId2971" Type="http://schemas.openxmlformats.org/officeDocument/2006/relationships/hyperlink" Target="http://abs.twimg.com/sticky/default_profile_images/default_profile_normal.png" TargetMode="External"/><Relationship Id="rId1641" Type="http://schemas.openxmlformats.org/officeDocument/2006/relationships/hyperlink" Target="http://pbs.twimg.com/profile_images/1080538304326651904/oUAO-HX5_normal.jpg" TargetMode="External"/><Relationship Id="rId2972" Type="http://schemas.openxmlformats.org/officeDocument/2006/relationships/hyperlink" Target="http://twitter.com/GrahamBright10/statuses/1521019582059847681" TargetMode="External"/><Relationship Id="rId1675" Type="http://schemas.openxmlformats.org/officeDocument/2006/relationships/hyperlink" Target="http://pbs.twimg.com/profile_images/1053979747087278081/zk9Tc6uS_normal.jpg" TargetMode="External"/><Relationship Id="rId4701" Type="http://schemas.openxmlformats.org/officeDocument/2006/relationships/hyperlink" Target="http://pbs.twimg.com/profile_images/1268707395468959745/6T0Vcd9e_normal.jpg" TargetMode="External"/><Relationship Id="rId1676" Type="http://schemas.openxmlformats.org/officeDocument/2006/relationships/hyperlink" Target="http://twitter.com/jennystew63/statuses/1521042886569369600" TargetMode="External"/><Relationship Id="rId4700" Type="http://schemas.openxmlformats.org/officeDocument/2006/relationships/hyperlink" Target="http://twitter.com/Bassaces1/statuses/1520929025077792768" TargetMode="External"/><Relationship Id="rId1677" Type="http://schemas.openxmlformats.org/officeDocument/2006/relationships/hyperlink" Target="http://pbs.twimg.com/profile_images/1522021238/veverettmfl_normal.jpg" TargetMode="External"/><Relationship Id="rId4703" Type="http://schemas.openxmlformats.org/officeDocument/2006/relationships/hyperlink" Target="http://pbs.twimg.com/profile_images/1503018460259004417/tn_FA9_R_normal.jpg" TargetMode="External"/><Relationship Id="rId1678" Type="http://schemas.openxmlformats.org/officeDocument/2006/relationships/hyperlink" Target="http://twitter.com/VEverettmfl/statuses/1521042832055844865" TargetMode="External"/><Relationship Id="rId4702" Type="http://schemas.openxmlformats.org/officeDocument/2006/relationships/hyperlink" Target="http://twitter.com/Old_Ted_Euro/statuses/1520928637775712258" TargetMode="External"/><Relationship Id="rId1679" Type="http://schemas.openxmlformats.org/officeDocument/2006/relationships/hyperlink" Target="http://pbs.twimg.com/profile_images/906587146139705346/dPwqVGz5_normal.jpg" TargetMode="External"/><Relationship Id="rId4705" Type="http://schemas.openxmlformats.org/officeDocument/2006/relationships/hyperlink" Target="http://pbs.twimg.com/profile_images/890691174297718784/swKNXk3F_normal.jpg" TargetMode="External"/><Relationship Id="rId4704" Type="http://schemas.openxmlformats.org/officeDocument/2006/relationships/hyperlink" Target="http://twitter.com/hilton_philip/statuses/1520928625490604035" TargetMode="External"/><Relationship Id="rId4707" Type="http://schemas.openxmlformats.org/officeDocument/2006/relationships/hyperlink" Target="http://pbs.twimg.com/profile_images/1509798820372221954/435TFDd7_normal.jpg" TargetMode="External"/><Relationship Id="rId4706" Type="http://schemas.openxmlformats.org/officeDocument/2006/relationships/hyperlink" Target="http://twitter.com/davidsugars/statuses/1520928463317839873" TargetMode="External"/><Relationship Id="rId4709" Type="http://schemas.openxmlformats.org/officeDocument/2006/relationships/hyperlink" Target="http://pbs.twimg.com/profile_images/1225538244344938496/16id1r6l_normal.jpg" TargetMode="External"/><Relationship Id="rId4708" Type="http://schemas.openxmlformats.org/officeDocument/2006/relationships/hyperlink" Target="http://twitter.com/graydominic4/statuses/1520928382783037441" TargetMode="External"/><Relationship Id="rId849" Type="http://schemas.openxmlformats.org/officeDocument/2006/relationships/hyperlink" Target="http://pbs.twimg.com/profile_images/876417802793562112/ePDZkcM__normal.jpg" TargetMode="External"/><Relationship Id="rId844" Type="http://schemas.openxmlformats.org/officeDocument/2006/relationships/hyperlink" Target="http://twitter.com/moorland2/statuses/1521057415847940096" TargetMode="External"/><Relationship Id="rId843" Type="http://schemas.openxmlformats.org/officeDocument/2006/relationships/hyperlink" Target="http://pbs.twimg.com/profile_images/1505474023785914369/zZZDhPmp_normal.jpg" TargetMode="External"/><Relationship Id="rId842" Type="http://schemas.openxmlformats.org/officeDocument/2006/relationships/hyperlink" Target="http://twitter.com/AdrianFarrellAT/statuses/1521057435628224513" TargetMode="External"/><Relationship Id="rId841" Type="http://schemas.openxmlformats.org/officeDocument/2006/relationships/hyperlink" Target="http://pbs.twimg.com/profile_images/496598186748674048/miUq4bRr_normal.jpeg" TargetMode="External"/><Relationship Id="rId848" Type="http://schemas.openxmlformats.org/officeDocument/2006/relationships/hyperlink" Target="http://twitter.com/TommysDaddy/statuses/1521057391260884992" TargetMode="External"/><Relationship Id="rId847" Type="http://schemas.openxmlformats.org/officeDocument/2006/relationships/hyperlink" Target="http://pbs.twimg.com/profile_images/1217856997091106817/dQGH__UF_normal.jpg" TargetMode="External"/><Relationship Id="rId846" Type="http://schemas.openxmlformats.org/officeDocument/2006/relationships/hyperlink" Target="http://twitter.com/strange_al/statuses/1521057410361790465" TargetMode="External"/><Relationship Id="rId845" Type="http://schemas.openxmlformats.org/officeDocument/2006/relationships/hyperlink" Target="http://pbs.twimg.com/profile_images/882288290665291776/PfEgSeyW_normal.jpg" TargetMode="External"/><Relationship Id="rId1670" Type="http://schemas.openxmlformats.org/officeDocument/2006/relationships/hyperlink" Target="http://twitter.com/jennystew63/statuses/1521042911315562496" TargetMode="External"/><Relationship Id="rId840" Type="http://schemas.openxmlformats.org/officeDocument/2006/relationships/hyperlink" Target="http://twitter.com/1949jack/statuses/1521057465370124288" TargetMode="External"/><Relationship Id="rId1671" Type="http://schemas.openxmlformats.org/officeDocument/2006/relationships/hyperlink" Target="http://pbs.twimg.com/profile_images/565444578485235712/Cd_6H5Ek_normal.jpeg" TargetMode="External"/><Relationship Id="rId1672" Type="http://schemas.openxmlformats.org/officeDocument/2006/relationships/hyperlink" Target="http://twitter.com/lizahill_hill/statuses/1521042904290103297" TargetMode="External"/><Relationship Id="rId1673" Type="http://schemas.openxmlformats.org/officeDocument/2006/relationships/hyperlink" Target="http://pbs.twimg.com/profile_images/1053979747087278081/zk9Tc6uS_normal.jpg" TargetMode="External"/><Relationship Id="rId1674" Type="http://schemas.openxmlformats.org/officeDocument/2006/relationships/hyperlink" Target="http://twitter.com/jennystew63/statuses/1521042894479675393" TargetMode="External"/><Relationship Id="rId1664" Type="http://schemas.openxmlformats.org/officeDocument/2006/relationships/hyperlink" Target="http://twitter.com/BubblegumYeti/statuses/1521043104123478016" TargetMode="External"/><Relationship Id="rId2995" Type="http://schemas.openxmlformats.org/officeDocument/2006/relationships/hyperlink" Target="http://pbs.twimg.com/profile_images/3392215410/da01b25a205beeafb6f88191a25e0d25_normal.jpeg" TargetMode="External"/><Relationship Id="rId1665" Type="http://schemas.openxmlformats.org/officeDocument/2006/relationships/hyperlink" Target="http://pbs.twimg.com/profile_images/1335243297036570624/slkSETbf_normal.jpg" TargetMode="External"/><Relationship Id="rId2996" Type="http://schemas.openxmlformats.org/officeDocument/2006/relationships/hyperlink" Target="http://twitter.com/OssieBhoy/statuses/1521019397065822208" TargetMode="External"/><Relationship Id="rId1666" Type="http://schemas.openxmlformats.org/officeDocument/2006/relationships/hyperlink" Target="http://twitter.com/JonBF23/statuses/1521043093683900417" TargetMode="External"/><Relationship Id="rId2997" Type="http://schemas.openxmlformats.org/officeDocument/2006/relationships/hyperlink" Target="http://pbs.twimg.com/profile_images/1485240941007015940/OArkbSTb_normal.jpg" TargetMode="External"/><Relationship Id="rId1667" Type="http://schemas.openxmlformats.org/officeDocument/2006/relationships/hyperlink" Target="http://pbs.twimg.com/profile_images/1307333286272868352/I5lIwe8W_normal.jpg" TargetMode="External"/><Relationship Id="rId2998" Type="http://schemas.openxmlformats.org/officeDocument/2006/relationships/hyperlink" Target="http://twitter.com/eva_kenneth/statuses/1521019388572409856" TargetMode="External"/><Relationship Id="rId1668" Type="http://schemas.openxmlformats.org/officeDocument/2006/relationships/hyperlink" Target="http://twitter.com/d5_rss/statuses/1521043056635654144" TargetMode="External"/><Relationship Id="rId2999" Type="http://schemas.openxmlformats.org/officeDocument/2006/relationships/hyperlink" Target="http://pbs.twimg.com/profile_images/1105789661669216256/kqyJN3mL_normal.jpg" TargetMode="External"/><Relationship Id="rId1669" Type="http://schemas.openxmlformats.org/officeDocument/2006/relationships/hyperlink" Target="http://pbs.twimg.com/profile_images/1053979747087278081/zk9Tc6uS_normal.jpg" TargetMode="External"/><Relationship Id="rId839" Type="http://schemas.openxmlformats.org/officeDocument/2006/relationships/hyperlink" Target="http://abs.twimg.com/sticky/default_profile_images/default_profile_normal.png" TargetMode="External"/><Relationship Id="rId838" Type="http://schemas.openxmlformats.org/officeDocument/2006/relationships/hyperlink" Target="http://twitter.com/1949jack/statuses/1521057531933642753" TargetMode="External"/><Relationship Id="rId833" Type="http://schemas.openxmlformats.org/officeDocument/2006/relationships/hyperlink" Target="http://pbs.twimg.com/profile_images/1225538244344938496/16id1r6l_normal.jpg" TargetMode="External"/><Relationship Id="rId832" Type="http://schemas.openxmlformats.org/officeDocument/2006/relationships/hyperlink" Target="http://twitter.com/PhilKimby/statuses/1521057710556565505" TargetMode="External"/><Relationship Id="rId831" Type="http://schemas.openxmlformats.org/officeDocument/2006/relationships/hyperlink" Target="http://pbs.twimg.com/profile_images/807330022872776704/4o7ADKyW_normal.jpg" TargetMode="External"/><Relationship Id="rId830" Type="http://schemas.openxmlformats.org/officeDocument/2006/relationships/hyperlink" Target="http://twitter.com/maggie20445251/statuses/1521057742882021376" TargetMode="External"/><Relationship Id="rId837" Type="http://schemas.openxmlformats.org/officeDocument/2006/relationships/hyperlink" Target="http://abs.twimg.com/sticky/default_profile_images/default_profile_normal.png" TargetMode="External"/><Relationship Id="rId836" Type="http://schemas.openxmlformats.org/officeDocument/2006/relationships/hyperlink" Target="http://twitter.com/GwenGatesParke1/statuses/1521057553576308736" TargetMode="External"/><Relationship Id="rId835" Type="http://schemas.openxmlformats.org/officeDocument/2006/relationships/hyperlink" Target="http://pbs.twimg.com/profile_images/1173352238191980544/07WD7ToR_normal.jpg" TargetMode="External"/><Relationship Id="rId834" Type="http://schemas.openxmlformats.org/officeDocument/2006/relationships/hyperlink" Target="http://twitter.com/isthisab0t/statuses/1521057672434442240" TargetMode="External"/><Relationship Id="rId2990" Type="http://schemas.openxmlformats.org/officeDocument/2006/relationships/hyperlink" Target="http://twitter.com/MEHMiller2/statuses/1521019434789486595" TargetMode="External"/><Relationship Id="rId1660" Type="http://schemas.openxmlformats.org/officeDocument/2006/relationships/hyperlink" Target="http://twitter.com/fbtoast/statuses/1521043114919669760" TargetMode="External"/><Relationship Id="rId2991" Type="http://schemas.openxmlformats.org/officeDocument/2006/relationships/hyperlink" Target="http://pbs.twimg.com/profile_images/1453656269080907782/D5gurJkV_normal.jpg" TargetMode="External"/><Relationship Id="rId1661" Type="http://schemas.openxmlformats.org/officeDocument/2006/relationships/hyperlink" Target="http://pbs.twimg.com/profile_images/1497321727738761223/y2hUhTjh_normal.jpg" TargetMode="External"/><Relationship Id="rId2992" Type="http://schemas.openxmlformats.org/officeDocument/2006/relationships/hyperlink" Target="http://twitter.com/fourstar1979/statuses/1521019411745943555" TargetMode="External"/><Relationship Id="rId1662" Type="http://schemas.openxmlformats.org/officeDocument/2006/relationships/hyperlink" Target="http://twitter.com/EviePop2020/statuses/1521043105876746240" TargetMode="External"/><Relationship Id="rId2993" Type="http://schemas.openxmlformats.org/officeDocument/2006/relationships/hyperlink" Target="http://pbs.twimg.com/profile_images/1105789661669216256/kqyJN3mL_normal.jpg" TargetMode="External"/><Relationship Id="rId1663" Type="http://schemas.openxmlformats.org/officeDocument/2006/relationships/hyperlink" Target="http://pbs.twimg.com/profile_images/1129644950113722368/vdDV8bjb_normal.png" TargetMode="External"/><Relationship Id="rId2994" Type="http://schemas.openxmlformats.org/officeDocument/2006/relationships/hyperlink" Target="http://twitter.com/SueHorsley7/statuses/1521019411272028160" TargetMode="External"/><Relationship Id="rId2148" Type="http://schemas.openxmlformats.org/officeDocument/2006/relationships/hyperlink" Target="http://twitter.com/KenKenph59/statuses/1521034904825483265" TargetMode="External"/><Relationship Id="rId2149" Type="http://schemas.openxmlformats.org/officeDocument/2006/relationships/hyperlink" Target="http://pbs.twimg.com/profile_images/1477615584305156102/-BE6ojpe_normal.jpg" TargetMode="External"/><Relationship Id="rId3479" Type="http://schemas.openxmlformats.org/officeDocument/2006/relationships/hyperlink" Target="http://pbs.twimg.com/profile_images/1227565993813315585/e2R2IxjU_normal.jpg" TargetMode="External"/><Relationship Id="rId3470" Type="http://schemas.openxmlformats.org/officeDocument/2006/relationships/hyperlink" Target="http://twitter.com/CllrjackieC/statuses/1521011605634494464" TargetMode="External"/><Relationship Id="rId2140" Type="http://schemas.openxmlformats.org/officeDocument/2006/relationships/hyperlink" Target="http://twitter.com/thefossiler/statuses/1521035098086330370" TargetMode="External"/><Relationship Id="rId3472" Type="http://schemas.openxmlformats.org/officeDocument/2006/relationships/hyperlink" Target="http://twitter.com/lesterbroom48/statuses/1521011580548304896" TargetMode="External"/><Relationship Id="rId2141" Type="http://schemas.openxmlformats.org/officeDocument/2006/relationships/hyperlink" Target="http://pbs.twimg.com/profile_images/1341664127052361728/HF9ii4n7_normal.jpg" TargetMode="External"/><Relationship Id="rId3471" Type="http://schemas.openxmlformats.org/officeDocument/2006/relationships/hyperlink" Target="http://pbs.twimg.com/profile_images/1498897800142237701/QAHpdXNg_normal.jpg" TargetMode="External"/><Relationship Id="rId2142" Type="http://schemas.openxmlformats.org/officeDocument/2006/relationships/hyperlink" Target="http://twitter.com/holle_fraulein/statuses/1521035066255761408" TargetMode="External"/><Relationship Id="rId3474" Type="http://schemas.openxmlformats.org/officeDocument/2006/relationships/hyperlink" Target="http://twitter.com/KowMark/statuses/1521011555437002753" TargetMode="External"/><Relationship Id="rId2143" Type="http://schemas.openxmlformats.org/officeDocument/2006/relationships/hyperlink" Target="http://pbs.twimg.com/profile_images/1497363227084263424/KH0LYx1m_normal.jpg" TargetMode="External"/><Relationship Id="rId3473" Type="http://schemas.openxmlformats.org/officeDocument/2006/relationships/hyperlink" Target="http://pbs.twimg.com/profile_images/1513089037711597570/ybRqJDJq_normal.jpg" TargetMode="External"/><Relationship Id="rId2144" Type="http://schemas.openxmlformats.org/officeDocument/2006/relationships/hyperlink" Target="http://twitter.com/andypic/statuses/1521035038711767040" TargetMode="External"/><Relationship Id="rId3476" Type="http://schemas.openxmlformats.org/officeDocument/2006/relationships/hyperlink" Target="http://twitter.com/andrisiggporson/statuses/1521011550944993280" TargetMode="External"/><Relationship Id="rId2145" Type="http://schemas.openxmlformats.org/officeDocument/2006/relationships/hyperlink" Target="http://pbs.twimg.com/profile_images/540951803396108289/gvP53Tkq_normal.jpeg" TargetMode="External"/><Relationship Id="rId3475" Type="http://schemas.openxmlformats.org/officeDocument/2006/relationships/hyperlink" Target="http://pbs.twimg.com/profile_images/1499337040189665282/1PkoPNmN_normal.jpg" TargetMode="External"/><Relationship Id="rId2146" Type="http://schemas.openxmlformats.org/officeDocument/2006/relationships/hyperlink" Target="http://twitter.com/keabry77/statuses/1521034911930540032" TargetMode="External"/><Relationship Id="rId3478" Type="http://schemas.openxmlformats.org/officeDocument/2006/relationships/hyperlink" Target="http://twitter.com/lesterbroom48/statuses/1521011535560298496" TargetMode="External"/><Relationship Id="rId2147" Type="http://schemas.openxmlformats.org/officeDocument/2006/relationships/hyperlink" Target="http://pbs.twimg.com/profile_images/1041663219889266688/wukEl0eR_normal.jpg" TargetMode="External"/><Relationship Id="rId3477" Type="http://schemas.openxmlformats.org/officeDocument/2006/relationships/hyperlink" Target="http://pbs.twimg.com/profile_images/1498897800142237701/QAHpdXNg_normal.jpg" TargetMode="External"/><Relationship Id="rId2137" Type="http://schemas.openxmlformats.org/officeDocument/2006/relationships/hyperlink" Target="http://pbs.twimg.com/profile_images/1483473016294100992/9rtb8DDq_normal.jpg" TargetMode="External"/><Relationship Id="rId3469" Type="http://schemas.openxmlformats.org/officeDocument/2006/relationships/hyperlink" Target="http://pbs.twimg.com/profile_images/1489003881002639367/CbJHsZBV_normal.jpg" TargetMode="External"/><Relationship Id="rId2138" Type="http://schemas.openxmlformats.org/officeDocument/2006/relationships/hyperlink" Target="http://twitter.com/INDalton/statuses/1521035122757312512" TargetMode="External"/><Relationship Id="rId3468" Type="http://schemas.openxmlformats.org/officeDocument/2006/relationships/hyperlink" Target="http://twitter.com/lesterbroom48/statuses/1521011662647697408" TargetMode="External"/><Relationship Id="rId4799" Type="http://schemas.openxmlformats.org/officeDocument/2006/relationships/hyperlink" Target="http://abs.twimg.com/sticky/default_profile_images/default_profile_normal.png" TargetMode="External"/><Relationship Id="rId2139" Type="http://schemas.openxmlformats.org/officeDocument/2006/relationships/hyperlink" Target="http://pbs.twimg.com/profile_images/1164233638243983360/zaO6wj53_normal.jpg" TargetMode="External"/><Relationship Id="rId4790" Type="http://schemas.openxmlformats.org/officeDocument/2006/relationships/hyperlink" Target="http://twitter.com/where_am_i_now_/statuses/1520922309208547328" TargetMode="External"/><Relationship Id="rId3461" Type="http://schemas.openxmlformats.org/officeDocument/2006/relationships/hyperlink" Target="http://pbs.twimg.com/profile_images/1498897800142237701/QAHpdXNg_normal.jpg" TargetMode="External"/><Relationship Id="rId4792" Type="http://schemas.openxmlformats.org/officeDocument/2006/relationships/hyperlink" Target="http://twitter.com/isthisab0t/statuses/1520922279915540481" TargetMode="External"/><Relationship Id="rId2130" Type="http://schemas.openxmlformats.org/officeDocument/2006/relationships/hyperlink" Target="http://twitter.com/ChrisJenkins60/statuses/1521035162661924865" TargetMode="External"/><Relationship Id="rId3460" Type="http://schemas.openxmlformats.org/officeDocument/2006/relationships/hyperlink" Target="http://twitter.com/davidmatterson/statuses/1521011730889023489" TargetMode="External"/><Relationship Id="rId4791" Type="http://schemas.openxmlformats.org/officeDocument/2006/relationships/hyperlink" Target="http://pbs.twimg.com/profile_images/1225538244344938496/16id1r6l_normal.jpg" TargetMode="External"/><Relationship Id="rId2131" Type="http://schemas.openxmlformats.org/officeDocument/2006/relationships/hyperlink" Target="http://pbs.twimg.com/profile_images/1164233638243983360/zaO6wj53_normal.jpg" TargetMode="External"/><Relationship Id="rId3463" Type="http://schemas.openxmlformats.org/officeDocument/2006/relationships/hyperlink" Target="http://pbs.twimg.com/profile_images/1478009565774061573/Vlh6_v3D_normal.jpg" TargetMode="External"/><Relationship Id="rId4794" Type="http://schemas.openxmlformats.org/officeDocument/2006/relationships/hyperlink" Target="http://twitter.com/where_am_i_now_/statuses/1520922249917784064" TargetMode="External"/><Relationship Id="rId2132" Type="http://schemas.openxmlformats.org/officeDocument/2006/relationships/hyperlink" Target="http://twitter.com/thefossiler/statuses/1521035144064348165" TargetMode="External"/><Relationship Id="rId3462" Type="http://schemas.openxmlformats.org/officeDocument/2006/relationships/hyperlink" Target="http://twitter.com/lesterbroom48/statuses/1521011696986476544" TargetMode="External"/><Relationship Id="rId4793" Type="http://schemas.openxmlformats.org/officeDocument/2006/relationships/hyperlink" Target="http://abs.twimg.com/sticky/default_profile_images/default_profile_normal.png" TargetMode="External"/><Relationship Id="rId2133" Type="http://schemas.openxmlformats.org/officeDocument/2006/relationships/hyperlink" Target="http://pbs.twimg.com/profile_images/1448704230244630534/Q2k-GKgw_normal.jpg" TargetMode="External"/><Relationship Id="rId3465" Type="http://schemas.openxmlformats.org/officeDocument/2006/relationships/hyperlink" Target="http://pbs.twimg.com/profile_images/1498897800142237701/QAHpdXNg_normal.jpg" TargetMode="External"/><Relationship Id="rId4796" Type="http://schemas.openxmlformats.org/officeDocument/2006/relationships/hyperlink" Target="http://twitter.com/Patthedog5/statuses/1520922181299056641" TargetMode="External"/><Relationship Id="rId2134" Type="http://schemas.openxmlformats.org/officeDocument/2006/relationships/hyperlink" Target="http://twitter.com/joanna_nicolson/statuses/1521035135071801346" TargetMode="External"/><Relationship Id="rId3464" Type="http://schemas.openxmlformats.org/officeDocument/2006/relationships/hyperlink" Target="http://twitter.com/lis1bee/statuses/1521011683120107520" TargetMode="External"/><Relationship Id="rId4795" Type="http://schemas.openxmlformats.org/officeDocument/2006/relationships/hyperlink" Target="http://abs.twimg.com/sticky/default_profile_images/default_profile_normal.png" TargetMode="External"/><Relationship Id="rId2135" Type="http://schemas.openxmlformats.org/officeDocument/2006/relationships/hyperlink" Target="http://pbs.twimg.com/profile_images/1518503077036310529/JOb4jCLA_normal.jpg" TargetMode="External"/><Relationship Id="rId3467" Type="http://schemas.openxmlformats.org/officeDocument/2006/relationships/hyperlink" Target="http://pbs.twimg.com/profile_images/1498897800142237701/QAHpdXNg_normal.jpg" TargetMode="External"/><Relationship Id="rId4798" Type="http://schemas.openxmlformats.org/officeDocument/2006/relationships/hyperlink" Target="http://twitter.com/isthisab0t/statuses/1520922028957650944" TargetMode="External"/><Relationship Id="rId2136" Type="http://schemas.openxmlformats.org/officeDocument/2006/relationships/hyperlink" Target="http://twitter.com/Lorelei3113/statuses/1521035128033746945" TargetMode="External"/><Relationship Id="rId3466" Type="http://schemas.openxmlformats.org/officeDocument/2006/relationships/hyperlink" Target="http://twitter.com/lesterbroom48/statuses/1521011678401421315" TargetMode="External"/><Relationship Id="rId4797" Type="http://schemas.openxmlformats.org/officeDocument/2006/relationships/hyperlink" Target="http://pbs.twimg.com/profile_images/1225538244344938496/16id1r6l_normal.jpg" TargetMode="External"/><Relationship Id="rId3490" Type="http://schemas.openxmlformats.org/officeDocument/2006/relationships/hyperlink" Target="http://twitter.com/OScaramucci/statuses/1521011228218474500" TargetMode="External"/><Relationship Id="rId2160" Type="http://schemas.openxmlformats.org/officeDocument/2006/relationships/hyperlink" Target="http://twitter.com/tim_urbancrap/statuses/1521034593247404033" TargetMode="External"/><Relationship Id="rId3492" Type="http://schemas.openxmlformats.org/officeDocument/2006/relationships/hyperlink" Target="http://twitter.com/johnrallan/statuses/1521011226570104832" TargetMode="External"/><Relationship Id="rId2161" Type="http://schemas.openxmlformats.org/officeDocument/2006/relationships/hyperlink" Target="http://pbs.twimg.com/profile_images/1346828360845053952/gCvXb2RV_normal.jpg" TargetMode="External"/><Relationship Id="rId3491" Type="http://schemas.openxmlformats.org/officeDocument/2006/relationships/hyperlink" Target="http://pbs.twimg.com/profile_images/1113454104439918593/IdcYnr8j_normal.png" TargetMode="External"/><Relationship Id="rId2162" Type="http://schemas.openxmlformats.org/officeDocument/2006/relationships/hyperlink" Target="http://twitter.com/TransInfoENG1/statuses/1521034559772626944" TargetMode="External"/><Relationship Id="rId3494" Type="http://schemas.openxmlformats.org/officeDocument/2006/relationships/hyperlink" Target="http://twitter.com/CharlotteWyman1/statuses/1521011213911613441" TargetMode="External"/><Relationship Id="rId2163" Type="http://schemas.openxmlformats.org/officeDocument/2006/relationships/hyperlink" Target="http://pbs.twimg.com/profile_images/1502920498757447681/ep6TCpw5_normal.jpg" TargetMode="External"/><Relationship Id="rId3493" Type="http://schemas.openxmlformats.org/officeDocument/2006/relationships/hyperlink" Target="http://pbs.twimg.com/profile_images/1481052023650934785/nzHkTIYM_normal.jpg" TargetMode="External"/><Relationship Id="rId2164" Type="http://schemas.openxmlformats.org/officeDocument/2006/relationships/hyperlink" Target="http://twitter.com/Pierre_Ka/statuses/1521034552122171394" TargetMode="External"/><Relationship Id="rId3496" Type="http://schemas.openxmlformats.org/officeDocument/2006/relationships/hyperlink" Target="http://twitter.com/MHartleyJones/statuses/1521011204075962368" TargetMode="External"/><Relationship Id="rId2165" Type="http://schemas.openxmlformats.org/officeDocument/2006/relationships/hyperlink" Target="http://pbs.twimg.com/profile_images/1013028846038409217/2RXw5z1L_normal.jpg" TargetMode="External"/><Relationship Id="rId3495" Type="http://schemas.openxmlformats.org/officeDocument/2006/relationships/hyperlink" Target="http://pbs.twimg.com/profile_images/1474290699529035780/zjou0DP7_normal.jpg" TargetMode="External"/><Relationship Id="rId2166" Type="http://schemas.openxmlformats.org/officeDocument/2006/relationships/hyperlink" Target="http://twitter.com/ArthurC63013634/statuses/1521034509357133824" TargetMode="External"/><Relationship Id="rId3498" Type="http://schemas.openxmlformats.org/officeDocument/2006/relationships/hyperlink" Target="http://twitter.com/pleadbeter/statuses/1521011189878337541" TargetMode="External"/><Relationship Id="rId2167" Type="http://schemas.openxmlformats.org/officeDocument/2006/relationships/hyperlink" Target="http://abs.twimg.com/sticky/default_profile_images/default_profile_normal.png" TargetMode="External"/><Relationship Id="rId3497" Type="http://schemas.openxmlformats.org/officeDocument/2006/relationships/hyperlink" Target="http://pbs.twimg.com/profile_images/443260730/s0014crop_normal.jpg" TargetMode="External"/><Relationship Id="rId2168" Type="http://schemas.openxmlformats.org/officeDocument/2006/relationships/hyperlink" Target="http://twitter.com/JohnAsh94737774/statuses/1521034466428395521" TargetMode="External"/><Relationship Id="rId2169" Type="http://schemas.openxmlformats.org/officeDocument/2006/relationships/hyperlink" Target="http://pbs.twimg.com/profile_images/1381273718652035073/kCmSjrKl_normal.jpg" TargetMode="External"/><Relationship Id="rId3499" Type="http://schemas.openxmlformats.org/officeDocument/2006/relationships/hyperlink" Target="http://pbs.twimg.com/profile_images/378800000505572670/9e3e66ea9cef2018985cba66fd999154_normal.jpeg" TargetMode="External"/><Relationship Id="rId2159" Type="http://schemas.openxmlformats.org/officeDocument/2006/relationships/hyperlink" Target="http://pbs.twimg.com/profile_images/1498584754358263808/UDoVFnZt_normal.jpg" TargetMode="External"/><Relationship Id="rId3481" Type="http://schemas.openxmlformats.org/officeDocument/2006/relationships/hyperlink" Target="http://pbs.twimg.com/profile_images/1349052028467761154/7oPmEKrF_normal.jpg" TargetMode="External"/><Relationship Id="rId2150" Type="http://schemas.openxmlformats.org/officeDocument/2006/relationships/hyperlink" Target="http://twitter.com/channstupot/statuses/1521034888090116096" TargetMode="External"/><Relationship Id="rId3480" Type="http://schemas.openxmlformats.org/officeDocument/2006/relationships/hyperlink" Target="http://twitter.com/hullfair/statuses/1521011529734397952" TargetMode="External"/><Relationship Id="rId2151" Type="http://schemas.openxmlformats.org/officeDocument/2006/relationships/hyperlink" Target="http://pbs.twimg.com/profile_images/2269723175/jvwqvxybq2vk1wh8uney_normal.jpeg" TargetMode="External"/><Relationship Id="rId3483" Type="http://schemas.openxmlformats.org/officeDocument/2006/relationships/hyperlink" Target="http://abs.twimg.com/sticky/default_profile_images/default_profile_normal.png" TargetMode="External"/><Relationship Id="rId2152" Type="http://schemas.openxmlformats.org/officeDocument/2006/relationships/hyperlink" Target="http://twitter.com/yorkiemoonraker/statuses/1521034886987108353" TargetMode="External"/><Relationship Id="rId3482" Type="http://schemas.openxmlformats.org/officeDocument/2006/relationships/hyperlink" Target="http://twitter.com/tober70986277/statuses/1521011394862366721" TargetMode="External"/><Relationship Id="rId2153" Type="http://schemas.openxmlformats.org/officeDocument/2006/relationships/hyperlink" Target="http://abs.twimg.com/sticky/default_profile_images/default_profile_normal.png" TargetMode="External"/><Relationship Id="rId3485" Type="http://schemas.openxmlformats.org/officeDocument/2006/relationships/hyperlink" Target="http://pbs.twimg.com/profile_images/1514599227912904704/ME38zDtC_normal.jpg" TargetMode="External"/><Relationship Id="rId2154" Type="http://schemas.openxmlformats.org/officeDocument/2006/relationships/hyperlink" Target="http://twitter.com/grim_up_north1/statuses/1521034797006659586" TargetMode="External"/><Relationship Id="rId3484" Type="http://schemas.openxmlformats.org/officeDocument/2006/relationships/hyperlink" Target="http://twitter.com/MourinCelia/statuses/1521011353732923392" TargetMode="External"/><Relationship Id="rId2155" Type="http://schemas.openxmlformats.org/officeDocument/2006/relationships/hyperlink" Target="http://pbs.twimg.com/profile_images/975388012115787776/lA4TdLAB_normal.jpg" TargetMode="External"/><Relationship Id="rId3487" Type="http://schemas.openxmlformats.org/officeDocument/2006/relationships/hyperlink" Target="http://pbs.twimg.com/profile_images/1429821123139674115/J-Obx0By_normal.jpg" TargetMode="External"/><Relationship Id="rId2156" Type="http://schemas.openxmlformats.org/officeDocument/2006/relationships/hyperlink" Target="http://twitter.com/richardvranch/statuses/1521034657109889026" TargetMode="External"/><Relationship Id="rId3486" Type="http://schemas.openxmlformats.org/officeDocument/2006/relationships/hyperlink" Target="http://twitter.com/TonySch71961942/statuses/1521011319104675841" TargetMode="External"/><Relationship Id="rId2157" Type="http://schemas.openxmlformats.org/officeDocument/2006/relationships/hyperlink" Target="http://pbs.twimg.com/profile_images/920538380810752000/-tNaC83e_normal.jpg" TargetMode="External"/><Relationship Id="rId3489" Type="http://schemas.openxmlformats.org/officeDocument/2006/relationships/hyperlink" Target="http://pbs.twimg.com/profile_images/378800000505572670/9e3e66ea9cef2018985cba66fd999154_normal.jpeg" TargetMode="External"/><Relationship Id="rId2158" Type="http://schemas.openxmlformats.org/officeDocument/2006/relationships/hyperlink" Target="http://twitter.com/djangowinedog/statuses/1521034630362763264" TargetMode="External"/><Relationship Id="rId3488" Type="http://schemas.openxmlformats.org/officeDocument/2006/relationships/hyperlink" Target="http://twitter.com/PalmaHelene/statuses/1521011243993161728" TargetMode="External"/><Relationship Id="rId2104" Type="http://schemas.openxmlformats.org/officeDocument/2006/relationships/hyperlink" Target="http://twitter.com/rickglyn/statuses/1521035468422397958" TargetMode="External"/><Relationship Id="rId3436" Type="http://schemas.openxmlformats.org/officeDocument/2006/relationships/hyperlink" Target="http://twitter.com/skamugasa/statuses/1521012101958959105" TargetMode="External"/><Relationship Id="rId4767" Type="http://schemas.openxmlformats.org/officeDocument/2006/relationships/hyperlink" Target="http://pbs.twimg.com/profile_images/1225538244344938496/16id1r6l_normal.jpg" TargetMode="External"/><Relationship Id="rId2105" Type="http://schemas.openxmlformats.org/officeDocument/2006/relationships/hyperlink" Target="http://pbs.twimg.com/profile_images/1483542162222587904/u3q1pRSR_normal.jpg" TargetMode="External"/><Relationship Id="rId3435" Type="http://schemas.openxmlformats.org/officeDocument/2006/relationships/hyperlink" Target="http://pbs.twimg.com/profile_images/1373084965810835457/xgQJ5dnr_normal.jpg" TargetMode="External"/><Relationship Id="rId4766" Type="http://schemas.openxmlformats.org/officeDocument/2006/relationships/hyperlink" Target="http://twitter.com/isthisab0t/statuses/1520923033980084226" TargetMode="External"/><Relationship Id="rId2106" Type="http://schemas.openxmlformats.org/officeDocument/2006/relationships/hyperlink" Target="http://twitter.com/greatorexbt/statuses/1521035467445219329" TargetMode="External"/><Relationship Id="rId3438" Type="http://schemas.openxmlformats.org/officeDocument/2006/relationships/hyperlink" Target="http://twitter.com/Chairmanbenr/statuses/1521012098062557184" TargetMode="External"/><Relationship Id="rId4769" Type="http://schemas.openxmlformats.org/officeDocument/2006/relationships/hyperlink" Target="http://abs.twimg.com/sticky/default_profile_images/default_profile_normal.png" TargetMode="External"/><Relationship Id="rId2107" Type="http://schemas.openxmlformats.org/officeDocument/2006/relationships/hyperlink" Target="http://pbs.twimg.com/profile_images/1135807008546967552/tiYyfj17_normal.jpg" TargetMode="External"/><Relationship Id="rId3437" Type="http://schemas.openxmlformats.org/officeDocument/2006/relationships/hyperlink" Target="http://pbs.twimg.com/profile_images/1145613639/abf6a88f-df56-4adc-9df0-3a712d845398_normal.png" TargetMode="External"/><Relationship Id="rId4768" Type="http://schemas.openxmlformats.org/officeDocument/2006/relationships/hyperlink" Target="http://twitter.com/isthisab0t/statuses/1520923032864411648" TargetMode="External"/><Relationship Id="rId2108" Type="http://schemas.openxmlformats.org/officeDocument/2006/relationships/hyperlink" Target="http://twitter.com/ClaraHa24405597/statuses/1521035418153762817" TargetMode="External"/><Relationship Id="rId2109" Type="http://schemas.openxmlformats.org/officeDocument/2006/relationships/hyperlink" Target="http://pbs.twimg.com/profile_images/1439300480895758345/SQ5en8D6_normal.jpg" TargetMode="External"/><Relationship Id="rId3439" Type="http://schemas.openxmlformats.org/officeDocument/2006/relationships/hyperlink" Target="http://pbs.twimg.com/profile_images/430015464144900096/g02kN9Ox_normal.jpeg" TargetMode="External"/><Relationship Id="rId3430" Type="http://schemas.openxmlformats.org/officeDocument/2006/relationships/hyperlink" Target="http://twitter.com/annyarej/statuses/1521012208121044992" TargetMode="External"/><Relationship Id="rId4761" Type="http://schemas.openxmlformats.org/officeDocument/2006/relationships/hyperlink" Target="http://pbs.twimg.com/profile_images/1375123670755082244/tNX9ZfSD_normal.png" TargetMode="External"/><Relationship Id="rId4760" Type="http://schemas.openxmlformats.org/officeDocument/2006/relationships/hyperlink" Target="http://twitter.com/isthisab0t/statuses/1520923285571227649" TargetMode="External"/><Relationship Id="rId2100" Type="http://schemas.openxmlformats.org/officeDocument/2006/relationships/hyperlink" Target="http://twitter.com/mramanna/statuses/1521035501851090944" TargetMode="External"/><Relationship Id="rId3432" Type="http://schemas.openxmlformats.org/officeDocument/2006/relationships/hyperlink" Target="http://twitter.com/Frasier67Blank/statuses/1521012195936681984" TargetMode="External"/><Relationship Id="rId4763" Type="http://schemas.openxmlformats.org/officeDocument/2006/relationships/hyperlink" Target="http://abs.twimg.com/sticky/default_profile_images/default_profile_normal.png" TargetMode="External"/><Relationship Id="rId2101" Type="http://schemas.openxmlformats.org/officeDocument/2006/relationships/hyperlink" Target="http://pbs.twimg.com/profile_images/1457082913703571456/m3KN7lAq_normal.jpg" TargetMode="External"/><Relationship Id="rId3431" Type="http://schemas.openxmlformats.org/officeDocument/2006/relationships/hyperlink" Target="http://pbs.twimg.com/profile_images/1487560014126624774/CVTQ7xDj_normal.jpg" TargetMode="External"/><Relationship Id="rId4762" Type="http://schemas.openxmlformats.org/officeDocument/2006/relationships/hyperlink" Target="http://twitter.com/BoycottNTU/statuses/1520923279292342273" TargetMode="External"/><Relationship Id="rId2102" Type="http://schemas.openxmlformats.org/officeDocument/2006/relationships/hyperlink" Target="http://twitter.com/NigelBenar/statuses/1521035480200060930" TargetMode="External"/><Relationship Id="rId3434" Type="http://schemas.openxmlformats.org/officeDocument/2006/relationships/hyperlink" Target="http://twitter.com/annyarej/statuses/1521012103989055488" TargetMode="External"/><Relationship Id="rId4765" Type="http://schemas.openxmlformats.org/officeDocument/2006/relationships/hyperlink" Target="http://pbs.twimg.com/profile_images/1225538244344938496/16id1r6l_normal.jpg" TargetMode="External"/><Relationship Id="rId2103" Type="http://schemas.openxmlformats.org/officeDocument/2006/relationships/hyperlink" Target="http://pbs.twimg.com/profile_images/1413997364/richardg2_normal.png" TargetMode="External"/><Relationship Id="rId3433" Type="http://schemas.openxmlformats.org/officeDocument/2006/relationships/hyperlink" Target="http://pbs.twimg.com/profile_images/430015464144900096/g02kN9Ox_normal.jpeg" TargetMode="External"/><Relationship Id="rId4764" Type="http://schemas.openxmlformats.org/officeDocument/2006/relationships/hyperlink" Target="http://twitter.com/Patthedog5/statuses/1520923101017653251" TargetMode="External"/><Relationship Id="rId3425" Type="http://schemas.openxmlformats.org/officeDocument/2006/relationships/hyperlink" Target="http://pbs.twimg.com/profile_images/1498239585989664769/w6UQZDfW_normal.jpg" TargetMode="External"/><Relationship Id="rId4756" Type="http://schemas.openxmlformats.org/officeDocument/2006/relationships/hyperlink" Target="http://twitter.com/Jaybronwenhall/statuses/1520924052298293250" TargetMode="External"/><Relationship Id="rId3424" Type="http://schemas.openxmlformats.org/officeDocument/2006/relationships/hyperlink" Target="http://twitter.com/beech78/statuses/1521012396428611585" TargetMode="External"/><Relationship Id="rId4755" Type="http://schemas.openxmlformats.org/officeDocument/2006/relationships/hyperlink" Target="http://pbs.twimg.com/profile_images/1300397573073776641/3uHHkyyb_normal.jpg" TargetMode="External"/><Relationship Id="rId3427" Type="http://schemas.openxmlformats.org/officeDocument/2006/relationships/hyperlink" Target="http://pbs.twimg.com/profile_images/1497879078585737218/JoPIgiqJ_normal.jpg" TargetMode="External"/><Relationship Id="rId4758" Type="http://schemas.openxmlformats.org/officeDocument/2006/relationships/hyperlink" Target="http://twitter.com/IMSpardagus/statuses/1520923778166968322" TargetMode="External"/><Relationship Id="rId3426" Type="http://schemas.openxmlformats.org/officeDocument/2006/relationships/hyperlink" Target="http://twitter.com/___angelheart__/statuses/1521012371648614400" TargetMode="External"/><Relationship Id="rId4757" Type="http://schemas.openxmlformats.org/officeDocument/2006/relationships/hyperlink" Target="http://pbs.twimg.com/profile_images/1353297218237829120/5dHdrhca_normal.jpg" TargetMode="External"/><Relationship Id="rId3429" Type="http://schemas.openxmlformats.org/officeDocument/2006/relationships/hyperlink" Target="http://pbs.twimg.com/profile_images/430015464144900096/g02kN9Ox_normal.jpeg" TargetMode="External"/><Relationship Id="rId3428" Type="http://schemas.openxmlformats.org/officeDocument/2006/relationships/hyperlink" Target="http://twitter.com/ecklwald/statuses/1521012306041352192" TargetMode="External"/><Relationship Id="rId4759" Type="http://schemas.openxmlformats.org/officeDocument/2006/relationships/hyperlink" Target="http://pbs.twimg.com/profile_images/1225538244344938496/16id1r6l_normal.jpg" TargetMode="External"/><Relationship Id="rId899" Type="http://schemas.openxmlformats.org/officeDocument/2006/relationships/hyperlink" Target="http://pbs.twimg.com/profile_images/1514178416832126980/-RBT4ZEv_normal.jpg" TargetMode="External"/><Relationship Id="rId898" Type="http://schemas.openxmlformats.org/officeDocument/2006/relationships/hyperlink" Target="http://twitter.com/ezzye/statuses/1521056312729214976" TargetMode="External"/><Relationship Id="rId897" Type="http://schemas.openxmlformats.org/officeDocument/2006/relationships/hyperlink" Target="http://pbs.twimg.com/profile_images/1495435956756918275/xfxfRFGN_normal.jpg" TargetMode="External"/><Relationship Id="rId896" Type="http://schemas.openxmlformats.org/officeDocument/2006/relationships/hyperlink" Target="http://twitter.com/Alchmist93till/statuses/1521056318911664132" TargetMode="External"/><Relationship Id="rId891" Type="http://schemas.openxmlformats.org/officeDocument/2006/relationships/hyperlink" Target="http://pbs.twimg.com/profile_images/1409971823530369027/DLUAo7ZE_normal.jpg" TargetMode="External"/><Relationship Id="rId890" Type="http://schemas.openxmlformats.org/officeDocument/2006/relationships/hyperlink" Target="http://twitter.com/MancCoin/statuses/1521056394253946882" TargetMode="External"/><Relationship Id="rId4750" Type="http://schemas.openxmlformats.org/officeDocument/2006/relationships/hyperlink" Target="http://twitter.com/elpistolero7/statuses/1520924442741850114" TargetMode="External"/><Relationship Id="rId895" Type="http://schemas.openxmlformats.org/officeDocument/2006/relationships/hyperlink" Target="http://pbs.twimg.com/profile_images/1413840176846102529/TnPPgexH_normal.jpg" TargetMode="External"/><Relationship Id="rId3421" Type="http://schemas.openxmlformats.org/officeDocument/2006/relationships/hyperlink" Target="http://pbs.twimg.com/profile_images/1501324734998491139/c1Km7phT_normal.jpg" TargetMode="External"/><Relationship Id="rId4752" Type="http://schemas.openxmlformats.org/officeDocument/2006/relationships/hyperlink" Target="http://twitter.com/polightbulb/statuses/1520924381022760960" TargetMode="External"/><Relationship Id="rId894" Type="http://schemas.openxmlformats.org/officeDocument/2006/relationships/hyperlink" Target="http://twitter.com/TheCPDiary/statuses/1521056377044623365" TargetMode="External"/><Relationship Id="rId3420" Type="http://schemas.openxmlformats.org/officeDocument/2006/relationships/hyperlink" Target="http://twitter.com/BrianGoredemaBr/statuses/1521012452078596096" TargetMode="External"/><Relationship Id="rId4751" Type="http://schemas.openxmlformats.org/officeDocument/2006/relationships/hyperlink" Target="http://pbs.twimg.com/profile_images/540095934667845633/uFIeZtQf_normal.png" TargetMode="External"/><Relationship Id="rId893" Type="http://schemas.openxmlformats.org/officeDocument/2006/relationships/hyperlink" Target="http://pbs.twimg.com/profile_images/1250448404192415744/1g28Gb3c_normal.jpg" TargetMode="External"/><Relationship Id="rId3423" Type="http://schemas.openxmlformats.org/officeDocument/2006/relationships/hyperlink" Target="http://pbs.twimg.com/profile_images/613365791979925504/Fsn961iE_normal.jpg" TargetMode="External"/><Relationship Id="rId4754" Type="http://schemas.openxmlformats.org/officeDocument/2006/relationships/hyperlink" Target="http://twitter.com/erichearn/statuses/1520924158846279682" TargetMode="External"/><Relationship Id="rId892" Type="http://schemas.openxmlformats.org/officeDocument/2006/relationships/hyperlink" Target="http://twitter.com/tomm_baldwin/statuses/1521056382623096832" TargetMode="External"/><Relationship Id="rId3422" Type="http://schemas.openxmlformats.org/officeDocument/2006/relationships/hyperlink" Target="http://twitter.com/noreent1234/statuses/1521012434164670464" TargetMode="External"/><Relationship Id="rId4753" Type="http://schemas.openxmlformats.org/officeDocument/2006/relationships/hyperlink" Target="http://pbs.twimg.com/profile_images/486218866423373825/eAxq9vGy_normal.jpeg" TargetMode="External"/><Relationship Id="rId2126" Type="http://schemas.openxmlformats.org/officeDocument/2006/relationships/hyperlink" Target="http://twitter.com/PeteSKingston/statuses/1521035187181834240" TargetMode="External"/><Relationship Id="rId3458" Type="http://schemas.openxmlformats.org/officeDocument/2006/relationships/hyperlink" Target="http://twitter.com/Ann06957684/statuses/1521011747850760192" TargetMode="External"/><Relationship Id="rId4789" Type="http://schemas.openxmlformats.org/officeDocument/2006/relationships/hyperlink" Target="http://abs.twimg.com/sticky/default_profile_images/default_profile_normal.png" TargetMode="External"/><Relationship Id="rId2127" Type="http://schemas.openxmlformats.org/officeDocument/2006/relationships/hyperlink" Target="http://pbs.twimg.com/profile_images/1493544717572837379/tcfHaF6m_normal.jpg" TargetMode="External"/><Relationship Id="rId3457" Type="http://schemas.openxmlformats.org/officeDocument/2006/relationships/hyperlink" Target="http://pbs.twimg.com/profile_images/1490690115445870592/C33DufNm_normal.jpg" TargetMode="External"/><Relationship Id="rId4788" Type="http://schemas.openxmlformats.org/officeDocument/2006/relationships/hyperlink" Target="http://twitter.com/Yasmin22867421/statuses/1520922379341504512" TargetMode="External"/><Relationship Id="rId2128" Type="http://schemas.openxmlformats.org/officeDocument/2006/relationships/hyperlink" Target="http://twitter.com/liarpolitician4/statuses/1521035168823365632" TargetMode="External"/><Relationship Id="rId2129" Type="http://schemas.openxmlformats.org/officeDocument/2006/relationships/hyperlink" Target="http://pbs.twimg.com/profile_images/851839861845872644/mTiS9mmB_normal.jpg" TargetMode="External"/><Relationship Id="rId3459" Type="http://schemas.openxmlformats.org/officeDocument/2006/relationships/hyperlink" Target="http://abs.twimg.com/sticky/default_profile_images/default_profile_normal.png" TargetMode="External"/><Relationship Id="rId3450" Type="http://schemas.openxmlformats.org/officeDocument/2006/relationships/hyperlink" Target="http://twitter.com/philiparrogers/statuses/1521012032887308288" TargetMode="External"/><Relationship Id="rId4781" Type="http://schemas.openxmlformats.org/officeDocument/2006/relationships/hyperlink" Target="http://pbs.twimg.com/profile_images/1497892375154380812/oRCJEtMR_normal.jpg" TargetMode="External"/><Relationship Id="rId4780" Type="http://schemas.openxmlformats.org/officeDocument/2006/relationships/hyperlink" Target="http://twitter.com/isthisab0t/statuses/1520922532815196166" TargetMode="External"/><Relationship Id="rId2120" Type="http://schemas.openxmlformats.org/officeDocument/2006/relationships/hyperlink" Target="http://twitter.com/PatYoung/statuses/1521035222913060865" TargetMode="External"/><Relationship Id="rId3452" Type="http://schemas.openxmlformats.org/officeDocument/2006/relationships/hyperlink" Target="http://twitter.com/katecooper/statuses/1521011965606436865" TargetMode="External"/><Relationship Id="rId4783" Type="http://schemas.openxmlformats.org/officeDocument/2006/relationships/hyperlink" Target="http://abs.twimg.com/sticky/default_profile_images/default_profile_normal.png" TargetMode="External"/><Relationship Id="rId2121" Type="http://schemas.openxmlformats.org/officeDocument/2006/relationships/hyperlink" Target="http://pbs.twimg.com/profile_images/1413997364/richardg2_normal.png" TargetMode="External"/><Relationship Id="rId3451" Type="http://schemas.openxmlformats.org/officeDocument/2006/relationships/hyperlink" Target="http://pbs.twimg.com/profile_images/864874528631115776/jQO_9Bzu_normal.jpg" TargetMode="External"/><Relationship Id="rId4782" Type="http://schemas.openxmlformats.org/officeDocument/2006/relationships/hyperlink" Target="http://twitter.com/castervaria/statuses/1520922521423462402" TargetMode="External"/><Relationship Id="rId2122" Type="http://schemas.openxmlformats.org/officeDocument/2006/relationships/hyperlink" Target="http://twitter.com/rickglyn/statuses/1521035214729977858" TargetMode="External"/><Relationship Id="rId3454" Type="http://schemas.openxmlformats.org/officeDocument/2006/relationships/hyperlink" Target="http://twitter.com/annyarej/statuses/1521011952415383553" TargetMode="External"/><Relationship Id="rId4785" Type="http://schemas.openxmlformats.org/officeDocument/2006/relationships/hyperlink" Target="http://abs.twimg.com/sticky/default_profile_images/default_profile_normal.png" TargetMode="External"/><Relationship Id="rId2123" Type="http://schemas.openxmlformats.org/officeDocument/2006/relationships/hyperlink" Target="http://pbs.twimg.com/profile_images/1455567002203049990/4Xr22e1A_normal.jpg" TargetMode="External"/><Relationship Id="rId3453" Type="http://schemas.openxmlformats.org/officeDocument/2006/relationships/hyperlink" Target="http://pbs.twimg.com/profile_images/430015464144900096/g02kN9Ox_normal.jpeg" TargetMode="External"/><Relationship Id="rId4784" Type="http://schemas.openxmlformats.org/officeDocument/2006/relationships/hyperlink" Target="http://twitter.com/where_am_i_now_/statuses/1520922468831178752" TargetMode="External"/><Relationship Id="rId2124" Type="http://schemas.openxmlformats.org/officeDocument/2006/relationships/hyperlink" Target="http://twitter.com/rooftopdennis/statuses/1521035205544497153" TargetMode="External"/><Relationship Id="rId3456" Type="http://schemas.openxmlformats.org/officeDocument/2006/relationships/hyperlink" Target="http://twitter.com/ASaramelkonian/statuses/1521011756528721921" TargetMode="External"/><Relationship Id="rId4787" Type="http://schemas.openxmlformats.org/officeDocument/2006/relationships/hyperlink" Target="http://abs.twimg.com/sticky/default_profile_images/default_profile_normal.png" TargetMode="External"/><Relationship Id="rId2125" Type="http://schemas.openxmlformats.org/officeDocument/2006/relationships/hyperlink" Target="http://pbs.twimg.com/profile_images/1167918534204084225/XhG5LXys_normal.jpg" TargetMode="External"/><Relationship Id="rId3455" Type="http://schemas.openxmlformats.org/officeDocument/2006/relationships/hyperlink" Target="http://pbs.twimg.com/profile_images/1417728055892717569/CwUIcw-C_normal.jpg" TargetMode="External"/><Relationship Id="rId4786" Type="http://schemas.openxmlformats.org/officeDocument/2006/relationships/hyperlink" Target="http://twitter.com/Patthedog5/statuses/1520922418625363968" TargetMode="External"/><Relationship Id="rId2115" Type="http://schemas.openxmlformats.org/officeDocument/2006/relationships/hyperlink" Target="http://pbs.twimg.com/profile_images/580664681171419136/8idjQL2Z_normal.png" TargetMode="External"/><Relationship Id="rId3447" Type="http://schemas.openxmlformats.org/officeDocument/2006/relationships/hyperlink" Target="http://pbs.twimg.com/profile_images/1497879078585737218/JoPIgiqJ_normal.jpg" TargetMode="External"/><Relationship Id="rId4778" Type="http://schemas.openxmlformats.org/officeDocument/2006/relationships/hyperlink" Target="http://twitter.com/Patthedog5/statuses/1520922607645827072" TargetMode="External"/><Relationship Id="rId2116" Type="http://schemas.openxmlformats.org/officeDocument/2006/relationships/hyperlink" Target="http://twitter.com/KevPask/statuses/1521035259327954945" TargetMode="External"/><Relationship Id="rId3446" Type="http://schemas.openxmlformats.org/officeDocument/2006/relationships/hyperlink" Target="http://twitter.com/BylineTimes/statuses/1521012049387692032" TargetMode="External"/><Relationship Id="rId4777" Type="http://schemas.openxmlformats.org/officeDocument/2006/relationships/hyperlink" Target="http://abs.twimg.com/sticky/default_profile_images/default_profile_normal.png" TargetMode="External"/><Relationship Id="rId2117" Type="http://schemas.openxmlformats.org/officeDocument/2006/relationships/hyperlink" Target="http://pbs.twimg.com/profile_images/1498383268126896128/X7D7L7kE_normal.jpg" TargetMode="External"/><Relationship Id="rId3449" Type="http://schemas.openxmlformats.org/officeDocument/2006/relationships/hyperlink" Target="http://pbs.twimg.com/profile_images/1066408206954582021/RaKE_iFB_normal.jpg" TargetMode="External"/><Relationship Id="rId2118" Type="http://schemas.openxmlformats.org/officeDocument/2006/relationships/hyperlink" Target="http://twitter.com/andysloane5/statuses/1521035229057724419" TargetMode="External"/><Relationship Id="rId3448" Type="http://schemas.openxmlformats.org/officeDocument/2006/relationships/hyperlink" Target="http://twitter.com/ecklwald/statuses/1521012046149697536" TargetMode="External"/><Relationship Id="rId4779" Type="http://schemas.openxmlformats.org/officeDocument/2006/relationships/hyperlink" Target="http://pbs.twimg.com/profile_images/1225538244344938496/16id1r6l_normal.jpg" TargetMode="External"/><Relationship Id="rId2119" Type="http://schemas.openxmlformats.org/officeDocument/2006/relationships/hyperlink" Target="http://pbs.twimg.com/profile_images/1113420477287075841/ONPCvym8_normal.png" TargetMode="External"/><Relationship Id="rId4770" Type="http://schemas.openxmlformats.org/officeDocument/2006/relationships/hyperlink" Target="http://twitter.com/Patthedog5/statuses/1520922974492278785" TargetMode="External"/><Relationship Id="rId3441" Type="http://schemas.openxmlformats.org/officeDocument/2006/relationships/hyperlink" Target="http://pbs.twimg.com/profile_images/1340954609620283395/jMMs99Qi_normal.jpg" TargetMode="External"/><Relationship Id="rId4772" Type="http://schemas.openxmlformats.org/officeDocument/2006/relationships/hyperlink" Target="http://twitter.com/Patthedog5/statuses/1520922850638577664" TargetMode="External"/><Relationship Id="rId2110" Type="http://schemas.openxmlformats.org/officeDocument/2006/relationships/hyperlink" Target="http://twitter.com/TaraOCo38612075/statuses/1521035417461604353" TargetMode="External"/><Relationship Id="rId3440" Type="http://schemas.openxmlformats.org/officeDocument/2006/relationships/hyperlink" Target="http://twitter.com/annyarej/statuses/1521012068786266112" TargetMode="External"/><Relationship Id="rId4771" Type="http://schemas.openxmlformats.org/officeDocument/2006/relationships/hyperlink" Target="http://abs.twimg.com/sticky/default_profile_images/default_profile_normal.png" TargetMode="External"/><Relationship Id="rId2111" Type="http://schemas.openxmlformats.org/officeDocument/2006/relationships/hyperlink" Target="http://pbs.twimg.com/profile_images/425353013960531968/TrjXldLb_normal.jpeg" TargetMode="External"/><Relationship Id="rId3443" Type="http://schemas.openxmlformats.org/officeDocument/2006/relationships/hyperlink" Target="http://pbs.twimg.com/profile_images/1272537405644513280/v-jCB9iz_normal.jpg" TargetMode="External"/><Relationship Id="rId4774" Type="http://schemas.openxmlformats.org/officeDocument/2006/relationships/hyperlink" Target="http://twitter.com/isthisab0t/statuses/1520922782476947462" TargetMode="External"/><Relationship Id="rId2112" Type="http://schemas.openxmlformats.org/officeDocument/2006/relationships/hyperlink" Target="http://twitter.com/richardbullard2/statuses/1521035302458044416" TargetMode="External"/><Relationship Id="rId3442" Type="http://schemas.openxmlformats.org/officeDocument/2006/relationships/hyperlink" Target="http://twitter.com/PaulGir80767244/statuses/1521012058015285251" TargetMode="External"/><Relationship Id="rId4773" Type="http://schemas.openxmlformats.org/officeDocument/2006/relationships/hyperlink" Target="http://pbs.twimg.com/profile_images/1225538244344938496/16id1r6l_normal.jpg" TargetMode="External"/><Relationship Id="rId2113" Type="http://schemas.openxmlformats.org/officeDocument/2006/relationships/hyperlink" Target="http://pbs.twimg.com/profile_images/1499688926575050758/5NYjK-X6_normal.jpg" TargetMode="External"/><Relationship Id="rId3445" Type="http://schemas.openxmlformats.org/officeDocument/2006/relationships/hyperlink" Target="http://pbs.twimg.com/profile_images/1173644302876102656/qKaKPCbc_normal.jpg" TargetMode="External"/><Relationship Id="rId4776" Type="http://schemas.openxmlformats.org/officeDocument/2006/relationships/hyperlink" Target="http://twitter.com/JJ_Enchanted/statuses/1520922724532736001" TargetMode="External"/><Relationship Id="rId2114" Type="http://schemas.openxmlformats.org/officeDocument/2006/relationships/hyperlink" Target="http://twitter.com/stevieone3/statuses/1521035265640382465" TargetMode="External"/><Relationship Id="rId3444" Type="http://schemas.openxmlformats.org/officeDocument/2006/relationships/hyperlink" Target="http://twitter.com/Happytoberight/statuses/1521012057281343488" TargetMode="External"/><Relationship Id="rId4775" Type="http://schemas.openxmlformats.org/officeDocument/2006/relationships/hyperlink" Target="http://pbs.twimg.com/profile_images/1390133348438323202/nJ6V04FT_normal.jpg" TargetMode="Externa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92" Type="http://schemas.openxmlformats.org/officeDocument/2006/relationships/hyperlink" Target="http://hawksey.info/tagsexplorer/arc.html?key=1juyIQsnL_T8tqzfzAVVjPctB4eqiafTghnL_xhvkrjk&amp;gid=400689247&amp;screenname=Eleanor1026" TargetMode="External"/><Relationship Id="rId391" Type="http://schemas.openxmlformats.org/officeDocument/2006/relationships/hyperlink" Target="http://hawksey.info/tagsexplorer/arc.html?key=1juyIQsnL_T8tqzfzAVVjPctB4eqiafTghnL_xhvkrjk&amp;gid=400689247&amp;screenname=ElaineOkmolley" TargetMode="External"/><Relationship Id="rId390" Type="http://schemas.openxmlformats.org/officeDocument/2006/relationships/hyperlink" Target="http://hawksey.info/tagsexplorer/arc.html?key=1juyIQsnL_T8tqzfzAVVjPctB4eqiafTghnL_xhvkrjk&amp;gid=400689247&amp;screenname=ElaineMMilford1" TargetMode="External"/><Relationship Id="rId2180" Type="http://schemas.openxmlformats.org/officeDocument/2006/relationships/hyperlink" Target="http://hawksey.info/tagsexplorer/arc.html?key=1juyIQsnL_T8tqzfzAVVjPctB4eqiafTghnL_xhvkrjk&amp;gid=400689247&amp;screenname=valuestoimpact" TargetMode="External"/><Relationship Id="rId2181" Type="http://schemas.openxmlformats.org/officeDocument/2006/relationships/hyperlink" Target="http://hawksey.info/tagsexplorer/arc.html?key=1juyIQsnL_T8tqzfzAVVjPctB4eqiafTghnL_xhvkrjk&amp;gid=400689247&amp;screenname=valvebender" TargetMode="External"/><Relationship Id="rId2182" Type="http://schemas.openxmlformats.org/officeDocument/2006/relationships/hyperlink" Target="http://hawksey.info/tagsexplorer/arc.html?key=1juyIQsnL_T8tqzfzAVVjPctB4eqiafTghnL_xhvkrjk&amp;gid=400689247&amp;screenname=velmadoo" TargetMode="External"/><Relationship Id="rId2183" Type="http://schemas.openxmlformats.org/officeDocument/2006/relationships/hyperlink" Target="http://hawksey.info/tagsexplorer/arc.html?key=1juyIQsnL_T8tqzfzAVVjPctB4eqiafTghnL_xhvkrjk&amp;gid=400689247&amp;screenname=verruckte_welt_" TargetMode="External"/><Relationship Id="rId385" Type="http://schemas.openxmlformats.org/officeDocument/2006/relationships/hyperlink" Target="http://hawksey.info/tagsexplorer/arc.html?key=1juyIQsnL_T8tqzfzAVVjPctB4eqiafTghnL_xhvkrjk&amp;gid=400689247&amp;screenname=EdTruman3" TargetMode="External"/><Relationship Id="rId2184" Type="http://schemas.openxmlformats.org/officeDocument/2006/relationships/hyperlink" Target="http://hawksey.info/tagsexplorer/arc.html?key=1juyIQsnL_T8tqzfzAVVjPctB4eqiafTghnL_xhvkrjk&amp;gid=400689247&amp;screenname=vhaeraun456" TargetMode="External"/><Relationship Id="rId384" Type="http://schemas.openxmlformats.org/officeDocument/2006/relationships/hyperlink" Target="http://hawksey.info/tagsexplorer/arc.html?key=1juyIQsnL_T8tqzfzAVVjPctB4eqiafTghnL_xhvkrjk&amp;gid=400689247&amp;screenname=EchoSerenityXb" TargetMode="External"/><Relationship Id="rId2185" Type="http://schemas.openxmlformats.org/officeDocument/2006/relationships/hyperlink" Target="http://hawksey.info/tagsexplorer/arc.html?key=1juyIQsnL_T8tqzfzAVVjPctB4eqiafTghnL_xhvkrjk&amp;gid=400689247&amp;screenname=vickijohnson151" TargetMode="External"/><Relationship Id="rId383" Type="http://schemas.openxmlformats.org/officeDocument/2006/relationships/hyperlink" Target="http://hawksey.info/tagsexplorer/arc.html?key=1juyIQsnL_T8tqzfzAVVjPctB4eqiafTghnL_xhvkrjk&amp;gid=400689247&amp;screenname=Eastwood12Colin" TargetMode="External"/><Relationship Id="rId2186" Type="http://schemas.openxmlformats.org/officeDocument/2006/relationships/hyperlink" Target="http://hawksey.info/tagsexplorer/arc.html?key=1juyIQsnL_T8tqzfzAVVjPctB4eqiafTghnL_xhvkrjk&amp;gid=400689247&amp;screenname=vickyjane261" TargetMode="External"/><Relationship Id="rId382" Type="http://schemas.openxmlformats.org/officeDocument/2006/relationships/hyperlink" Target="http://hawksey.info/tagsexplorer/arc.html?key=1juyIQsnL_T8tqzfzAVVjPctB4eqiafTghnL_xhvkrjk&amp;gid=400689247&amp;screenname=EastKent_EM" TargetMode="External"/><Relationship Id="rId2187" Type="http://schemas.openxmlformats.org/officeDocument/2006/relationships/hyperlink" Target="http://hawksey.info/tagsexplorer/arc.html?key=1juyIQsnL_T8tqzfzAVVjPctB4eqiafTghnL_xhvkrjk&amp;gid=400689247&amp;screenname=vinegarjoe10" TargetMode="External"/><Relationship Id="rId389" Type="http://schemas.openxmlformats.org/officeDocument/2006/relationships/hyperlink" Target="http://hawksey.info/tagsexplorer/arc.html?key=1juyIQsnL_T8tqzfzAVVjPctB4eqiafTghnL_xhvkrjk&amp;gid=400689247&amp;screenname=EggAlison" TargetMode="External"/><Relationship Id="rId2188" Type="http://schemas.openxmlformats.org/officeDocument/2006/relationships/hyperlink" Target="http://hawksey.info/tagsexplorer/arc.html?key=1juyIQsnL_T8tqzfzAVVjPctB4eqiafTghnL_xhvkrjk&amp;gid=400689247&amp;screenname=vittart75" TargetMode="External"/><Relationship Id="rId388" Type="http://schemas.openxmlformats.org/officeDocument/2006/relationships/hyperlink" Target="http://hawksey.info/tagsexplorer/arc.html?key=1juyIQsnL_T8tqzfzAVVjPctB4eqiafTghnL_xhvkrjk&amp;gid=400689247&amp;screenname=Edinburgh4EU" TargetMode="External"/><Relationship Id="rId2189" Type="http://schemas.openxmlformats.org/officeDocument/2006/relationships/hyperlink" Target="http://hawksey.info/tagsexplorer/arc.html?key=1juyIQsnL_T8tqzfzAVVjPctB4eqiafTghnL_xhvkrjk&amp;gid=400689247&amp;screenname=weareyandi" TargetMode="External"/><Relationship Id="rId387" Type="http://schemas.openxmlformats.org/officeDocument/2006/relationships/hyperlink" Target="http://hawksey.info/tagsexplorer/arc.html?key=1juyIQsnL_T8tqzfzAVVjPctB4eqiafTghnL_xhvkrjk&amp;gid=400689247&amp;screenname=EddieDa18107857" TargetMode="External"/><Relationship Id="rId386" Type="http://schemas.openxmlformats.org/officeDocument/2006/relationships/hyperlink" Target="http://hawksey.info/tagsexplorer/arc.html?key=1juyIQsnL_T8tqzfzAVVjPctB4eqiafTghnL_xhvkrjk&amp;gid=400689247&amp;screenname=EdWard40100035" TargetMode="External"/><Relationship Id="rId381" Type="http://schemas.openxmlformats.org/officeDocument/2006/relationships/hyperlink" Target="http://hawksey.info/tagsexplorer/arc.html?key=1juyIQsnL_T8tqzfzAVVjPctB4eqiafTghnL_xhvkrjk&amp;gid=400689247&amp;screenname=Eades_Tweets" TargetMode="External"/><Relationship Id="rId380" Type="http://schemas.openxmlformats.org/officeDocument/2006/relationships/hyperlink" Target="http://hawksey.info/tagsexplorer/arc.html?key=1juyIQsnL_T8tqzfzAVVjPctB4eqiafTghnL_xhvkrjk&amp;gid=400689247&amp;screenname=EUtopean" TargetMode="External"/><Relationship Id="rId379" Type="http://schemas.openxmlformats.org/officeDocument/2006/relationships/hyperlink" Target="http://hawksey.info/tagsexplorer/arc.html?key=1juyIQsnL_T8tqzfzAVVjPctB4eqiafTghnL_xhvkrjk&amp;gid=400689247&amp;screenname=EU_Citizen2" TargetMode="External"/><Relationship Id="rId2170" Type="http://schemas.openxmlformats.org/officeDocument/2006/relationships/hyperlink" Target="http://hawksey.info/tagsexplorer/arc.html?key=1juyIQsnL_T8tqzfzAVVjPctB4eqiafTghnL_xhvkrjk&amp;gid=400689247&amp;screenname=tudorinjordan" TargetMode="External"/><Relationship Id="rId2171" Type="http://schemas.openxmlformats.org/officeDocument/2006/relationships/hyperlink" Target="http://hawksey.info/tagsexplorer/arc.html?key=1juyIQsnL_T8tqzfzAVVjPctB4eqiafTghnL_xhvkrjk&amp;gid=400689247&amp;screenname=turbograndad65" TargetMode="External"/><Relationship Id="rId2172" Type="http://schemas.openxmlformats.org/officeDocument/2006/relationships/hyperlink" Target="http://hawksey.info/tagsexplorer/arc.html?key=1juyIQsnL_T8tqzfzAVVjPctB4eqiafTghnL_xhvkrjk&amp;gid=400689247&amp;screenname=turrabuddie" TargetMode="External"/><Relationship Id="rId374" Type="http://schemas.openxmlformats.org/officeDocument/2006/relationships/hyperlink" Target="http://hawksey.info/tagsexplorer/arc.html?key=1juyIQsnL_T8tqzfzAVVjPctB4eqiafTghnL_xhvkrjk&amp;gid=400689247&amp;screenname=EH54_Lainey" TargetMode="External"/><Relationship Id="rId2173" Type="http://schemas.openxmlformats.org/officeDocument/2006/relationships/hyperlink" Target="http://hawksey.info/tagsexplorer/arc.html?key=1juyIQsnL_T8tqzfzAVVjPctB4eqiafTghnL_xhvkrjk&amp;gid=400689247&amp;screenname=tweet2chris2" TargetMode="External"/><Relationship Id="rId373" Type="http://schemas.openxmlformats.org/officeDocument/2006/relationships/hyperlink" Target="http://hawksey.info/tagsexplorer/arc.html?key=1juyIQsnL_T8tqzfzAVVjPctB4eqiafTghnL_xhvkrjk&amp;gid=400689247&amp;screenname=Dwalingen" TargetMode="External"/><Relationship Id="rId2174" Type="http://schemas.openxmlformats.org/officeDocument/2006/relationships/hyperlink" Target="http://hawksey.info/tagsexplorer/arc.html?key=1juyIQsnL_T8tqzfzAVVjPctB4eqiafTghnL_xhvkrjk&amp;gid=400689247&amp;screenname=tydd39175761" TargetMode="External"/><Relationship Id="rId372" Type="http://schemas.openxmlformats.org/officeDocument/2006/relationships/hyperlink" Target="http://hawksey.info/tagsexplorer/arc.html?key=1juyIQsnL_T8tqzfzAVVjPctB4eqiafTghnL_xhvkrjk&amp;gid=400689247&amp;screenname=DutchNewchurch" TargetMode="External"/><Relationship Id="rId2175" Type="http://schemas.openxmlformats.org/officeDocument/2006/relationships/hyperlink" Target="http://hawksey.info/tagsexplorer/arc.html?key=1juyIQsnL_T8tqzfzAVVjPctB4eqiafTghnL_xhvkrjk&amp;gid=400689247&amp;screenname=ukbigdaddyian" TargetMode="External"/><Relationship Id="rId371" Type="http://schemas.openxmlformats.org/officeDocument/2006/relationships/hyperlink" Target="http://hawksey.info/tagsexplorer/arc.html?key=1juyIQsnL_T8tqzfzAVVjPctB4eqiafTghnL_xhvkrjk&amp;gid=400689247&amp;screenname=Durham_SGIA" TargetMode="External"/><Relationship Id="rId2176" Type="http://schemas.openxmlformats.org/officeDocument/2006/relationships/hyperlink" Target="http://hawksey.info/tagsexplorer/arc.html?key=1juyIQsnL_T8tqzfzAVVjPctB4eqiafTghnL_xhvkrjk&amp;gid=400689247&amp;screenname=ukreloaded" TargetMode="External"/><Relationship Id="rId378" Type="http://schemas.openxmlformats.org/officeDocument/2006/relationships/hyperlink" Target="http://hawksey.info/tagsexplorer/arc.html?key=1juyIQsnL_T8tqzfzAVVjPctB4eqiafTghnL_xhvkrjk&amp;gid=400689247&amp;screenname=EUROFRESHD" TargetMode="External"/><Relationship Id="rId2177" Type="http://schemas.openxmlformats.org/officeDocument/2006/relationships/hyperlink" Target="http://hawksey.info/tagsexplorer/arc.html?key=1juyIQsnL_T8tqzfzAVVjPctB4eqiafTghnL_xhvkrjk&amp;gid=400689247&amp;screenname=uniworldnews" TargetMode="External"/><Relationship Id="rId377" Type="http://schemas.openxmlformats.org/officeDocument/2006/relationships/hyperlink" Target="http://hawksey.info/tagsexplorer/arc.html?key=1juyIQsnL_T8tqzfzAVVjPctB4eqiafTghnL_xhvkrjk&amp;gid=400689247&amp;screenname=EURACTIV" TargetMode="External"/><Relationship Id="rId2178" Type="http://schemas.openxmlformats.org/officeDocument/2006/relationships/hyperlink" Target="http://hawksey.info/tagsexplorer/arc.html?key=1juyIQsnL_T8tqzfzAVVjPctB4eqiafTghnL_xhvkrjk&amp;gid=400689247&amp;screenname=valerimelnyczuk" TargetMode="External"/><Relationship Id="rId376" Type="http://schemas.openxmlformats.org/officeDocument/2006/relationships/hyperlink" Target="http://hawksey.info/tagsexplorer/arc.html?key=1juyIQsnL_T8tqzfzAVVjPctB4eqiafTghnL_xhvkrjk&amp;gid=400689247&amp;screenname=EMStaffs" TargetMode="External"/><Relationship Id="rId2179" Type="http://schemas.openxmlformats.org/officeDocument/2006/relationships/hyperlink" Target="http://hawksey.info/tagsexplorer/arc.html?key=1juyIQsnL_T8tqzfzAVVjPctB4eqiafTghnL_xhvkrjk&amp;gid=400689247&amp;screenname=valmapal1" TargetMode="External"/><Relationship Id="rId375" Type="http://schemas.openxmlformats.org/officeDocument/2006/relationships/hyperlink" Target="http://hawksey.info/tagsexplorer/arc.html?key=1juyIQsnL_T8tqzfzAVVjPctB4eqiafTghnL_xhvkrjk&amp;gid=400689247&amp;screenname=EMSouthCheshire" TargetMode="External"/><Relationship Id="rId2190" Type="http://schemas.openxmlformats.org/officeDocument/2006/relationships/hyperlink" Target="http://hawksey.info/tagsexplorer/arc.html?key=1juyIQsnL_T8tqzfzAVVjPctB4eqiafTghnL_xhvkrjk&amp;gid=400689247&amp;screenname=weecass1888" TargetMode="External"/><Relationship Id="rId2191" Type="http://schemas.openxmlformats.org/officeDocument/2006/relationships/hyperlink" Target="http://hawksey.info/tagsexplorer/arc.html?key=1juyIQsnL_T8tqzfzAVVjPctB4eqiafTghnL_xhvkrjk&amp;gid=400689247&amp;screenname=welshroots" TargetMode="External"/><Relationship Id="rId2192" Type="http://schemas.openxmlformats.org/officeDocument/2006/relationships/hyperlink" Target="http://hawksey.info/tagsexplorer/arc.html?key=1juyIQsnL_T8tqzfzAVVjPctB4eqiafTghnL_xhvkrjk&amp;gid=400689247&amp;screenname=welshwitch57" TargetMode="External"/><Relationship Id="rId2193" Type="http://schemas.openxmlformats.org/officeDocument/2006/relationships/hyperlink" Target="http://hawksey.info/tagsexplorer/arc.html?key=1juyIQsnL_T8tqzfzAVVjPctB4eqiafTghnL_xhvkrjk&amp;gid=400689247&amp;screenname=wh500w" TargetMode="External"/><Relationship Id="rId2194" Type="http://schemas.openxmlformats.org/officeDocument/2006/relationships/hyperlink" Target="http://hawksey.info/tagsexplorer/arc.html?key=1juyIQsnL_T8tqzfzAVVjPctB4eqiafTghnL_xhvkrjk&amp;gid=400689247&amp;screenname=whataboutyehi" TargetMode="External"/><Relationship Id="rId396" Type="http://schemas.openxmlformats.org/officeDocument/2006/relationships/hyperlink" Target="http://hawksey.info/tagsexplorer/arc.html?key=1juyIQsnL_T8tqzfzAVVjPctB4eqiafTghnL_xhvkrjk&amp;gid=400689247&amp;screenname=ElliH53" TargetMode="External"/><Relationship Id="rId2195" Type="http://schemas.openxmlformats.org/officeDocument/2006/relationships/hyperlink" Target="http://hawksey.info/tagsexplorer/arc.html?key=1juyIQsnL_T8tqzfzAVVjPctB4eqiafTghnL_xhvkrjk&amp;gid=400689247&amp;screenname=where_am_i_now_" TargetMode="External"/><Relationship Id="rId395" Type="http://schemas.openxmlformats.org/officeDocument/2006/relationships/hyperlink" Target="http://hawksey.info/tagsexplorer/arc.html?key=1juyIQsnL_T8tqzfzAVVjPctB4eqiafTghnL_xhvkrjk&amp;gid=400689247&amp;screenname=ElizeBiermann" TargetMode="External"/><Relationship Id="rId2196" Type="http://schemas.openxmlformats.org/officeDocument/2006/relationships/hyperlink" Target="http://hawksey.info/tagsexplorer/arc.html?key=1juyIQsnL_T8tqzfzAVVjPctB4eqiafTghnL_xhvkrjk&amp;gid=400689247&amp;screenname=whitepippin" TargetMode="External"/><Relationship Id="rId394" Type="http://schemas.openxmlformats.org/officeDocument/2006/relationships/hyperlink" Target="http://hawksey.info/tagsexplorer/arc.html?key=1juyIQsnL_T8tqzfzAVVjPctB4eqiafTghnL_xhvkrjk&amp;gid=400689247&amp;screenname=ElizabethBangs" TargetMode="External"/><Relationship Id="rId2197" Type="http://schemas.openxmlformats.org/officeDocument/2006/relationships/hyperlink" Target="http://hawksey.info/tagsexplorer/arc.html?key=1juyIQsnL_T8tqzfzAVVjPctB4eqiafTghnL_xhvkrjk&amp;gid=400689247&amp;screenname=whnlaws" TargetMode="External"/><Relationship Id="rId393" Type="http://schemas.openxmlformats.org/officeDocument/2006/relationships/hyperlink" Target="http://hawksey.info/tagsexplorer/arc.html?key=1juyIQsnL_T8tqzfzAVVjPctB4eqiafTghnL_xhvkrjk&amp;gid=400689247&amp;screenname=EliasMichalas" TargetMode="External"/><Relationship Id="rId2198" Type="http://schemas.openxmlformats.org/officeDocument/2006/relationships/hyperlink" Target="http://hawksey.info/tagsexplorer/arc.html?key=1juyIQsnL_T8tqzfzAVVjPctB4eqiafTghnL_xhvkrjk&amp;gid=400689247&amp;screenname=willtherebal" TargetMode="External"/><Relationship Id="rId2199" Type="http://schemas.openxmlformats.org/officeDocument/2006/relationships/hyperlink" Target="http://hawksey.info/tagsexplorer/arc.html?key=1juyIQsnL_T8tqzfzAVVjPctB4eqiafTghnL_xhvkrjk&amp;gid=400689247&amp;screenname=wilsoniana" TargetMode="External"/><Relationship Id="rId399" Type="http://schemas.openxmlformats.org/officeDocument/2006/relationships/hyperlink" Target="http://hawksey.info/tagsexplorer/arc.html?key=1juyIQsnL_T8tqzfzAVVjPctB4eqiafTghnL_xhvkrjk&amp;gid=400689247&amp;screenname=Emu52May" TargetMode="External"/><Relationship Id="rId398" Type="http://schemas.openxmlformats.org/officeDocument/2006/relationships/hyperlink" Target="http://hawksey.info/tagsexplorer/arc.html?key=1juyIQsnL_T8tqzfzAVVjPctB4eqiafTghnL_xhvkrjk&amp;gid=400689247&amp;screenname=Emmynance" TargetMode="External"/><Relationship Id="rId397" Type="http://schemas.openxmlformats.org/officeDocument/2006/relationships/hyperlink" Target="http://hawksey.info/tagsexplorer/arc.html?key=1juyIQsnL_T8tqzfzAVVjPctB4eqiafTghnL_xhvkrjk&amp;gid=400689247&amp;screenname=Emmacochrane9" TargetMode="External"/><Relationship Id="rId1730" Type="http://schemas.openxmlformats.org/officeDocument/2006/relationships/hyperlink" Target="http://hawksey.info/tagsexplorer/arc.html?key=1juyIQsnL_T8tqzfzAVVjPctB4eqiafTghnL_xhvkrjk&amp;gid=400689247&amp;screenname=katieB45611594" TargetMode="External"/><Relationship Id="rId1731" Type="http://schemas.openxmlformats.org/officeDocument/2006/relationships/hyperlink" Target="http://hawksey.info/tagsexplorer/arc.html?key=1juyIQsnL_T8tqzfzAVVjPctB4eqiafTghnL_xhvkrjk&amp;gid=400689247&amp;screenname=keabry77" TargetMode="External"/><Relationship Id="rId1732" Type="http://schemas.openxmlformats.org/officeDocument/2006/relationships/hyperlink" Target="http://hawksey.info/tagsexplorer/arc.html?key=1juyIQsnL_T8tqzfzAVVjPctB4eqiafTghnL_xhvkrjk&amp;gid=400689247&amp;screenname=keefyclarke" TargetMode="External"/><Relationship Id="rId1733" Type="http://schemas.openxmlformats.org/officeDocument/2006/relationships/hyperlink" Target="http://hawksey.info/tagsexplorer/arc.html?key=1juyIQsnL_T8tqzfzAVVjPctB4eqiafTghnL_xhvkrjk&amp;gid=400689247&amp;screenname=kemp_dk" TargetMode="External"/><Relationship Id="rId1734" Type="http://schemas.openxmlformats.org/officeDocument/2006/relationships/hyperlink" Target="http://hawksey.info/tagsexplorer/arc.html?key=1juyIQsnL_T8tqzfzAVVjPctB4eqiafTghnL_xhvkrjk&amp;gid=400689247&amp;screenname=kercle" TargetMode="External"/><Relationship Id="rId1735" Type="http://schemas.openxmlformats.org/officeDocument/2006/relationships/hyperlink" Target="http://hawksey.info/tagsexplorer/arc.html?key=1juyIQsnL_T8tqzfzAVVjPctB4eqiafTghnL_xhvkrjk&amp;gid=400689247&amp;screenname=kernowsonofthor" TargetMode="External"/><Relationship Id="rId1736" Type="http://schemas.openxmlformats.org/officeDocument/2006/relationships/hyperlink" Target="http://hawksey.info/tagsexplorer/arc.html?key=1juyIQsnL_T8tqzfzAVVjPctB4eqiafTghnL_xhvkrjk&amp;gid=400689247&amp;screenname=khp_oc94" TargetMode="External"/><Relationship Id="rId1737" Type="http://schemas.openxmlformats.org/officeDocument/2006/relationships/hyperlink" Target="http://hawksey.info/tagsexplorer/arc.html?key=1juyIQsnL_T8tqzfzAVVjPctB4eqiafTghnL_xhvkrjk&amp;gid=400689247&amp;screenname=kickingeap" TargetMode="External"/><Relationship Id="rId1738" Type="http://schemas.openxmlformats.org/officeDocument/2006/relationships/hyperlink" Target="http://hawksey.info/tagsexplorer/arc.html?key=1juyIQsnL_T8tqzfzAVVjPctB4eqiafTghnL_xhvkrjk&amp;gid=400689247&amp;screenname=kieranhegarty12" TargetMode="External"/><Relationship Id="rId1739" Type="http://schemas.openxmlformats.org/officeDocument/2006/relationships/hyperlink" Target="http://hawksey.info/tagsexplorer/arc.html?key=1juyIQsnL_T8tqzfzAVVjPctB4eqiafTghnL_xhvkrjk&amp;gid=400689247&amp;screenname=kipperc50" TargetMode="External"/><Relationship Id="rId1720" Type="http://schemas.openxmlformats.org/officeDocument/2006/relationships/hyperlink" Target="http://hawksey.info/tagsexplorer/arc.html?key=1juyIQsnL_T8tqzfzAVVjPctB4eqiafTghnL_xhvkrjk&amp;gid=400689247&amp;screenname=julie4north" TargetMode="External"/><Relationship Id="rId1721" Type="http://schemas.openxmlformats.org/officeDocument/2006/relationships/hyperlink" Target="http://hawksey.info/tagsexplorer/arc.html?key=1juyIQsnL_T8tqzfzAVVjPctB4eqiafTghnL_xhvkrjk&amp;gid=400689247&amp;screenname=julie_dutto" TargetMode="External"/><Relationship Id="rId1722" Type="http://schemas.openxmlformats.org/officeDocument/2006/relationships/hyperlink" Target="http://hawksey.info/tagsexplorer/arc.html?key=1juyIQsnL_T8tqzfzAVVjPctB4eqiafTghnL_xhvkrjk&amp;gid=400689247&amp;screenname=jungofunk" TargetMode="External"/><Relationship Id="rId1723" Type="http://schemas.openxmlformats.org/officeDocument/2006/relationships/hyperlink" Target="http://hawksey.info/tagsexplorer/arc.html?key=1juyIQsnL_T8tqzfzAVVjPctB4eqiafTghnL_xhvkrjk&amp;gid=400689247&amp;screenname=just_slipper" TargetMode="External"/><Relationship Id="rId1724" Type="http://schemas.openxmlformats.org/officeDocument/2006/relationships/hyperlink" Target="http://hawksey.info/tagsexplorer/arc.html?key=1juyIQsnL_T8tqzfzAVVjPctB4eqiafTghnL_xhvkrjk&amp;gid=400689247&amp;screenname=justinionn" TargetMode="External"/><Relationship Id="rId1725" Type="http://schemas.openxmlformats.org/officeDocument/2006/relationships/hyperlink" Target="http://hawksey.info/tagsexplorer/arc.html?key=1juyIQsnL_T8tqzfzAVVjPctB4eqiafTghnL_xhvkrjk&amp;gid=400689247&amp;screenname=jv_uk2011" TargetMode="External"/><Relationship Id="rId1726" Type="http://schemas.openxmlformats.org/officeDocument/2006/relationships/hyperlink" Target="http://hawksey.info/tagsexplorer/arc.html?key=1juyIQsnL_T8tqzfzAVVjPctB4eqiafTghnL_xhvkrjk&amp;gid=400689247&amp;screenname=jwahjwah" TargetMode="External"/><Relationship Id="rId1727" Type="http://schemas.openxmlformats.org/officeDocument/2006/relationships/hyperlink" Target="http://hawksey.info/tagsexplorer/arc.html?key=1juyIQsnL_T8tqzfzAVVjPctB4eqiafTghnL_xhvkrjk&amp;gid=400689247&amp;screenname=kadams0" TargetMode="External"/><Relationship Id="rId1728" Type="http://schemas.openxmlformats.org/officeDocument/2006/relationships/hyperlink" Target="http://hawksey.info/tagsexplorer/arc.html?key=1juyIQsnL_T8tqzfzAVVjPctB4eqiafTghnL_xhvkrjk&amp;gid=400689247&amp;screenname=karlmfisher" TargetMode="External"/><Relationship Id="rId1729" Type="http://schemas.openxmlformats.org/officeDocument/2006/relationships/hyperlink" Target="http://hawksey.info/tagsexplorer/arc.html?key=1juyIQsnL_T8tqzfzAVVjPctB4eqiafTghnL_xhvkrjk&amp;gid=400689247&amp;screenname=katecooper" TargetMode="External"/><Relationship Id="rId1752" Type="http://schemas.openxmlformats.org/officeDocument/2006/relationships/hyperlink" Target="http://hawksey.info/tagsexplorer/arc.html?key=1juyIQsnL_T8tqzfzAVVjPctB4eqiafTghnL_xhvkrjk&amp;gid=400689247&amp;screenname=lee_brookfield" TargetMode="External"/><Relationship Id="rId1753" Type="http://schemas.openxmlformats.org/officeDocument/2006/relationships/hyperlink" Target="http://hawksey.info/tagsexplorer/arc.html?key=1juyIQsnL_T8tqzfzAVVjPctB4eqiafTghnL_xhvkrjk&amp;gid=400689247&amp;screenname=leejone46284322" TargetMode="External"/><Relationship Id="rId1754" Type="http://schemas.openxmlformats.org/officeDocument/2006/relationships/hyperlink" Target="http://hawksey.info/tagsexplorer/arc.html?key=1juyIQsnL_T8tqzfzAVVjPctB4eqiafTghnL_xhvkrjk&amp;gid=400689247&amp;screenname=leftnonfascist" TargetMode="External"/><Relationship Id="rId1755" Type="http://schemas.openxmlformats.org/officeDocument/2006/relationships/hyperlink" Target="http://hawksey.info/tagsexplorer/arc.html?key=1juyIQsnL_T8tqzfzAVVjPctB4eqiafTghnL_xhvkrjk&amp;gid=400689247&amp;screenname=lemonwhisper" TargetMode="External"/><Relationship Id="rId1756" Type="http://schemas.openxmlformats.org/officeDocument/2006/relationships/hyperlink" Target="http://hawksey.info/tagsexplorer/arc.html?key=1juyIQsnL_T8tqzfzAVVjPctB4eqiafTghnL_xhvkrjk&amp;gid=400689247&amp;screenname=lensflairfilms" TargetMode="External"/><Relationship Id="rId1757" Type="http://schemas.openxmlformats.org/officeDocument/2006/relationships/hyperlink" Target="http://hawksey.info/tagsexplorer/arc.html?key=1juyIQsnL_T8tqzfzAVVjPctB4eqiafTghnL_xhvkrjk&amp;gid=400689247&amp;screenname=leo14754" TargetMode="External"/><Relationship Id="rId1758" Type="http://schemas.openxmlformats.org/officeDocument/2006/relationships/hyperlink" Target="http://hawksey.info/tagsexplorer/arc.html?key=1juyIQsnL_T8tqzfzAVVjPctB4eqiafTghnL_xhvkrjk&amp;gid=400689247&amp;screenname=leodbarnard" TargetMode="External"/><Relationship Id="rId1759" Type="http://schemas.openxmlformats.org/officeDocument/2006/relationships/hyperlink" Target="http://hawksey.info/tagsexplorer/arc.html?key=1juyIQsnL_T8tqzfzAVVjPctB4eqiafTghnL_xhvkrjk&amp;gid=400689247&amp;screenname=lesleypeal" TargetMode="External"/><Relationship Id="rId1750" Type="http://schemas.openxmlformats.org/officeDocument/2006/relationships/hyperlink" Target="http://hawksey.info/tagsexplorer/arc.html?key=1juyIQsnL_T8tqzfzAVVjPctB4eqiafTghnL_xhvkrjk&amp;gid=400689247&amp;screenname=ldrscke" TargetMode="External"/><Relationship Id="rId1751" Type="http://schemas.openxmlformats.org/officeDocument/2006/relationships/hyperlink" Target="http://hawksey.info/tagsexplorer/arc.html?key=1juyIQsnL_T8tqzfzAVVjPctB4eqiafTghnL_xhvkrjk&amp;gid=400689247&amp;screenname=leceleven" TargetMode="External"/><Relationship Id="rId1741" Type="http://schemas.openxmlformats.org/officeDocument/2006/relationships/hyperlink" Target="http://hawksey.info/tagsexplorer/arc.html?key=1juyIQsnL_T8tqzfzAVVjPctB4eqiafTghnL_xhvkrjk&amp;gid=400689247&amp;screenname=knight23018419" TargetMode="External"/><Relationship Id="rId1742" Type="http://schemas.openxmlformats.org/officeDocument/2006/relationships/hyperlink" Target="http://hawksey.info/tagsexplorer/arc.html?key=1juyIQsnL_T8tqzfzAVVjPctB4eqiafTghnL_xhvkrjk&amp;gid=400689247&amp;screenname=knut_krohn" TargetMode="External"/><Relationship Id="rId1743" Type="http://schemas.openxmlformats.org/officeDocument/2006/relationships/hyperlink" Target="http://hawksey.info/tagsexplorer/arc.html?key=1juyIQsnL_T8tqzfzAVVjPctB4eqiafTghnL_xhvkrjk&amp;gid=400689247&amp;screenname=kohenzoller" TargetMode="External"/><Relationship Id="rId1744" Type="http://schemas.openxmlformats.org/officeDocument/2006/relationships/hyperlink" Target="http://hawksey.info/tagsexplorer/arc.html?key=1juyIQsnL_T8tqzfzAVVjPctB4eqiafTghnL_xhvkrjk&amp;gid=400689247&amp;screenname=kr31133" TargetMode="External"/><Relationship Id="rId1745" Type="http://schemas.openxmlformats.org/officeDocument/2006/relationships/hyperlink" Target="http://hawksey.info/tagsexplorer/arc.html?key=1juyIQsnL_T8tqzfzAVVjPctB4eqiafTghnL_xhvkrjk&amp;gid=400689247&amp;screenname=laj1956" TargetMode="External"/><Relationship Id="rId1746" Type="http://schemas.openxmlformats.org/officeDocument/2006/relationships/hyperlink" Target="http://hawksey.info/tagsexplorer/arc.html?key=1juyIQsnL_T8tqzfzAVVjPctB4eqiafTghnL_xhvkrjk&amp;gid=400689247&amp;screenname=lalaloopsie74" TargetMode="External"/><Relationship Id="rId1747" Type="http://schemas.openxmlformats.org/officeDocument/2006/relationships/hyperlink" Target="http://hawksey.info/tagsexplorer/arc.html?key=1juyIQsnL_T8tqzfzAVVjPctB4eqiafTghnL_xhvkrjk&amp;gid=400689247&amp;screenname=larrietiernan" TargetMode="External"/><Relationship Id="rId1748" Type="http://schemas.openxmlformats.org/officeDocument/2006/relationships/hyperlink" Target="http://hawksey.info/tagsexplorer/arc.html?key=1juyIQsnL_T8tqzfzAVVjPctB4eqiafTghnL_xhvkrjk&amp;gid=400689247&amp;screenname=lasteka" TargetMode="External"/><Relationship Id="rId1749" Type="http://schemas.openxmlformats.org/officeDocument/2006/relationships/hyperlink" Target="http://hawksey.info/tagsexplorer/arc.html?key=1juyIQsnL_T8tqzfzAVVjPctB4eqiafTghnL_xhvkrjk&amp;gid=400689247&amp;screenname=lawrenceglyn70" TargetMode="External"/><Relationship Id="rId1740" Type="http://schemas.openxmlformats.org/officeDocument/2006/relationships/hyperlink" Target="http://hawksey.info/tagsexplorer/arc.html?key=1juyIQsnL_T8tqzfzAVVjPctB4eqiafTghnL_xhvkrjk&amp;gid=400689247&amp;screenname=kjmarsh" TargetMode="External"/><Relationship Id="rId1710" Type="http://schemas.openxmlformats.org/officeDocument/2006/relationships/hyperlink" Target="http://hawksey.info/tagsexplorer/arc.html?key=1juyIQsnL_T8tqzfzAVVjPctB4eqiafTghnL_xhvkrjk&amp;gid=400689247&amp;screenname=jpiana1" TargetMode="External"/><Relationship Id="rId1711" Type="http://schemas.openxmlformats.org/officeDocument/2006/relationships/hyperlink" Target="http://hawksey.info/tagsexplorer/arc.html?key=1juyIQsnL_T8tqzfzAVVjPctB4eqiafTghnL_xhvkrjk&amp;gid=400689247&amp;screenname=jplunky" TargetMode="External"/><Relationship Id="rId1712" Type="http://schemas.openxmlformats.org/officeDocument/2006/relationships/hyperlink" Target="http://hawksey.info/tagsexplorer/arc.html?key=1juyIQsnL_T8tqzfzAVVjPctB4eqiafTghnL_xhvkrjk&amp;gid=400689247&amp;screenname=js_editor" TargetMode="External"/><Relationship Id="rId1713" Type="http://schemas.openxmlformats.org/officeDocument/2006/relationships/hyperlink" Target="http://hawksey.info/tagsexplorer/arc.html?key=1juyIQsnL_T8tqzfzAVVjPctB4eqiafTghnL_xhvkrjk&amp;gid=400689247&amp;screenname=judd_author" TargetMode="External"/><Relationship Id="rId1714" Type="http://schemas.openxmlformats.org/officeDocument/2006/relationships/hyperlink" Target="http://hawksey.info/tagsexplorer/arc.html?key=1juyIQsnL_T8tqzfzAVVjPctB4eqiafTghnL_xhvkrjk&amp;gid=400689247&amp;screenname=judecambridge" TargetMode="External"/><Relationship Id="rId1715" Type="http://schemas.openxmlformats.org/officeDocument/2006/relationships/hyperlink" Target="http://hawksey.info/tagsexplorer/arc.html?key=1juyIQsnL_T8tqzfzAVVjPctB4eqiafTghnL_xhvkrjk&amp;gid=400689247&amp;screenname=judecook_" TargetMode="External"/><Relationship Id="rId1716" Type="http://schemas.openxmlformats.org/officeDocument/2006/relationships/hyperlink" Target="http://hawksey.info/tagsexplorer/arc.html?key=1juyIQsnL_T8tqzfzAVVjPctB4eqiafTghnL_xhvkrjk&amp;gid=400689247&amp;screenname=judith1marshall" TargetMode="External"/><Relationship Id="rId1717" Type="http://schemas.openxmlformats.org/officeDocument/2006/relationships/hyperlink" Target="http://hawksey.info/tagsexplorer/arc.html?key=1juyIQsnL_T8tqzfzAVVjPctB4eqiafTghnL_xhvkrjk&amp;gid=400689247&amp;screenname=juk5252" TargetMode="External"/><Relationship Id="rId1718" Type="http://schemas.openxmlformats.org/officeDocument/2006/relationships/hyperlink" Target="http://hawksey.info/tagsexplorer/arc.html?key=1juyIQsnL_T8tqzfzAVVjPctB4eqiafTghnL_xhvkrjk&amp;gid=400689247&amp;screenname=julesdb9" TargetMode="External"/><Relationship Id="rId1719" Type="http://schemas.openxmlformats.org/officeDocument/2006/relationships/hyperlink" Target="http://hawksey.info/tagsexplorer/arc.html?key=1juyIQsnL_T8tqzfzAVVjPctB4eqiafTghnL_xhvkrjk&amp;gid=400689247&amp;screenname=juliadolan1" TargetMode="External"/><Relationship Id="rId1700" Type="http://schemas.openxmlformats.org/officeDocument/2006/relationships/hyperlink" Target="http://hawksey.info/tagsexplorer/arc.html?key=1juyIQsnL_T8tqzfzAVVjPctB4eqiafTghnL_xhvkrjk&amp;gid=400689247&amp;screenname=joao_kay" TargetMode="External"/><Relationship Id="rId1701" Type="http://schemas.openxmlformats.org/officeDocument/2006/relationships/hyperlink" Target="http://hawksey.info/tagsexplorer/arc.html?key=1juyIQsnL_T8tqzfzAVVjPctB4eqiafTghnL_xhvkrjk&amp;gid=400689247&amp;screenname=joe_conere" TargetMode="External"/><Relationship Id="rId1702" Type="http://schemas.openxmlformats.org/officeDocument/2006/relationships/hyperlink" Target="http://hawksey.info/tagsexplorer/arc.html?key=1juyIQsnL_T8tqzfzAVVjPctB4eqiafTghnL_xhvkrjk&amp;gid=400689247&amp;screenname=john79moran" TargetMode="External"/><Relationship Id="rId1703" Type="http://schemas.openxmlformats.org/officeDocument/2006/relationships/hyperlink" Target="http://hawksey.info/tagsexplorer/arc.html?key=1juyIQsnL_T8tqzfzAVVjPctB4eqiafTghnL_xhvkrjk&amp;gid=400689247&amp;screenname=johnandi" TargetMode="External"/><Relationship Id="rId1704" Type="http://schemas.openxmlformats.org/officeDocument/2006/relationships/hyperlink" Target="http://hawksey.info/tagsexplorer/arc.html?key=1juyIQsnL_T8tqzfzAVVjPctB4eqiafTghnL_xhvkrjk&amp;gid=400689247&amp;screenname=johngreenemusic" TargetMode="External"/><Relationship Id="rId1705" Type="http://schemas.openxmlformats.org/officeDocument/2006/relationships/hyperlink" Target="http://hawksey.info/tagsexplorer/arc.html?key=1juyIQsnL_T8tqzfzAVVjPctB4eqiafTghnL_xhvkrjk&amp;gid=400689247&amp;screenname=johnrallan" TargetMode="External"/><Relationship Id="rId1706" Type="http://schemas.openxmlformats.org/officeDocument/2006/relationships/hyperlink" Target="http://hawksey.info/tagsexplorer/arc.html?key=1juyIQsnL_T8tqzfzAVVjPctB4eqiafTghnL_xhvkrjk&amp;gid=400689247&amp;screenname=johnrobertforde" TargetMode="External"/><Relationship Id="rId1707" Type="http://schemas.openxmlformats.org/officeDocument/2006/relationships/hyperlink" Target="http://hawksey.info/tagsexplorer/arc.html?key=1juyIQsnL_T8tqzfzAVVjPctB4eqiafTghnL_xhvkrjk&amp;gid=400689247&amp;screenname=jonathansnorman" TargetMode="External"/><Relationship Id="rId1708" Type="http://schemas.openxmlformats.org/officeDocument/2006/relationships/hyperlink" Target="http://hawksey.info/tagsexplorer/arc.html?key=1juyIQsnL_T8tqzfzAVVjPctB4eqiafTghnL_xhvkrjk&amp;gid=400689247&amp;screenname=jones_pj" TargetMode="External"/><Relationship Id="rId1709" Type="http://schemas.openxmlformats.org/officeDocument/2006/relationships/hyperlink" Target="http://hawksey.info/tagsexplorer/arc.html?key=1juyIQsnL_T8tqzfzAVVjPctB4eqiafTghnL_xhvkrjk&amp;gid=400689247&amp;screenname=jorgeop27" TargetMode="External"/><Relationship Id="rId40" Type="http://schemas.openxmlformats.org/officeDocument/2006/relationships/hyperlink" Target="http://hawksey.info/tagsexplorer/arc.html?key=1juyIQsnL_T8tqzfzAVVjPctB4eqiafTghnL_xhvkrjk&amp;gid=400689247&amp;screenname=Akounas1" TargetMode="External"/><Relationship Id="rId42" Type="http://schemas.openxmlformats.org/officeDocument/2006/relationships/hyperlink" Target="http://hawksey.info/tagsexplorer/arc.html?key=1juyIQsnL_T8tqzfzAVVjPctB4eqiafTghnL_xhvkrjk&amp;gid=400689247&amp;screenname=AlacantPeter" TargetMode="External"/><Relationship Id="rId41" Type="http://schemas.openxmlformats.org/officeDocument/2006/relationships/hyperlink" Target="http://hawksey.info/tagsexplorer/arc.html?key=1juyIQsnL_T8tqzfzAVVjPctB4eqiafTghnL_xhvkrjk&amp;gid=400689247&amp;screenname=AlPinkerton" TargetMode="External"/><Relationship Id="rId44" Type="http://schemas.openxmlformats.org/officeDocument/2006/relationships/hyperlink" Target="http://hawksey.info/tagsexplorer/arc.html?key=1juyIQsnL_T8tqzfzAVVjPctB4eqiafTghnL_xhvkrjk&amp;gid=400689247&amp;screenname=AlanHPower" TargetMode="External"/><Relationship Id="rId43" Type="http://schemas.openxmlformats.org/officeDocument/2006/relationships/hyperlink" Target="http://hawksey.info/tagsexplorer/arc.html?key=1juyIQsnL_T8tqzfzAVVjPctB4eqiafTghnL_xhvkrjk&amp;gid=400689247&amp;screenname=AlanAmoody6161" TargetMode="External"/><Relationship Id="rId46" Type="http://schemas.openxmlformats.org/officeDocument/2006/relationships/hyperlink" Target="http://hawksey.info/tagsexplorer/arc.html?key=1juyIQsnL_T8tqzfzAVVjPctB4eqiafTghnL_xhvkrjk&amp;gid=400689247&amp;screenname=AlasSmithJones" TargetMode="External"/><Relationship Id="rId45" Type="http://schemas.openxmlformats.org/officeDocument/2006/relationships/hyperlink" Target="http://hawksey.info/tagsexplorer/arc.html?key=1juyIQsnL_T8tqzfzAVVjPctB4eqiafTghnL_xhvkrjk&amp;gid=400689247&amp;screenname=AlanOak4" TargetMode="External"/><Relationship Id="rId48" Type="http://schemas.openxmlformats.org/officeDocument/2006/relationships/hyperlink" Target="http://hawksey.info/tagsexplorer/arc.html?key=1juyIQsnL_T8tqzfzAVVjPctB4eqiafTghnL_xhvkrjk&amp;gid=400689247&amp;screenname=AlbaAyrshire" TargetMode="External"/><Relationship Id="rId47" Type="http://schemas.openxmlformats.org/officeDocument/2006/relationships/hyperlink" Target="http://hawksey.info/tagsexplorer/arc.html?key=1juyIQsnL_T8tqzfzAVVjPctB4eqiafTghnL_xhvkrjk&amp;gid=400689247&amp;screenname=AlastairBreward" TargetMode="External"/><Relationship Id="rId49" Type="http://schemas.openxmlformats.org/officeDocument/2006/relationships/hyperlink" Target="http://hawksey.info/tagsexplorer/arc.html?key=1juyIQsnL_T8tqzfzAVVjPctB4eqiafTghnL_xhvkrjk&amp;gid=400689247&amp;screenname=Alchmist93till" TargetMode="External"/><Relationship Id="rId31" Type="http://schemas.openxmlformats.org/officeDocument/2006/relationships/hyperlink" Target="http://hawksey.info/tagsexplorer/arc.html?key=1juyIQsnL_T8tqzfzAVVjPctB4eqiafTghnL_xhvkrjk&amp;gid=400689247&amp;screenname=AaronJDavies1" TargetMode="External"/><Relationship Id="rId30" Type="http://schemas.openxmlformats.org/officeDocument/2006/relationships/hyperlink" Target="http://hawksey.info/tagsexplorer/arc.html?key=1juyIQsnL_T8tqzfzAVVjPctB4eqiafTghnL_xhvkrjk&amp;gid=400689247&amp;screenname=A_Nonny_123" TargetMode="External"/><Relationship Id="rId33" Type="http://schemas.openxmlformats.org/officeDocument/2006/relationships/hyperlink" Target="http://hawksey.info/tagsexplorer/arc.html?key=1juyIQsnL_T8tqzfzAVVjPctB4eqiafTghnL_xhvkrjk&amp;gid=400689247&amp;screenname=AbbieOBrien1" TargetMode="External"/><Relationship Id="rId32" Type="http://schemas.openxmlformats.org/officeDocument/2006/relationships/hyperlink" Target="http://hawksey.info/tagsexplorer/arc.html?key=1juyIQsnL_T8tqzfzAVVjPctB4eqiafTghnL_xhvkrjk&amp;gid=400689247&amp;screenname=AbbieFerdinand1" TargetMode="External"/><Relationship Id="rId35" Type="http://schemas.openxmlformats.org/officeDocument/2006/relationships/hyperlink" Target="http://hawksey.info/tagsexplorer/arc.html?key=1juyIQsnL_T8tqzfzAVVjPctB4eqiafTghnL_xhvkrjk&amp;gid=400689247&amp;screenname=Accomlondon" TargetMode="External"/><Relationship Id="rId34" Type="http://schemas.openxmlformats.org/officeDocument/2006/relationships/hyperlink" Target="http://hawksey.info/tagsexplorer/arc.html?key=1juyIQsnL_T8tqzfzAVVjPctB4eqiafTghnL_xhvkrjk&amp;gid=400689247&amp;screenname=AbordAlessandro" TargetMode="External"/><Relationship Id="rId37" Type="http://schemas.openxmlformats.org/officeDocument/2006/relationships/hyperlink" Target="http://hawksey.info/tagsexplorer/arc.html?key=1juyIQsnL_T8tqzfzAVVjPctB4eqiafTghnL_xhvkrjk&amp;gid=400689247&amp;screenname=AiberdeinQuine" TargetMode="External"/><Relationship Id="rId36" Type="http://schemas.openxmlformats.org/officeDocument/2006/relationships/hyperlink" Target="http://hawksey.info/tagsexplorer/arc.html?key=1juyIQsnL_T8tqzfzAVVjPctB4eqiafTghnL_xhvkrjk&amp;gid=400689247&amp;screenname=AdrianFarrellAT" TargetMode="External"/><Relationship Id="rId39" Type="http://schemas.openxmlformats.org/officeDocument/2006/relationships/hyperlink" Target="http://hawksey.info/tagsexplorer/arc.html?key=1juyIQsnL_T8tqzfzAVVjPctB4eqiafTghnL_xhvkrjk&amp;gid=400689247&amp;screenname=AiringViews" TargetMode="External"/><Relationship Id="rId38" Type="http://schemas.openxmlformats.org/officeDocument/2006/relationships/hyperlink" Target="http://hawksey.info/tagsexplorer/arc.html?key=1juyIQsnL_T8tqzfzAVVjPctB4eqiafTghnL_xhvkrjk&amp;gid=400689247&amp;screenname=AilsaLaing" TargetMode="External"/><Relationship Id="rId2203" Type="http://schemas.openxmlformats.org/officeDocument/2006/relationships/hyperlink" Target="http://hawksey.info/tagsexplorer/arc.html?key=1juyIQsnL_T8tqzfzAVVjPctB4eqiafTghnL_xhvkrjk&amp;gid=400689247&amp;screenname=woowar" TargetMode="External"/><Relationship Id="rId2204" Type="http://schemas.openxmlformats.org/officeDocument/2006/relationships/hyperlink" Target="http://hawksey.info/tagsexplorer/arc.html?key=1juyIQsnL_T8tqzfzAVVjPctB4eqiafTghnL_xhvkrjk&amp;gid=400689247&amp;screenname=workinlikeamum" TargetMode="External"/><Relationship Id="rId20" Type="http://schemas.openxmlformats.org/officeDocument/2006/relationships/hyperlink" Target="http://hawksey.info/tagsexplorer/arc.html?key=1juyIQsnL_T8tqzfzAVVjPctB4eqiafTghnL_xhvkrjk&amp;gid=400689247&amp;screenname=AESimmons2" TargetMode="External"/><Relationship Id="rId2205" Type="http://schemas.openxmlformats.org/officeDocument/2006/relationships/hyperlink" Target="http://hawksey.info/tagsexplorer/arc.html?key=1juyIQsnL_T8tqzfzAVVjPctB4eqiafTghnL_xhvkrjk&amp;gid=400689247&amp;screenname=world_wanderer4" TargetMode="External"/><Relationship Id="rId2206" Type="http://schemas.openxmlformats.org/officeDocument/2006/relationships/hyperlink" Target="http://hawksey.info/tagsexplorer/arc.html?key=1juyIQsnL_T8tqzfzAVVjPctB4eqiafTghnL_xhvkrjk&amp;gid=400689247&amp;screenname=wulba" TargetMode="External"/><Relationship Id="rId22" Type="http://schemas.openxmlformats.org/officeDocument/2006/relationships/hyperlink" Target="http://hawksey.info/tagsexplorer/arc.html?key=1juyIQsnL_T8tqzfzAVVjPctB4eqiafTghnL_xhvkrjk&amp;gid=400689247&amp;screenname=AMSM3" TargetMode="External"/><Relationship Id="rId2207" Type="http://schemas.openxmlformats.org/officeDocument/2006/relationships/hyperlink" Target="http://hawksey.info/tagsexplorer/arc.html?key=1juyIQsnL_T8tqzfzAVVjPctB4eqiafTghnL_xhvkrjk&amp;gid=400689247&amp;screenname=wynmallett" TargetMode="External"/><Relationship Id="rId21" Type="http://schemas.openxmlformats.org/officeDocument/2006/relationships/hyperlink" Target="http://hawksey.info/tagsexplorer/arc.html?key=1juyIQsnL_T8tqzfzAVVjPctB4eqiafTghnL_xhvkrjk&amp;gid=400689247&amp;screenname=AHaglington" TargetMode="External"/><Relationship Id="rId2208" Type="http://schemas.openxmlformats.org/officeDocument/2006/relationships/hyperlink" Target="http://hawksey.info/tagsexplorer/arc.html?key=1juyIQsnL_T8tqzfzAVVjPctB4eqiafTghnL_xhvkrjk&amp;gid=400689247&amp;screenname=yasmina_ss" TargetMode="External"/><Relationship Id="rId24" Type="http://schemas.openxmlformats.org/officeDocument/2006/relationships/hyperlink" Target="http://hawksey.info/tagsexplorer/arc.html?key=1juyIQsnL_T8tqzfzAVVjPctB4eqiafTghnL_xhvkrjk&amp;gid=400689247&amp;screenname=ARobinova" TargetMode="External"/><Relationship Id="rId2209" Type="http://schemas.openxmlformats.org/officeDocument/2006/relationships/hyperlink" Target="http://hawksey.info/tagsexplorer/arc.html?key=1juyIQsnL_T8tqzfzAVVjPctB4eqiafTghnL_xhvkrjk&amp;gid=400689247&amp;screenname=yipmann82" TargetMode="External"/><Relationship Id="rId23" Type="http://schemas.openxmlformats.org/officeDocument/2006/relationships/hyperlink" Target="http://hawksey.info/tagsexplorer/arc.html?key=1juyIQsnL_T8tqzfzAVVjPctB4eqiafTghnL_xhvkrjk&amp;gid=400689247&amp;screenname=ARHunter1980" TargetMode="External"/><Relationship Id="rId26" Type="http://schemas.openxmlformats.org/officeDocument/2006/relationships/hyperlink" Target="http://hawksey.info/tagsexplorer/arc.html?key=1juyIQsnL_T8tqzfzAVVjPctB4eqiafTghnL_xhvkrjk&amp;gid=400689247&amp;screenname=ASfB_UK" TargetMode="External"/><Relationship Id="rId25" Type="http://schemas.openxmlformats.org/officeDocument/2006/relationships/hyperlink" Target="http://hawksey.info/tagsexplorer/arc.html?key=1juyIQsnL_T8tqzfzAVVjPctB4eqiafTghnL_xhvkrjk&amp;gid=400689247&amp;screenname=ASaramelkonian" TargetMode="External"/><Relationship Id="rId28" Type="http://schemas.openxmlformats.org/officeDocument/2006/relationships/hyperlink" Target="http://hawksey.info/tagsexplorer/arc.html?key=1juyIQsnL_T8tqzfzAVVjPctB4eqiafTghnL_xhvkrjk&amp;gid=400689247&amp;screenname=ATVG2k20" TargetMode="External"/><Relationship Id="rId27" Type="http://schemas.openxmlformats.org/officeDocument/2006/relationships/hyperlink" Target="http://hawksey.info/tagsexplorer/arc.html?key=1juyIQsnL_T8tqzfzAVVjPctB4eqiafTghnL_xhvkrjk&amp;gid=400689247&amp;screenname=ASlightReturn1" TargetMode="External"/><Relationship Id="rId29" Type="http://schemas.openxmlformats.org/officeDocument/2006/relationships/hyperlink" Target="http://hawksey.info/tagsexplorer/arc.html?key=1juyIQsnL_T8tqzfzAVVjPctB4eqiafTghnL_xhvkrjk&amp;gid=400689247&amp;screenname=A_HORDE_OF_CATS" TargetMode="External"/><Relationship Id="rId2200" Type="http://schemas.openxmlformats.org/officeDocument/2006/relationships/hyperlink" Target="http://hawksey.info/tagsexplorer/arc.html?key=1juyIQsnL_T8tqzfzAVVjPctB4eqiafTghnL_xhvkrjk&amp;gid=400689247&amp;screenname=windfair_net" TargetMode="External"/><Relationship Id="rId2201" Type="http://schemas.openxmlformats.org/officeDocument/2006/relationships/hyperlink" Target="http://hawksey.info/tagsexplorer/arc.html?key=1juyIQsnL_T8tqzfzAVVjPctB4eqiafTghnL_xhvkrjk&amp;gid=400689247&amp;screenname=winter_greg" TargetMode="External"/><Relationship Id="rId2202" Type="http://schemas.openxmlformats.org/officeDocument/2006/relationships/hyperlink" Target="http://hawksey.info/tagsexplorer/arc.html?key=1juyIQsnL_T8tqzfzAVVjPctB4eqiafTghnL_xhvkrjk&amp;gid=400689247&amp;screenname=wolfiewire" TargetMode="External"/><Relationship Id="rId11" Type="http://schemas.openxmlformats.org/officeDocument/2006/relationships/hyperlink" Target="http://hawksey.info/tagsexplorer/arc.html?key=1juyIQsnL_T8tqzfzAVVjPctB4eqiafTghnL_xhvkrjk&amp;gid=400689247&amp;screenname=2xDutch31" TargetMode="External"/><Relationship Id="rId10" Type="http://schemas.openxmlformats.org/officeDocument/2006/relationships/hyperlink" Target="http://hawksey.info/tagsexplorer/arc.html?key=1juyIQsnL_T8tqzfzAVVjPctB4eqiafTghnL_xhvkrjk&amp;gid=400689247&amp;screenname=2niteNetwork" TargetMode="External"/><Relationship Id="rId13" Type="http://schemas.openxmlformats.org/officeDocument/2006/relationships/hyperlink" Target="http://hawksey.info/tagsexplorer/arc.html?key=1juyIQsnL_T8tqzfzAVVjPctB4eqiafTghnL_xhvkrjk&amp;gid=400689247&amp;screenname=3d3dave" TargetMode="External"/><Relationship Id="rId12" Type="http://schemas.openxmlformats.org/officeDocument/2006/relationships/hyperlink" Target="http://hawksey.info/tagsexplorer/arc.html?key=1juyIQsnL_T8tqzfzAVVjPctB4eqiafTghnL_xhvkrjk&amp;gid=400689247&amp;screenname=3811015" TargetMode="External"/><Relationship Id="rId15" Type="http://schemas.openxmlformats.org/officeDocument/2006/relationships/hyperlink" Target="http://hawksey.info/tagsexplorer/arc.html?key=1juyIQsnL_T8tqzfzAVVjPctB4eqiafTghnL_xhvkrjk&amp;gid=400689247&amp;screenname=51TJK" TargetMode="External"/><Relationship Id="rId14" Type="http://schemas.openxmlformats.org/officeDocument/2006/relationships/hyperlink" Target="http://hawksey.info/tagsexplorer/arc.html?key=1juyIQsnL_T8tqzfzAVVjPctB4eqiafTghnL_xhvkrjk&amp;gid=400689247&amp;screenname=41below" TargetMode="External"/><Relationship Id="rId17" Type="http://schemas.openxmlformats.org/officeDocument/2006/relationships/hyperlink" Target="http://hawksey.info/tagsexplorer/arc.html?key=1juyIQsnL_T8tqzfzAVVjPctB4eqiafTghnL_xhvkrjk&amp;gid=400689247&amp;screenname=8enoit" TargetMode="External"/><Relationship Id="rId16" Type="http://schemas.openxmlformats.org/officeDocument/2006/relationships/hyperlink" Target="http://hawksey.info/tagsexplorer/arc.html?key=1juyIQsnL_T8tqzfzAVVjPctB4eqiafTghnL_xhvkrjk&amp;gid=400689247&amp;screenname=58paulb" TargetMode="External"/><Relationship Id="rId19" Type="http://schemas.openxmlformats.org/officeDocument/2006/relationships/hyperlink" Target="http://hawksey.info/tagsexplorer/arc.html?key=1juyIQsnL_T8tqzfzAVVjPctB4eqiafTghnL_xhvkrjk&amp;gid=400689247&amp;screenname=ACrowdedPlanet" TargetMode="External"/><Relationship Id="rId18" Type="http://schemas.openxmlformats.org/officeDocument/2006/relationships/hyperlink" Target="http://hawksey.info/tagsexplorer/arc.html?key=1juyIQsnL_T8tqzfzAVVjPctB4eqiafTghnL_xhvkrjk&amp;gid=400689247&amp;screenname=ABsworld5" TargetMode="External"/><Relationship Id="rId84" Type="http://schemas.openxmlformats.org/officeDocument/2006/relationships/hyperlink" Target="http://hawksey.info/tagsexplorer/arc.html?key=1juyIQsnL_T8tqzfzAVVjPctB4eqiafTghnL_xhvkrjk&amp;gid=400689247&amp;screenname=Andymorgantwit" TargetMode="External"/><Relationship Id="rId1774" Type="http://schemas.openxmlformats.org/officeDocument/2006/relationships/hyperlink" Target="http://hawksey.info/tagsexplorer/arc.html?key=1juyIQsnL_T8tqzfzAVVjPctB4eqiafTghnL_xhvkrjk&amp;gid=400689247&amp;screenname=localnotail" TargetMode="External"/><Relationship Id="rId83" Type="http://schemas.openxmlformats.org/officeDocument/2006/relationships/hyperlink" Target="http://hawksey.info/tagsexplorer/arc.html?key=1juyIQsnL_T8tqzfzAVVjPctB4eqiafTghnL_xhvkrjk&amp;gid=400689247&amp;screenname=Andy_sMyName" TargetMode="External"/><Relationship Id="rId1775" Type="http://schemas.openxmlformats.org/officeDocument/2006/relationships/hyperlink" Target="http://hawksey.info/tagsexplorer/arc.html?key=1juyIQsnL_T8tqzfzAVVjPctB4eqiafTghnL_xhvkrjk&amp;gid=400689247&amp;screenname=lopcute" TargetMode="External"/><Relationship Id="rId86" Type="http://schemas.openxmlformats.org/officeDocument/2006/relationships/hyperlink" Target="http://hawksey.info/tagsexplorer/arc.html?key=1juyIQsnL_T8tqzfzAVVjPctB4eqiafTghnL_xhvkrjk&amp;gid=400689247&amp;screenname=AnnEllis6" TargetMode="External"/><Relationship Id="rId1776" Type="http://schemas.openxmlformats.org/officeDocument/2006/relationships/hyperlink" Target="http://hawksey.info/tagsexplorer/arc.html?key=1juyIQsnL_T8tqzfzAVVjPctB4eqiafTghnL_xhvkrjk&amp;gid=400689247&amp;screenname=loubug" TargetMode="External"/><Relationship Id="rId85" Type="http://schemas.openxmlformats.org/officeDocument/2006/relationships/hyperlink" Target="http://hawksey.info/tagsexplorer/arc.html?key=1juyIQsnL_T8tqzfzAVVjPctB4eqiafTghnL_xhvkrjk&amp;gid=400689247&amp;screenname=Ann06957684" TargetMode="External"/><Relationship Id="rId1777" Type="http://schemas.openxmlformats.org/officeDocument/2006/relationships/hyperlink" Target="http://hawksey.info/tagsexplorer/arc.html?key=1juyIQsnL_T8tqzfzAVVjPctB4eqiafTghnL_xhvkrjk&amp;gid=400689247&amp;screenname=louisepots" TargetMode="External"/><Relationship Id="rId88" Type="http://schemas.openxmlformats.org/officeDocument/2006/relationships/hyperlink" Target="http://hawksey.info/tagsexplorer/arc.html?key=1juyIQsnL_T8tqzfzAVVjPctB4eqiafTghnL_xhvkrjk&amp;gid=400689247&amp;screenname=AnnaBatchelor" TargetMode="External"/><Relationship Id="rId1778" Type="http://schemas.openxmlformats.org/officeDocument/2006/relationships/hyperlink" Target="http://hawksey.info/tagsexplorer/arc.html?key=1juyIQsnL_T8tqzfzAVVjPctB4eqiafTghnL_xhvkrjk&amp;gid=400689247&amp;screenname=lovedayjenkin" TargetMode="External"/><Relationship Id="rId87" Type="http://schemas.openxmlformats.org/officeDocument/2006/relationships/hyperlink" Target="http://hawksey.info/tagsexplorer/arc.html?key=1juyIQsnL_T8tqzfzAVVjPctB4eqiafTghnL_xhvkrjk&amp;gid=400689247&amp;screenname=AnnSpencer001" TargetMode="External"/><Relationship Id="rId1779" Type="http://schemas.openxmlformats.org/officeDocument/2006/relationships/hyperlink" Target="http://hawksey.info/tagsexplorer/arc.html?key=1juyIQsnL_T8tqzfzAVVjPctB4eqiafTghnL_xhvkrjk&amp;gid=400689247&amp;screenname=lowesusan155" TargetMode="External"/><Relationship Id="rId89" Type="http://schemas.openxmlformats.org/officeDocument/2006/relationships/hyperlink" Target="http://hawksey.info/tagsexplorer/arc.html?key=1juyIQsnL_T8tqzfzAVVjPctB4eqiafTghnL_xhvkrjk&amp;gid=400689247&amp;screenname=AnneMcEwan8" TargetMode="External"/><Relationship Id="rId80" Type="http://schemas.openxmlformats.org/officeDocument/2006/relationships/hyperlink" Target="http://hawksey.info/tagsexplorer/arc.html?key=1juyIQsnL_T8tqzfzAVVjPctB4eqiafTghnL_xhvkrjk&amp;gid=400689247&amp;screenname=AndyHustler2" TargetMode="External"/><Relationship Id="rId82" Type="http://schemas.openxmlformats.org/officeDocument/2006/relationships/hyperlink" Target="http://hawksey.info/tagsexplorer/arc.html?key=1juyIQsnL_T8tqzfzAVVjPctB4eqiafTghnL_xhvkrjk&amp;gid=400689247&amp;screenname=Andy_g1979" TargetMode="External"/><Relationship Id="rId81" Type="http://schemas.openxmlformats.org/officeDocument/2006/relationships/hyperlink" Target="http://hawksey.info/tagsexplorer/arc.html?key=1juyIQsnL_T8tqzfzAVVjPctB4eqiafTghnL_xhvkrjk&amp;gid=400689247&amp;screenname=AndyLippok" TargetMode="External"/><Relationship Id="rId1770" Type="http://schemas.openxmlformats.org/officeDocument/2006/relationships/hyperlink" Target="http://hawksey.info/tagsexplorer/arc.html?key=1juyIQsnL_T8tqzfzAVVjPctB4eqiafTghnL_xhvkrjk&amp;gid=400689247&amp;screenname=lividinlincs" TargetMode="External"/><Relationship Id="rId1771" Type="http://schemas.openxmlformats.org/officeDocument/2006/relationships/hyperlink" Target="http://hawksey.info/tagsexplorer/arc.html?key=1juyIQsnL_T8tqzfzAVVjPctB4eqiafTghnL_xhvkrjk&amp;gid=400689247&amp;screenname=lizahill_hill" TargetMode="External"/><Relationship Id="rId1772" Type="http://schemas.openxmlformats.org/officeDocument/2006/relationships/hyperlink" Target="http://hawksey.info/tagsexplorer/arc.html?key=1juyIQsnL_T8tqzfzAVVjPctB4eqiafTghnL_xhvkrjk&amp;gid=400689247&amp;screenname=llamasteve" TargetMode="External"/><Relationship Id="rId1773" Type="http://schemas.openxmlformats.org/officeDocument/2006/relationships/hyperlink" Target="http://hawksey.info/tagsexplorer/arc.html?key=1juyIQsnL_T8tqzfzAVVjPctB4eqiafTghnL_xhvkrjk&amp;gid=400689247&amp;screenname=lluna_lcluna" TargetMode="External"/><Relationship Id="rId73" Type="http://schemas.openxmlformats.org/officeDocument/2006/relationships/hyperlink" Target="http://hawksey.info/tagsexplorer/arc.html?key=1juyIQsnL_T8tqzfzAVVjPctB4eqiafTghnL_xhvkrjk&amp;gid=400689247&amp;screenname=AndrewJamesMM" TargetMode="External"/><Relationship Id="rId1763" Type="http://schemas.openxmlformats.org/officeDocument/2006/relationships/hyperlink" Target="http://hawksey.info/tagsexplorer/arc.html?key=1juyIQsnL_T8tqzfzAVVjPctB4eqiafTghnL_xhvkrjk&amp;gid=400689247&amp;screenname=liarpolitician4" TargetMode="External"/><Relationship Id="rId72" Type="http://schemas.openxmlformats.org/officeDocument/2006/relationships/hyperlink" Target="http://hawksey.info/tagsexplorer/arc.html?key=1juyIQsnL_T8tqzfzAVVjPctB4eqiafTghnL_xhvkrjk&amp;gid=400689247&amp;screenname=AndreaMatyellow" TargetMode="External"/><Relationship Id="rId1764" Type="http://schemas.openxmlformats.org/officeDocument/2006/relationships/hyperlink" Target="http://hawksey.info/tagsexplorer/arc.html?key=1juyIQsnL_T8tqzfzAVVjPctB4eqiafTghnL_xhvkrjk&amp;gid=400689247&amp;screenname=liberallance" TargetMode="External"/><Relationship Id="rId75" Type="http://schemas.openxmlformats.org/officeDocument/2006/relationships/hyperlink" Target="http://hawksey.info/tagsexplorer/arc.html?key=1juyIQsnL_T8tqzfzAVVjPctB4eqiafTghnL_xhvkrjk&amp;gid=400689247&amp;screenname=AndrewRemainEU" TargetMode="External"/><Relationship Id="rId1765" Type="http://schemas.openxmlformats.org/officeDocument/2006/relationships/hyperlink" Target="http://hawksey.info/tagsexplorer/arc.html?key=1juyIQsnL_T8tqzfzAVVjPctB4eqiafTghnL_xhvkrjk&amp;gid=400689247&amp;screenname=linda36736762" TargetMode="External"/><Relationship Id="rId74" Type="http://schemas.openxmlformats.org/officeDocument/2006/relationships/hyperlink" Target="http://hawksey.info/tagsexplorer/arc.html?key=1juyIQsnL_T8tqzfzAVVjPctB4eqiafTghnL_xhvkrjk&amp;gid=400689247&amp;screenname=AndrewOJ21MPP" TargetMode="External"/><Relationship Id="rId1766" Type="http://schemas.openxmlformats.org/officeDocument/2006/relationships/hyperlink" Target="http://hawksey.info/tagsexplorer/arc.html?key=1juyIQsnL_T8tqzfzAVVjPctB4eqiafTghnL_xhvkrjk&amp;gid=400689247&amp;screenname=lindadixon80" TargetMode="External"/><Relationship Id="rId77" Type="http://schemas.openxmlformats.org/officeDocument/2006/relationships/hyperlink" Target="http://hawksey.info/tagsexplorer/arc.html?key=1juyIQsnL_T8tqzfzAVVjPctB4eqiafTghnL_xhvkrjk&amp;gid=400689247&amp;screenname=AndyFarquhar2" TargetMode="External"/><Relationship Id="rId1767" Type="http://schemas.openxmlformats.org/officeDocument/2006/relationships/hyperlink" Target="http://hawksey.info/tagsexplorer/arc.html?key=1juyIQsnL_T8tqzfzAVVjPctB4eqiafTghnL_xhvkrjk&amp;gid=400689247&amp;screenname=lionandfox6773" TargetMode="External"/><Relationship Id="rId76" Type="http://schemas.openxmlformats.org/officeDocument/2006/relationships/hyperlink" Target="http://hawksey.info/tagsexplorer/arc.html?key=1juyIQsnL_T8tqzfzAVVjPctB4eqiafTghnL_xhvkrjk&amp;gid=400689247&amp;screenname=Andrew_apac" TargetMode="External"/><Relationship Id="rId1768" Type="http://schemas.openxmlformats.org/officeDocument/2006/relationships/hyperlink" Target="http://hawksey.info/tagsexplorer/arc.html?key=1juyIQsnL_T8tqzfzAVVjPctB4eqiafTghnL_xhvkrjk&amp;gid=400689247&amp;screenname=lis1bee" TargetMode="External"/><Relationship Id="rId79" Type="http://schemas.openxmlformats.org/officeDocument/2006/relationships/hyperlink" Target="http://hawksey.info/tagsexplorer/arc.html?key=1juyIQsnL_T8tqzfzAVVjPctB4eqiafTghnL_xhvkrjk&amp;gid=400689247&amp;screenname=AndyGreen_40" TargetMode="External"/><Relationship Id="rId1769" Type="http://schemas.openxmlformats.org/officeDocument/2006/relationships/hyperlink" Target="http://hawksey.info/tagsexplorer/arc.html?key=1juyIQsnL_T8tqzfzAVVjPctB4eqiafTghnL_xhvkrjk&amp;gid=400689247&amp;screenname=lithgaelark" TargetMode="External"/><Relationship Id="rId78" Type="http://schemas.openxmlformats.org/officeDocument/2006/relationships/hyperlink" Target="http://hawksey.info/tagsexplorer/arc.html?key=1juyIQsnL_T8tqzfzAVVjPctB4eqiafTghnL_xhvkrjk&amp;gid=400689247&amp;screenname=AndyGerard100" TargetMode="External"/><Relationship Id="rId71" Type="http://schemas.openxmlformats.org/officeDocument/2006/relationships/hyperlink" Target="http://hawksey.info/tagsexplorer/arc.html?key=1juyIQsnL_T8tqzfzAVVjPctB4eqiafTghnL_xhvkrjk&amp;gid=400689247&amp;screenname=Andrade1357" TargetMode="External"/><Relationship Id="rId70" Type="http://schemas.openxmlformats.org/officeDocument/2006/relationships/hyperlink" Target="http://hawksey.info/tagsexplorer/arc.html?key=1juyIQsnL_T8tqzfzAVVjPctB4eqiafTghnL_xhvkrjk&amp;gid=400689247&amp;screenname=AndIlkley" TargetMode="External"/><Relationship Id="rId1760" Type="http://schemas.openxmlformats.org/officeDocument/2006/relationships/hyperlink" Target="http://hawksey.info/tagsexplorer/arc.html?key=1juyIQsnL_T8tqzfzAVVjPctB4eqiafTghnL_xhvkrjk&amp;gid=400689247&amp;screenname=lesmurphy6" TargetMode="External"/><Relationship Id="rId1761" Type="http://schemas.openxmlformats.org/officeDocument/2006/relationships/hyperlink" Target="http://hawksey.info/tagsexplorer/arc.html?key=1juyIQsnL_T8tqzfzAVVjPctB4eqiafTghnL_xhvkrjk&amp;gid=400689247&amp;screenname=lesterbroom48" TargetMode="External"/><Relationship Id="rId1762" Type="http://schemas.openxmlformats.org/officeDocument/2006/relationships/hyperlink" Target="http://hawksey.info/tagsexplorer/arc.html?key=1juyIQsnL_T8tqzfzAVVjPctB4eqiafTghnL_xhvkrjk&amp;gid=400689247&amp;screenname=lheiden1610" TargetMode="External"/><Relationship Id="rId62" Type="http://schemas.openxmlformats.org/officeDocument/2006/relationships/hyperlink" Target="http://hawksey.info/tagsexplorer/arc.html?key=1juyIQsnL_T8tqzfzAVVjPctB4eqiafTghnL_xhvkrjk&amp;gid=400689247&amp;screenname=Allyjambo" TargetMode="External"/><Relationship Id="rId1796" Type="http://schemas.openxmlformats.org/officeDocument/2006/relationships/hyperlink" Target="http://hawksey.info/tagsexplorer/arc.html?key=1juyIQsnL_T8tqzfzAVVjPctB4eqiafTghnL_xhvkrjk&amp;gid=400689247&amp;screenname=madden_phil" TargetMode="External"/><Relationship Id="rId61" Type="http://schemas.openxmlformats.org/officeDocument/2006/relationships/hyperlink" Target="http://hawksey.info/tagsexplorer/arc.html?key=1juyIQsnL_T8tqzfzAVVjPctB4eqiafTghnL_xhvkrjk&amp;gid=400689247&amp;screenname=AllyParry" TargetMode="External"/><Relationship Id="rId1797" Type="http://schemas.openxmlformats.org/officeDocument/2006/relationships/hyperlink" Target="http://hawksey.info/tagsexplorer/arc.html?key=1juyIQsnL_T8tqzfzAVVjPctB4eqiafTghnL_xhvkrjk&amp;gid=400689247&amp;screenname=magapanthus" TargetMode="External"/><Relationship Id="rId64" Type="http://schemas.openxmlformats.org/officeDocument/2006/relationships/hyperlink" Target="http://hawksey.info/tagsexplorer/arc.html?key=1juyIQsnL_T8tqzfzAVVjPctB4eqiafTghnL_xhvkrjk&amp;gid=400689247&amp;screenname=AlvinFord14" TargetMode="External"/><Relationship Id="rId1798" Type="http://schemas.openxmlformats.org/officeDocument/2006/relationships/hyperlink" Target="http://hawksey.info/tagsexplorer/arc.html?key=1juyIQsnL_T8tqzfzAVVjPctB4eqiafTghnL_xhvkrjk&amp;gid=400689247&amp;screenname=maggie20445251" TargetMode="External"/><Relationship Id="rId63" Type="http://schemas.openxmlformats.org/officeDocument/2006/relationships/hyperlink" Target="http://hawksey.info/tagsexplorer/arc.html?key=1juyIQsnL_T8tqzfzAVVjPctB4eqiafTghnL_xhvkrjk&amp;gid=400689247&amp;screenname=AlportTaylor" TargetMode="External"/><Relationship Id="rId1799" Type="http://schemas.openxmlformats.org/officeDocument/2006/relationships/hyperlink" Target="http://hawksey.info/tagsexplorer/arc.html?key=1juyIQsnL_T8tqzfzAVVjPctB4eqiafTghnL_xhvkrjk&amp;gid=400689247&amp;screenname=magicdmw" TargetMode="External"/><Relationship Id="rId66" Type="http://schemas.openxmlformats.org/officeDocument/2006/relationships/hyperlink" Target="http://hawksey.info/tagsexplorer/arc.html?key=1juyIQsnL_T8tqzfzAVVjPctB4eqiafTghnL_xhvkrjk&amp;gid=400689247&amp;screenname=AmandaGWEU" TargetMode="External"/><Relationship Id="rId65" Type="http://schemas.openxmlformats.org/officeDocument/2006/relationships/hyperlink" Target="http://hawksey.info/tagsexplorer/arc.html?key=1juyIQsnL_T8tqzfzAVVjPctB4eqiafTghnL_xhvkrjk&amp;gid=400689247&amp;screenname=Always_a_Yes" TargetMode="External"/><Relationship Id="rId68" Type="http://schemas.openxmlformats.org/officeDocument/2006/relationships/hyperlink" Target="http://hawksey.info/tagsexplorer/arc.html?key=1juyIQsnL_T8tqzfzAVVjPctB4eqiafTghnL_xhvkrjk&amp;gid=400689247&amp;screenname=AmandalikesRick" TargetMode="External"/><Relationship Id="rId67" Type="http://schemas.openxmlformats.org/officeDocument/2006/relationships/hyperlink" Target="http://hawksey.info/tagsexplorer/arc.html?key=1juyIQsnL_T8tqzfzAVVjPctB4eqiafTghnL_xhvkrjk&amp;gid=400689247&amp;screenname=Amanda_4d" TargetMode="External"/><Relationship Id="rId60" Type="http://schemas.openxmlformats.org/officeDocument/2006/relationships/hyperlink" Target="http://hawksey.info/tagsexplorer/arc.html?key=1juyIQsnL_T8tqzfzAVVjPctB4eqiafTghnL_xhvkrjk&amp;gid=400689247&amp;screenname=AlliManson" TargetMode="External"/><Relationship Id="rId69" Type="http://schemas.openxmlformats.org/officeDocument/2006/relationships/hyperlink" Target="http://hawksey.info/tagsexplorer/arc.html?key=1juyIQsnL_T8tqzfzAVVjPctB4eqiafTghnL_xhvkrjk&amp;gid=400689247&amp;screenname=AnExiledScot" TargetMode="External"/><Relationship Id="rId1790" Type="http://schemas.openxmlformats.org/officeDocument/2006/relationships/hyperlink" Target="http://hawksey.info/tagsexplorer/arc.html?key=1juyIQsnL_T8tqzfzAVVjPctB4eqiafTghnL_xhvkrjk&amp;gid=400689247&amp;screenname=lyonette_ruth" TargetMode="External"/><Relationship Id="rId1791" Type="http://schemas.openxmlformats.org/officeDocument/2006/relationships/hyperlink" Target="http://hawksey.info/tagsexplorer/arc.html?key=1juyIQsnL_T8tqzfzAVVjPctB4eqiafTghnL_xhvkrjk&amp;gid=400689247&amp;screenname=m_gallon06" TargetMode="External"/><Relationship Id="rId1792" Type="http://schemas.openxmlformats.org/officeDocument/2006/relationships/hyperlink" Target="http://hawksey.info/tagsexplorer/arc.html?key=1juyIQsnL_T8tqzfzAVVjPctB4eqiafTghnL_xhvkrjk&amp;gid=400689247&amp;screenname=m_innocenti3" TargetMode="External"/><Relationship Id="rId1793" Type="http://schemas.openxmlformats.org/officeDocument/2006/relationships/hyperlink" Target="http://hawksey.info/tagsexplorer/arc.html?key=1juyIQsnL_T8tqzfzAVVjPctB4eqiafTghnL_xhvkrjk&amp;gid=400689247&amp;screenname=mac35red" TargetMode="External"/><Relationship Id="rId1794" Type="http://schemas.openxmlformats.org/officeDocument/2006/relationships/hyperlink" Target="http://hawksey.info/tagsexplorer/arc.html?key=1juyIQsnL_T8tqzfzAVVjPctB4eqiafTghnL_xhvkrjk&amp;gid=400689247&amp;screenname=macameron66" TargetMode="External"/><Relationship Id="rId1795" Type="http://schemas.openxmlformats.org/officeDocument/2006/relationships/hyperlink" Target="http://hawksey.info/tagsexplorer/arc.html?key=1juyIQsnL_T8tqzfzAVVjPctB4eqiafTghnL_xhvkrjk&amp;gid=400689247&amp;screenname=mad_cyclist" TargetMode="External"/><Relationship Id="rId51" Type="http://schemas.openxmlformats.org/officeDocument/2006/relationships/hyperlink" Target="http://hawksey.info/tagsexplorer/arc.html?key=1juyIQsnL_T8tqzfzAVVjPctB4eqiafTghnL_xhvkrjk&amp;gid=400689247&amp;screenname=AlexStillMe" TargetMode="External"/><Relationship Id="rId1785" Type="http://schemas.openxmlformats.org/officeDocument/2006/relationships/hyperlink" Target="http://hawksey.info/tagsexplorer/arc.html?key=1juyIQsnL_T8tqzfzAVVjPctB4eqiafTghnL_xhvkrjk&amp;gid=400689247&amp;screenname=lucysqueetle" TargetMode="External"/><Relationship Id="rId50" Type="http://schemas.openxmlformats.org/officeDocument/2006/relationships/hyperlink" Target="http://hawksey.info/tagsexplorer/arc.html?key=1juyIQsnL_T8tqzfzAVVjPctB4eqiafTghnL_xhvkrjk&amp;gid=400689247&amp;screenname=AleksandarGodic" TargetMode="External"/><Relationship Id="rId1786" Type="http://schemas.openxmlformats.org/officeDocument/2006/relationships/hyperlink" Target="http://hawksey.info/tagsexplorer/arc.html?key=1juyIQsnL_T8tqzfzAVVjPctB4eqiafTghnL_xhvkrjk&amp;gid=400689247&amp;screenname=luke_cassidy" TargetMode="External"/><Relationship Id="rId53" Type="http://schemas.openxmlformats.org/officeDocument/2006/relationships/hyperlink" Target="http://hawksey.info/tagsexplorer/arc.html?key=1juyIQsnL_T8tqzfzAVVjPctB4eqiafTghnL_xhvkrjk&amp;gid=400689247&amp;screenname=AlfRendo123" TargetMode="External"/><Relationship Id="rId1787" Type="http://schemas.openxmlformats.org/officeDocument/2006/relationships/hyperlink" Target="http://hawksey.info/tagsexplorer/arc.html?key=1juyIQsnL_T8tqzfzAVVjPctB4eqiafTghnL_xhvkrjk&amp;gid=400689247&amp;screenname=lunaperla" TargetMode="External"/><Relationship Id="rId52" Type="http://schemas.openxmlformats.org/officeDocument/2006/relationships/hyperlink" Target="http://hawksey.info/tagsexplorer/arc.html?key=1juyIQsnL_T8tqzfzAVVjPctB4eqiafTghnL_xhvkrjk&amp;gid=400689247&amp;screenname=Alexblx" TargetMode="External"/><Relationship Id="rId1788" Type="http://schemas.openxmlformats.org/officeDocument/2006/relationships/hyperlink" Target="http://hawksey.info/tagsexplorer/arc.html?key=1juyIQsnL_T8tqzfzAVVjPctB4eqiafTghnL_xhvkrjk&amp;gid=400689247&amp;screenname=lyn_ambrose" TargetMode="External"/><Relationship Id="rId55" Type="http://schemas.openxmlformats.org/officeDocument/2006/relationships/hyperlink" Target="http://hawksey.info/tagsexplorer/arc.html?key=1juyIQsnL_T8tqzfzAVVjPctB4eqiafTghnL_xhvkrjk&amp;gid=400689247&amp;screenname=AliBunting68" TargetMode="External"/><Relationship Id="rId1789" Type="http://schemas.openxmlformats.org/officeDocument/2006/relationships/hyperlink" Target="http://hawksey.info/tagsexplorer/arc.html?key=1juyIQsnL_T8tqzfzAVVjPctB4eqiafTghnL_xhvkrjk&amp;gid=400689247&amp;screenname=lynneba25622829" TargetMode="External"/><Relationship Id="rId54" Type="http://schemas.openxmlformats.org/officeDocument/2006/relationships/hyperlink" Target="http://hawksey.info/tagsexplorer/arc.html?key=1juyIQsnL_T8tqzfzAVVjPctB4eqiafTghnL_xhvkrjk&amp;gid=400689247&amp;screenname=Alheri" TargetMode="External"/><Relationship Id="rId57" Type="http://schemas.openxmlformats.org/officeDocument/2006/relationships/hyperlink" Target="http://hawksey.info/tagsexplorer/arc.html?key=1juyIQsnL_T8tqzfzAVVjPctB4eqiafTghnL_xhvkrjk&amp;gid=400689247&amp;screenname=Alisonmossy1" TargetMode="External"/><Relationship Id="rId56" Type="http://schemas.openxmlformats.org/officeDocument/2006/relationships/hyperlink" Target="http://hawksey.info/tagsexplorer/arc.html?key=1juyIQsnL_T8tqzfzAVVjPctB4eqiafTghnL_xhvkrjk&amp;gid=400689247&amp;screenname=AlisonmarYr" TargetMode="External"/><Relationship Id="rId59" Type="http://schemas.openxmlformats.org/officeDocument/2006/relationships/hyperlink" Target="http://hawksey.info/tagsexplorer/arc.html?key=1juyIQsnL_T8tqzfzAVVjPctB4eqiafTghnL_xhvkrjk&amp;gid=400689247&amp;screenname=AllenHernaman" TargetMode="External"/><Relationship Id="rId58" Type="http://schemas.openxmlformats.org/officeDocument/2006/relationships/hyperlink" Target="http://hawksey.info/tagsexplorer/arc.html?key=1juyIQsnL_T8tqzfzAVVjPctB4eqiafTghnL_xhvkrjk&amp;gid=400689247&amp;screenname=AllanSkerratt" TargetMode="External"/><Relationship Id="rId1780" Type="http://schemas.openxmlformats.org/officeDocument/2006/relationships/hyperlink" Target="http://hawksey.info/tagsexplorer/arc.html?key=1juyIQsnL_T8tqzfzAVVjPctB4eqiafTghnL_xhvkrjk&amp;gid=400689247&amp;screenname=loyden60" TargetMode="External"/><Relationship Id="rId1781" Type="http://schemas.openxmlformats.org/officeDocument/2006/relationships/hyperlink" Target="http://hawksey.info/tagsexplorer/arc.html?key=1juyIQsnL_T8tqzfzAVVjPctB4eqiafTghnL_xhvkrjk&amp;gid=400689247&amp;screenname=ltd_education" TargetMode="External"/><Relationship Id="rId1782" Type="http://schemas.openxmlformats.org/officeDocument/2006/relationships/hyperlink" Target="http://hawksey.info/tagsexplorer/arc.html?key=1juyIQsnL_T8tqzfzAVVjPctB4eqiafTghnL_xhvkrjk&amp;gid=400689247&amp;screenname=lucapavel" TargetMode="External"/><Relationship Id="rId1783" Type="http://schemas.openxmlformats.org/officeDocument/2006/relationships/hyperlink" Target="http://hawksey.info/tagsexplorer/arc.html?key=1juyIQsnL_T8tqzfzAVVjPctB4eqiafTghnL_xhvkrjk&amp;gid=400689247&amp;screenname=lucybridgers" TargetMode="External"/><Relationship Id="rId1784" Type="http://schemas.openxmlformats.org/officeDocument/2006/relationships/hyperlink" Target="http://hawksey.info/tagsexplorer/arc.html?key=1juyIQsnL_T8tqzfzAVVjPctB4eqiafTghnL_xhvkrjk&amp;gid=400689247&amp;screenname=lucycowp" TargetMode="External"/><Relationship Id="rId349" Type="http://schemas.openxmlformats.org/officeDocument/2006/relationships/hyperlink" Target="http://hawksey.info/tagsexplorer/arc.html?key=1juyIQsnL_T8tqzfzAVVjPctB4eqiafTghnL_xhvkrjk&amp;gid=400689247&amp;screenname=DmitriS40926112" TargetMode="External"/><Relationship Id="rId348" Type="http://schemas.openxmlformats.org/officeDocument/2006/relationships/hyperlink" Target="http://hawksey.info/tagsexplorer/arc.html?key=1juyIQsnL_T8tqzfzAVVjPctB4eqiafTghnL_xhvkrjk&amp;gid=400689247&amp;screenname=DjokoD" TargetMode="External"/><Relationship Id="rId347" Type="http://schemas.openxmlformats.org/officeDocument/2006/relationships/hyperlink" Target="http://hawksey.info/tagsexplorer/arc.html?key=1juyIQsnL_T8tqzfzAVVjPctB4eqiafTghnL_xhvkrjk&amp;gid=400689247&amp;screenname=DianaShirlaw" TargetMode="External"/><Relationship Id="rId346" Type="http://schemas.openxmlformats.org/officeDocument/2006/relationships/hyperlink" Target="http://hawksey.info/tagsexplorer/arc.html?key=1juyIQsnL_T8tqzfzAVVjPctB4eqiafTghnL_xhvkrjk&amp;gid=400689247&amp;screenname=DespiteBrexbot" TargetMode="External"/><Relationship Id="rId341" Type="http://schemas.openxmlformats.org/officeDocument/2006/relationships/hyperlink" Target="http://hawksey.info/tagsexplorer/arc.html?key=1juyIQsnL_T8tqzfzAVVjPctB4eqiafTghnL_xhvkrjk&amp;gid=400689247&amp;screenname=Dependent2020" TargetMode="External"/><Relationship Id="rId340" Type="http://schemas.openxmlformats.org/officeDocument/2006/relationships/hyperlink" Target="http://hawksey.info/tagsexplorer/arc.html?key=1juyIQsnL_T8tqzfzAVVjPctB4eqiafTghnL_xhvkrjk&amp;gid=400689247&amp;screenname=DenneyDesign" TargetMode="External"/><Relationship Id="rId345" Type="http://schemas.openxmlformats.org/officeDocument/2006/relationships/hyperlink" Target="http://hawksey.info/tagsexplorer/arc.html?key=1juyIQsnL_T8tqzfzAVVjPctB4eqiafTghnL_xhvkrjk&amp;gid=400689247&amp;screenname=Desinumber9" TargetMode="External"/><Relationship Id="rId344" Type="http://schemas.openxmlformats.org/officeDocument/2006/relationships/hyperlink" Target="http://hawksey.info/tagsexplorer/arc.html?key=1juyIQsnL_T8tqzfzAVVjPctB4eqiafTghnL_xhvkrjk&amp;gid=400689247&amp;screenname=DesignTheFuture" TargetMode="External"/><Relationship Id="rId343" Type="http://schemas.openxmlformats.org/officeDocument/2006/relationships/hyperlink" Target="http://hawksey.info/tagsexplorer/arc.html?key=1juyIQsnL_T8tqzfzAVVjPctB4eqiafTghnL_xhvkrjk&amp;gid=400689247&amp;screenname=DesMchlmcgnn" TargetMode="External"/><Relationship Id="rId342" Type="http://schemas.openxmlformats.org/officeDocument/2006/relationships/hyperlink" Target="http://hawksey.info/tagsexplorer/arc.html?key=1juyIQsnL_T8tqzfzAVVjPctB4eqiafTghnL_xhvkrjk&amp;gid=400689247&amp;screenname=Dermot52448258" TargetMode="External"/><Relationship Id="rId338" Type="http://schemas.openxmlformats.org/officeDocument/2006/relationships/hyperlink" Target="http://hawksey.info/tagsexplorer/arc.html?key=1juyIQsnL_T8tqzfzAVVjPctB4eqiafTghnL_xhvkrjk&amp;gid=400689247&amp;screenname=Dempsey1972John" TargetMode="External"/><Relationship Id="rId337" Type="http://schemas.openxmlformats.org/officeDocument/2006/relationships/hyperlink" Target="http://hawksey.info/tagsexplorer/arc.html?key=1juyIQsnL_T8tqzfzAVVjPctB4eqiafTghnL_xhvkrjk&amp;gid=400689247&amp;screenname=DeirdreDowney" TargetMode="External"/><Relationship Id="rId336" Type="http://schemas.openxmlformats.org/officeDocument/2006/relationships/hyperlink" Target="http://hawksey.info/tagsexplorer/arc.html?key=1juyIQsnL_T8tqzfzAVVjPctB4eqiafTghnL_xhvkrjk&amp;gid=400689247&amp;screenname=DeeMadi54819377" TargetMode="External"/><Relationship Id="rId335" Type="http://schemas.openxmlformats.org/officeDocument/2006/relationships/hyperlink" Target="http://hawksey.info/tagsexplorer/arc.html?key=1juyIQsnL_T8tqzfzAVVjPctB4eqiafTghnL_xhvkrjk&amp;gid=400689247&amp;screenname=DecodingTrolls" TargetMode="External"/><Relationship Id="rId339" Type="http://schemas.openxmlformats.org/officeDocument/2006/relationships/hyperlink" Target="http://hawksey.info/tagsexplorer/arc.html?key=1juyIQsnL_T8tqzfzAVVjPctB4eqiafTghnL_xhvkrjk&amp;gid=400689247&amp;screenname=DeniseB92880798" TargetMode="External"/><Relationship Id="rId330" Type="http://schemas.openxmlformats.org/officeDocument/2006/relationships/hyperlink" Target="http://hawksey.info/tagsexplorer/arc.html?key=1juyIQsnL_T8tqzfzAVVjPctB4eqiafTghnL_xhvkrjk&amp;gid=400689247&amp;screenname=David_T_Evans" TargetMode="External"/><Relationship Id="rId334" Type="http://schemas.openxmlformats.org/officeDocument/2006/relationships/hyperlink" Target="http://hawksey.info/tagsexplorer/arc.html?key=1juyIQsnL_T8tqzfzAVVjPctB4eqiafTghnL_xhvkrjk&amp;gid=400689247&amp;screenname=Debz7172" TargetMode="External"/><Relationship Id="rId333" Type="http://schemas.openxmlformats.org/officeDocument/2006/relationships/hyperlink" Target="http://hawksey.info/tagsexplorer/arc.html?key=1juyIQsnL_T8tqzfzAVVjPctB4eqiafTghnL_xhvkrjk&amp;gid=400689247&amp;screenname=Deasbad" TargetMode="External"/><Relationship Id="rId332" Type="http://schemas.openxmlformats.org/officeDocument/2006/relationships/hyperlink" Target="http://hawksey.info/tagsexplorer/arc.html?key=1juyIQsnL_T8tqzfzAVVjPctB4eqiafTghnL_xhvkrjk&amp;gid=400689247&amp;screenname=DbAshby" TargetMode="External"/><Relationship Id="rId331" Type="http://schemas.openxmlformats.org/officeDocument/2006/relationships/hyperlink" Target="http://hawksey.info/tagsexplorer/arc.html?key=1juyIQsnL_T8tqzfzAVVjPctB4eqiafTghnL_xhvkrjk&amp;gid=400689247&amp;screenname=DawnConnor" TargetMode="External"/><Relationship Id="rId370" Type="http://schemas.openxmlformats.org/officeDocument/2006/relationships/hyperlink" Target="http://hawksey.info/tagsexplorer/arc.html?key=1juyIQsnL_T8tqzfzAVVjPctB4eqiafTghnL_xhvkrjk&amp;gid=400689247&amp;screenname=DurhamWhines" TargetMode="External"/><Relationship Id="rId369" Type="http://schemas.openxmlformats.org/officeDocument/2006/relationships/hyperlink" Target="http://hawksey.info/tagsexplorer/arc.html?key=1juyIQsnL_T8tqzfzAVVjPctB4eqiafTghnL_xhvkrjk&amp;gid=400689247&amp;screenname=DuncanClarke15" TargetMode="External"/><Relationship Id="rId368" Type="http://schemas.openxmlformats.org/officeDocument/2006/relationships/hyperlink" Target="http://hawksey.info/tagsexplorer/arc.html?key=1juyIQsnL_T8tqzfzAVVjPctB4eqiafTghnL_xhvkrjk&amp;gid=400689247&amp;screenname=DudleydeBeau" TargetMode="External"/><Relationship Id="rId363" Type="http://schemas.openxmlformats.org/officeDocument/2006/relationships/hyperlink" Target="http://hawksey.info/tagsexplorer/arc.html?key=1juyIQsnL_T8tqzfzAVVjPctB4eqiafTghnL_xhvkrjk&amp;gid=400689247&amp;screenname=Dr__H__Lekter" TargetMode="External"/><Relationship Id="rId362" Type="http://schemas.openxmlformats.org/officeDocument/2006/relationships/hyperlink" Target="http://hawksey.info/tagsexplorer/arc.html?key=1juyIQsnL_T8tqzfzAVVjPctB4eqiafTghnL_xhvkrjk&amp;gid=400689247&amp;screenname=DrJackMiller" TargetMode="External"/><Relationship Id="rId361" Type="http://schemas.openxmlformats.org/officeDocument/2006/relationships/hyperlink" Target="http://hawksey.info/tagsexplorer/arc.html?key=1juyIQsnL_T8tqzfzAVVjPctB4eqiafTghnL_xhvkrjk&amp;gid=400689247&amp;screenname=DrGLonergan" TargetMode="External"/><Relationship Id="rId360" Type="http://schemas.openxmlformats.org/officeDocument/2006/relationships/hyperlink" Target="http://hawksey.info/tagsexplorer/arc.html?key=1juyIQsnL_T8tqzfzAVVjPctB4eqiafTghnL_xhvkrjk&amp;gid=400689247&amp;screenname=DrDavidRSewell" TargetMode="External"/><Relationship Id="rId367" Type="http://schemas.openxmlformats.org/officeDocument/2006/relationships/hyperlink" Target="http://hawksey.info/tagsexplorer/arc.html?key=1juyIQsnL_T8tqzfzAVVjPctB4eqiafTghnL_xhvkrjk&amp;gid=400689247&amp;screenname=Dringcarol" TargetMode="External"/><Relationship Id="rId366" Type="http://schemas.openxmlformats.org/officeDocument/2006/relationships/hyperlink" Target="http://hawksey.info/tagsexplorer/arc.html?key=1juyIQsnL_T8tqzfzAVVjPctB4eqiafTghnL_xhvkrjk&amp;gid=400689247&amp;screenname=Dredd1964" TargetMode="External"/><Relationship Id="rId365" Type="http://schemas.openxmlformats.org/officeDocument/2006/relationships/hyperlink" Target="http://hawksey.info/tagsexplorer/arc.html?key=1juyIQsnL_T8tqzfzAVVjPctB4eqiafTghnL_xhvkrjk&amp;gid=400689247&amp;screenname=Dragons68317191" TargetMode="External"/><Relationship Id="rId364" Type="http://schemas.openxmlformats.org/officeDocument/2006/relationships/hyperlink" Target="http://hawksey.info/tagsexplorer/arc.html?key=1juyIQsnL_T8tqzfzAVVjPctB4eqiafTghnL_xhvkrjk&amp;gid=400689247&amp;screenname=Draculadarkan" TargetMode="External"/><Relationship Id="rId95" Type="http://schemas.openxmlformats.org/officeDocument/2006/relationships/hyperlink" Target="http://hawksey.info/tagsexplorer/arc.html?key=1juyIQsnL_T8tqzfzAVVjPctB4eqiafTghnL_xhvkrjk&amp;gid=400689247&amp;screenname=ApertureImage" TargetMode="External"/><Relationship Id="rId94" Type="http://schemas.openxmlformats.org/officeDocument/2006/relationships/hyperlink" Target="http://hawksey.info/tagsexplorer/arc.html?key=1juyIQsnL_T8tqzfzAVVjPctB4eqiafTghnL_xhvkrjk&amp;gid=400689247&amp;screenname=AntiEU2" TargetMode="External"/><Relationship Id="rId97" Type="http://schemas.openxmlformats.org/officeDocument/2006/relationships/hyperlink" Target="http://hawksey.info/tagsexplorer/arc.html?key=1juyIQsnL_T8tqzfzAVVjPctB4eqiafTghnL_xhvkrjk&amp;gid=400689247&amp;screenname=ArchonLondon" TargetMode="External"/><Relationship Id="rId96" Type="http://schemas.openxmlformats.org/officeDocument/2006/relationships/hyperlink" Target="http://hawksey.info/tagsexplorer/arc.html?key=1juyIQsnL_T8tqzfzAVVjPctB4eqiafTghnL_xhvkrjk&amp;gid=400689247&amp;screenname=Architarist" TargetMode="External"/><Relationship Id="rId99" Type="http://schemas.openxmlformats.org/officeDocument/2006/relationships/hyperlink" Target="http://hawksey.info/tagsexplorer/arc.html?key=1juyIQsnL_T8tqzfzAVVjPctB4eqiafTghnL_xhvkrjk&amp;gid=400689247&amp;screenname=ArnoEu" TargetMode="External"/><Relationship Id="rId98" Type="http://schemas.openxmlformats.org/officeDocument/2006/relationships/hyperlink" Target="http://hawksey.info/tagsexplorer/arc.html?key=1juyIQsnL_T8tqzfzAVVjPctB4eqiafTghnL_xhvkrjk&amp;gid=400689247&amp;screenname=ArdentArchivis1" TargetMode="External"/><Relationship Id="rId91" Type="http://schemas.openxmlformats.org/officeDocument/2006/relationships/hyperlink" Target="http://hawksey.info/tagsexplorer/arc.html?key=1juyIQsnL_T8tqzfzAVVjPctB4eqiafTghnL_xhvkrjk&amp;gid=400689247&amp;screenname=AnnetteSilvest3" TargetMode="External"/><Relationship Id="rId90" Type="http://schemas.openxmlformats.org/officeDocument/2006/relationships/hyperlink" Target="http://hawksey.info/tagsexplorer/arc.html?key=1juyIQsnL_T8tqzfzAVVjPctB4eqiafTghnL_xhvkrjk&amp;gid=400689247&amp;screenname=Annette56341407" TargetMode="External"/><Relationship Id="rId93" Type="http://schemas.openxmlformats.org/officeDocument/2006/relationships/hyperlink" Target="http://hawksey.info/tagsexplorer/arc.html?key=1juyIQsnL_T8tqzfzAVVjPctB4eqiafTghnL_xhvkrjk&amp;gid=400689247&amp;screenname=Anniepop2027" TargetMode="External"/><Relationship Id="rId92" Type="http://schemas.openxmlformats.org/officeDocument/2006/relationships/hyperlink" Target="http://hawksey.info/tagsexplorer/arc.html?key=1juyIQsnL_T8tqzfzAVVjPctB4eqiafTghnL_xhvkrjk&amp;gid=400689247&amp;screenname=Annettewhatmou1" TargetMode="External"/><Relationship Id="rId359" Type="http://schemas.openxmlformats.org/officeDocument/2006/relationships/hyperlink" Target="http://hawksey.info/tagsexplorer/arc.html?key=1juyIQsnL_T8tqzfzAVVjPctB4eqiafTghnL_xhvkrjk&amp;gid=400689247&amp;screenname=DouweKorff" TargetMode="External"/><Relationship Id="rId358" Type="http://schemas.openxmlformats.org/officeDocument/2006/relationships/hyperlink" Target="http://hawksey.info/tagsexplorer/arc.html?key=1juyIQsnL_T8tqzfzAVVjPctB4eqiafTghnL_xhvkrjk&amp;gid=400689247&amp;screenname=Dougwriter" TargetMode="External"/><Relationship Id="rId357" Type="http://schemas.openxmlformats.org/officeDocument/2006/relationships/hyperlink" Target="http://hawksey.info/tagsexplorer/arc.html?key=1juyIQsnL_T8tqzfzAVVjPctB4eqiafTghnL_xhvkrjk&amp;gid=400689247&amp;screenname=Dotspod1" TargetMode="External"/><Relationship Id="rId352" Type="http://schemas.openxmlformats.org/officeDocument/2006/relationships/hyperlink" Target="http://hawksey.info/tagsexplorer/arc.html?key=1juyIQsnL_T8tqzfzAVVjPctB4eqiafTghnL_xhvkrjk&amp;gid=400689247&amp;screenname=Donatedparts" TargetMode="External"/><Relationship Id="rId351" Type="http://schemas.openxmlformats.org/officeDocument/2006/relationships/hyperlink" Target="http://hawksey.info/tagsexplorer/arc.html?key=1juyIQsnL_T8tqzfzAVVjPctB4eqiafTghnL_xhvkrjk&amp;gid=400689247&amp;screenname=DonaHilaria" TargetMode="External"/><Relationship Id="rId350" Type="http://schemas.openxmlformats.org/officeDocument/2006/relationships/hyperlink" Target="http://hawksey.info/tagsexplorer/arc.html?key=1juyIQsnL_T8tqzfzAVVjPctB4eqiafTghnL_xhvkrjk&amp;gid=400689247&amp;screenname=DoddsLindsay" TargetMode="External"/><Relationship Id="rId356" Type="http://schemas.openxmlformats.org/officeDocument/2006/relationships/hyperlink" Target="http://hawksey.info/tagsexplorer/arc.html?key=1juyIQsnL_T8tqzfzAVVjPctB4eqiafTghnL_xhvkrjk&amp;gid=400689247&amp;screenname=DotLepkowska" TargetMode="External"/><Relationship Id="rId355" Type="http://schemas.openxmlformats.org/officeDocument/2006/relationships/hyperlink" Target="http://hawksey.info/tagsexplorer/arc.html?key=1juyIQsnL_T8tqzfzAVVjPctB4eqiafTghnL_xhvkrjk&amp;gid=400689247&amp;screenname=Dorothy97638586" TargetMode="External"/><Relationship Id="rId354" Type="http://schemas.openxmlformats.org/officeDocument/2006/relationships/hyperlink" Target="http://hawksey.info/tagsexplorer/arc.html?key=1juyIQsnL_T8tqzfzAVVjPctB4eqiafTghnL_xhvkrjk&amp;gid=400689247&amp;screenname=Dorothy23897725" TargetMode="External"/><Relationship Id="rId353" Type="http://schemas.openxmlformats.org/officeDocument/2006/relationships/hyperlink" Target="http://hawksey.info/tagsexplorer/arc.html?key=1juyIQsnL_T8tqzfzAVVjPctB4eqiafTghnL_xhvkrjk&amp;gid=400689247&amp;screenname=DoreJayne" TargetMode="External"/><Relationship Id="rId305" Type="http://schemas.openxmlformats.org/officeDocument/2006/relationships/hyperlink" Target="http://hawksey.info/tagsexplorer/arc.html?key=1juyIQsnL_T8tqzfzAVVjPctB4eqiafTghnL_xhvkrjk&amp;gid=400689247&amp;screenname=CurlyChronic" TargetMode="External"/><Relationship Id="rId304" Type="http://schemas.openxmlformats.org/officeDocument/2006/relationships/hyperlink" Target="http://hawksey.info/tagsexplorer/arc.html?key=1juyIQsnL_T8tqzfzAVVjPctB4eqiafTghnL_xhvkrjk&amp;gid=400689247&amp;screenname=CuriousLearner2" TargetMode="External"/><Relationship Id="rId303" Type="http://schemas.openxmlformats.org/officeDocument/2006/relationships/hyperlink" Target="http://hawksey.info/tagsexplorer/arc.html?key=1juyIQsnL_T8tqzfzAVVjPctB4eqiafTghnL_xhvkrjk&amp;gid=400689247&amp;screenname=Curiosity7709" TargetMode="External"/><Relationship Id="rId302" Type="http://schemas.openxmlformats.org/officeDocument/2006/relationships/hyperlink" Target="http://hawksey.info/tagsexplorer/arc.html?key=1juyIQsnL_T8tqzfzAVVjPctB4eqiafTghnL_xhvkrjk&amp;gid=400689247&amp;screenname=CunliffeSusanna" TargetMode="External"/><Relationship Id="rId309" Type="http://schemas.openxmlformats.org/officeDocument/2006/relationships/hyperlink" Target="http://hawksey.info/tagsexplorer/arc.html?key=1juyIQsnL_T8tqzfzAVVjPctB4eqiafTghnL_xhvkrjk&amp;gid=400689247&amp;screenname=DCHutchings" TargetMode="External"/><Relationship Id="rId308" Type="http://schemas.openxmlformats.org/officeDocument/2006/relationships/hyperlink" Target="http://hawksey.info/tagsexplorer/arc.html?key=1juyIQsnL_T8tqzfzAVVjPctB4eqiafTghnL_xhvkrjk&amp;gid=400689247&amp;screenname=DAPowell1" TargetMode="External"/><Relationship Id="rId307" Type="http://schemas.openxmlformats.org/officeDocument/2006/relationships/hyperlink" Target="http://hawksey.info/tagsexplorer/arc.html?key=1juyIQsnL_T8tqzfzAVVjPctB4eqiafTghnL_xhvkrjk&amp;gid=400689247&amp;screenname=CyrilMurphy171" TargetMode="External"/><Relationship Id="rId306" Type="http://schemas.openxmlformats.org/officeDocument/2006/relationships/hyperlink" Target="http://hawksey.info/tagsexplorer/arc.html?key=1juyIQsnL_T8tqzfzAVVjPctB4eqiafTghnL_xhvkrjk&amp;gid=400689247&amp;screenname=CuttingsQueen" TargetMode="External"/><Relationship Id="rId301" Type="http://schemas.openxmlformats.org/officeDocument/2006/relationships/hyperlink" Target="http://hawksey.info/tagsexplorer/arc.html?key=1juyIQsnL_T8tqzfzAVVjPctB4eqiafTghnL_xhvkrjk&amp;gid=400689247&amp;screenname=CsizmadiaC" TargetMode="External"/><Relationship Id="rId300" Type="http://schemas.openxmlformats.org/officeDocument/2006/relationships/hyperlink" Target="http://hawksey.info/tagsexplorer/arc.html?key=1juyIQsnL_T8tqzfzAVVjPctB4eqiafTghnL_xhvkrjk&amp;gid=400689247&amp;screenname=CrazyBengieFB_" TargetMode="External"/><Relationship Id="rId2214" Type="http://schemas.openxmlformats.org/officeDocument/2006/relationships/drawing" Target="../drawings/drawing7.xml"/><Relationship Id="rId2210" Type="http://schemas.openxmlformats.org/officeDocument/2006/relationships/hyperlink" Target="http://hawksey.info/tagsexplorer/arc.html?key=1juyIQsnL_T8tqzfzAVVjPctB4eqiafTghnL_xhvkrjk&amp;gid=400689247&amp;screenname=yllekonadnerb" TargetMode="External"/><Relationship Id="rId2211" Type="http://schemas.openxmlformats.org/officeDocument/2006/relationships/hyperlink" Target="http://hawksey.info/tagsexplorer/arc.html?key=1juyIQsnL_T8tqzfzAVVjPctB4eqiafTghnL_xhvkrjk&amp;gid=400689247&amp;screenname=yorkiemoonraker" TargetMode="External"/><Relationship Id="rId2212" Type="http://schemas.openxmlformats.org/officeDocument/2006/relationships/hyperlink" Target="http://hawksey.info/tagsexplorer/arc.html?key=1juyIQsnL_T8tqzfzAVVjPctB4eqiafTghnL_xhvkrjk&amp;gid=400689247&amp;screenname=youngmullers" TargetMode="External"/><Relationship Id="rId2213" Type="http://schemas.openxmlformats.org/officeDocument/2006/relationships/hyperlink" Target="http://hawksey.info/tagsexplorer/arc.html?key=1juyIQsnL_T8tqzfzAVVjPctB4eqiafTghnL_xhvkrjk&amp;gid=400689247&amp;screenname=zidanesboots" TargetMode="External"/><Relationship Id="rId327" Type="http://schemas.openxmlformats.org/officeDocument/2006/relationships/hyperlink" Target="http://hawksey.info/tagsexplorer/arc.html?key=1juyIQsnL_T8tqzfzAVVjPctB4eqiafTghnL_xhvkrjk&amp;gid=400689247&amp;screenname=DavidHo57450429" TargetMode="External"/><Relationship Id="rId326" Type="http://schemas.openxmlformats.org/officeDocument/2006/relationships/hyperlink" Target="http://hawksey.info/tagsexplorer/arc.html?key=1juyIQsnL_T8tqzfzAVVjPctB4eqiafTghnL_xhvkrjk&amp;gid=400689247&amp;screenname=DavidHeadViews" TargetMode="External"/><Relationship Id="rId325" Type="http://schemas.openxmlformats.org/officeDocument/2006/relationships/hyperlink" Target="http://hawksey.info/tagsexplorer/arc.html?key=1juyIQsnL_T8tqzfzAVVjPctB4eqiafTghnL_xhvkrjk&amp;gid=400689247&amp;screenname=DavidEvanJames" TargetMode="External"/><Relationship Id="rId324" Type="http://schemas.openxmlformats.org/officeDocument/2006/relationships/hyperlink" Target="http://hawksey.info/tagsexplorer/arc.html?key=1juyIQsnL_T8tqzfzAVVjPctB4eqiafTghnL_xhvkrjk&amp;gid=400689247&amp;screenname=DavidDsmithson1" TargetMode="External"/><Relationship Id="rId329" Type="http://schemas.openxmlformats.org/officeDocument/2006/relationships/hyperlink" Target="http://hawksey.info/tagsexplorer/arc.html?key=1juyIQsnL_T8tqzfzAVVjPctB4eqiafTghnL_xhvkrjk&amp;gid=400689247&amp;screenname=DavidWPoole73" TargetMode="External"/><Relationship Id="rId328" Type="http://schemas.openxmlformats.org/officeDocument/2006/relationships/hyperlink" Target="http://hawksey.info/tagsexplorer/arc.html?key=1juyIQsnL_T8tqzfzAVVjPctB4eqiafTghnL_xhvkrjk&amp;gid=400689247&amp;screenname=DavidRickelton" TargetMode="External"/><Relationship Id="rId323" Type="http://schemas.openxmlformats.org/officeDocument/2006/relationships/hyperlink" Target="http://hawksey.info/tagsexplorer/arc.html?key=1juyIQsnL_T8tqzfzAVVjPctB4eqiafTghnL_xhvkrjk&amp;gid=400689247&amp;screenname=Davej3ffs" TargetMode="External"/><Relationship Id="rId322" Type="http://schemas.openxmlformats.org/officeDocument/2006/relationships/hyperlink" Target="http://hawksey.info/tagsexplorer/arc.html?key=1juyIQsnL_T8tqzfzAVVjPctB4eqiafTghnL_xhvkrjk&amp;gid=400689247&amp;screenname=DaveRee83525370" TargetMode="External"/><Relationship Id="rId321" Type="http://schemas.openxmlformats.org/officeDocument/2006/relationships/hyperlink" Target="http://hawksey.info/tagsexplorer/arc.html?key=1juyIQsnL_T8tqzfzAVVjPctB4eqiafTghnL_xhvkrjk&amp;gid=400689247&amp;screenname=DaveCampaigns" TargetMode="External"/><Relationship Id="rId320" Type="http://schemas.openxmlformats.org/officeDocument/2006/relationships/hyperlink" Target="http://hawksey.info/tagsexplorer/arc.html?key=1juyIQsnL_T8tqzfzAVVjPctB4eqiafTghnL_xhvkrjk&amp;gid=400689247&amp;screenname=DarrenEwers" TargetMode="External"/><Relationship Id="rId316" Type="http://schemas.openxmlformats.org/officeDocument/2006/relationships/hyperlink" Target="http://hawksey.info/tagsexplorer/arc.html?key=1juyIQsnL_T8tqzfzAVVjPctB4eqiafTghnL_xhvkrjk&amp;gid=400689247&amp;screenname=DanieleMeloni80" TargetMode="External"/><Relationship Id="rId315" Type="http://schemas.openxmlformats.org/officeDocument/2006/relationships/hyperlink" Target="http://hawksey.info/tagsexplorer/arc.html?key=1juyIQsnL_T8tqzfzAVVjPctB4eqiafTghnL_xhvkrjk&amp;gid=400689247&amp;screenname=Dami1190" TargetMode="External"/><Relationship Id="rId314" Type="http://schemas.openxmlformats.org/officeDocument/2006/relationships/hyperlink" Target="http://hawksey.info/tagsexplorer/arc.html?key=1juyIQsnL_T8tqzfzAVVjPctB4eqiafTghnL_xhvkrjk&amp;gid=400689247&amp;screenname=DagenhamMKIII" TargetMode="External"/><Relationship Id="rId313" Type="http://schemas.openxmlformats.org/officeDocument/2006/relationships/hyperlink" Target="http://hawksey.info/tagsexplorer/arc.html?key=1juyIQsnL_T8tqzfzAVVjPctB4eqiafTghnL_xhvkrjk&amp;gid=400689247&amp;screenname=DZANET6666" TargetMode="External"/><Relationship Id="rId319" Type="http://schemas.openxmlformats.org/officeDocument/2006/relationships/hyperlink" Target="http://hawksey.info/tagsexplorer/arc.html?key=1juyIQsnL_T8tqzfzAVVjPctB4eqiafTghnL_xhvkrjk&amp;gid=400689247&amp;screenname=DariaGrimaldi" TargetMode="External"/><Relationship Id="rId318" Type="http://schemas.openxmlformats.org/officeDocument/2006/relationships/hyperlink" Target="http://hawksey.info/tagsexplorer/arc.html?key=1juyIQsnL_T8tqzfzAVVjPctB4eqiafTghnL_xhvkrjk&amp;gid=400689247&amp;screenname=Dari1974" TargetMode="External"/><Relationship Id="rId317" Type="http://schemas.openxmlformats.org/officeDocument/2006/relationships/hyperlink" Target="http://hawksey.info/tagsexplorer/arc.html?key=1juyIQsnL_T8tqzfzAVVjPctB4eqiafTghnL_xhvkrjk&amp;gid=400689247&amp;screenname=Danny_Newell" TargetMode="External"/><Relationship Id="rId312" Type="http://schemas.openxmlformats.org/officeDocument/2006/relationships/hyperlink" Target="http://hawksey.info/tagsexplorer/arc.html?key=1juyIQsnL_T8tqzfzAVVjPctB4eqiafTghnL_xhvkrjk&amp;gid=400689247&amp;screenname=DNewtonC" TargetMode="External"/><Relationship Id="rId311" Type="http://schemas.openxmlformats.org/officeDocument/2006/relationships/hyperlink" Target="http://hawksey.info/tagsexplorer/arc.html?key=1juyIQsnL_T8tqzfzAVVjPctB4eqiafTghnL_xhvkrjk&amp;gid=400689247&amp;screenname=DMTEnergy" TargetMode="External"/><Relationship Id="rId310" Type="http://schemas.openxmlformats.org/officeDocument/2006/relationships/hyperlink" Target="http://hawksey.info/tagsexplorer/arc.html?key=1juyIQsnL_T8tqzfzAVVjPctB4eqiafTghnL_xhvkrjk&amp;gid=400689247&amp;screenname=DEYCatherine1" TargetMode="External"/><Relationship Id="rId297" Type="http://schemas.openxmlformats.org/officeDocument/2006/relationships/hyperlink" Target="http://hawksey.info/tagsexplorer/arc.html?key=1juyIQsnL_T8tqzfzAVVjPctB4eqiafTghnL_xhvkrjk&amp;gid=400689247&amp;screenname=CouldBeKel" TargetMode="External"/><Relationship Id="rId296" Type="http://schemas.openxmlformats.org/officeDocument/2006/relationships/hyperlink" Target="http://hawksey.info/tagsexplorer/arc.html?key=1juyIQsnL_T8tqzfzAVVjPctB4eqiafTghnL_xhvkrjk&amp;gid=400689247&amp;screenname=CornishSkipper" TargetMode="External"/><Relationship Id="rId295" Type="http://schemas.openxmlformats.org/officeDocument/2006/relationships/hyperlink" Target="http://hawksey.info/tagsexplorer/arc.html?key=1juyIQsnL_T8tqzfzAVVjPctB4eqiafTghnL_xhvkrjk&amp;gid=400689247&amp;screenname=Cormorant100" TargetMode="External"/><Relationship Id="rId294" Type="http://schemas.openxmlformats.org/officeDocument/2006/relationships/hyperlink" Target="http://hawksey.info/tagsexplorer/arc.html?key=1juyIQsnL_T8tqzfzAVVjPctB4eqiafTghnL_xhvkrjk&amp;gid=400689247&amp;screenname=CookiboyCook" TargetMode="External"/><Relationship Id="rId299" Type="http://schemas.openxmlformats.org/officeDocument/2006/relationships/hyperlink" Target="http://hawksey.info/tagsexplorer/arc.html?key=1juyIQsnL_T8tqzfzAVVjPctB4eqiafTghnL_xhvkrjk&amp;gid=400689247&amp;screenname=CraigTribe2" TargetMode="External"/><Relationship Id="rId298" Type="http://schemas.openxmlformats.org/officeDocument/2006/relationships/hyperlink" Target="http://hawksey.info/tagsexplorer/arc.html?key=1juyIQsnL_T8tqzfzAVVjPctB4eqiafTghnL_xhvkrjk&amp;gid=400689247&amp;screenname=CraggKeith" TargetMode="External"/><Relationship Id="rId271" Type="http://schemas.openxmlformats.org/officeDocument/2006/relationships/hyperlink" Target="http://hawksey.info/tagsexplorer/arc.html?key=1juyIQsnL_T8tqzfzAVVjPctB4eqiafTghnL_xhvkrjk&amp;gid=400689247&amp;screenname=Citizen_1965" TargetMode="External"/><Relationship Id="rId270" Type="http://schemas.openxmlformats.org/officeDocument/2006/relationships/hyperlink" Target="http://hawksey.info/tagsexplorer/arc.html?key=1juyIQsnL_T8tqzfzAVVjPctB4eqiafTghnL_xhvkrjk&amp;gid=400689247&amp;screenname=Chump3z" TargetMode="External"/><Relationship Id="rId269" Type="http://schemas.openxmlformats.org/officeDocument/2006/relationships/hyperlink" Target="http://hawksey.info/tagsexplorer/arc.html?key=1juyIQsnL_T8tqzfzAVVjPctB4eqiafTghnL_xhvkrjk&amp;gid=400689247&amp;screenname=Christo94672962" TargetMode="External"/><Relationship Id="rId264" Type="http://schemas.openxmlformats.org/officeDocument/2006/relationships/hyperlink" Target="http://hawksey.info/tagsexplorer/arc.html?key=1juyIQsnL_T8tqzfzAVVjPctB4eqiafTghnL_xhvkrjk&amp;gid=400689247&amp;screenname=Chrislegal1" TargetMode="External"/><Relationship Id="rId263" Type="http://schemas.openxmlformats.org/officeDocument/2006/relationships/hyperlink" Target="http://hawksey.info/tagsexplorer/arc.html?key=1juyIQsnL_T8tqzfzAVVjPctB4eqiafTghnL_xhvkrjk&amp;gid=400689247&amp;screenname=Chris_Hix" TargetMode="External"/><Relationship Id="rId262" Type="http://schemas.openxmlformats.org/officeDocument/2006/relationships/hyperlink" Target="http://hawksey.info/tagsexplorer/arc.html?key=1juyIQsnL_T8tqzfzAVVjPctB4eqiafTghnL_xhvkrjk&amp;gid=400689247&amp;screenname=ChrisRamsden4" TargetMode="External"/><Relationship Id="rId261" Type="http://schemas.openxmlformats.org/officeDocument/2006/relationships/hyperlink" Target="http://hawksey.info/tagsexplorer/arc.html?key=1juyIQsnL_T8tqzfzAVVjPctB4eqiafTghnL_xhvkrjk&amp;gid=400689247&amp;screenname=ChrisLyddon" TargetMode="External"/><Relationship Id="rId268" Type="http://schemas.openxmlformats.org/officeDocument/2006/relationships/hyperlink" Target="http://hawksey.info/tagsexplorer/arc.html?key=1juyIQsnL_T8tqzfzAVVjPctB4eqiafTghnL_xhvkrjk&amp;gid=400689247&amp;screenname=ChristineJameis" TargetMode="External"/><Relationship Id="rId267" Type="http://schemas.openxmlformats.org/officeDocument/2006/relationships/hyperlink" Target="http://hawksey.info/tagsexplorer/arc.html?key=1juyIQsnL_T8tqzfzAVVjPctB4eqiafTghnL_xhvkrjk&amp;gid=400689247&amp;screenname=ChristinaDonn11" TargetMode="External"/><Relationship Id="rId266" Type="http://schemas.openxmlformats.org/officeDocument/2006/relationships/hyperlink" Target="http://hawksey.info/tagsexplorer/arc.html?key=1juyIQsnL_T8tqzfzAVVjPctB4eqiafTghnL_xhvkrjk&amp;gid=400689247&amp;screenname=Christi61144576" TargetMode="External"/><Relationship Id="rId265" Type="http://schemas.openxmlformats.org/officeDocument/2006/relationships/hyperlink" Target="http://hawksey.info/tagsexplorer/arc.html?key=1juyIQsnL_T8tqzfzAVVjPctB4eqiafTghnL_xhvkrjk&amp;gid=400689247&amp;screenname=ChrissieGrech" TargetMode="External"/><Relationship Id="rId260" Type="http://schemas.openxmlformats.org/officeDocument/2006/relationships/hyperlink" Target="http://hawksey.info/tagsexplorer/arc.html?key=1juyIQsnL_T8tqzfzAVVjPctB4eqiafTghnL_xhvkrjk&amp;gid=400689247&amp;screenname=ChrisJenkins60" TargetMode="External"/><Relationship Id="rId259" Type="http://schemas.openxmlformats.org/officeDocument/2006/relationships/hyperlink" Target="http://hawksey.info/tagsexplorer/arc.html?key=1juyIQsnL_T8tqzfzAVVjPctB4eqiafTghnL_xhvkrjk&amp;gid=400689247&amp;screenname=ChrisHam0912" TargetMode="External"/><Relationship Id="rId258" Type="http://schemas.openxmlformats.org/officeDocument/2006/relationships/hyperlink" Target="http://hawksey.info/tagsexplorer/arc.html?key=1juyIQsnL_T8tqzfzAVVjPctB4eqiafTghnL_xhvkrjk&amp;gid=400689247&amp;screenname=ChrisDomba" TargetMode="External"/><Relationship Id="rId253" Type="http://schemas.openxmlformats.org/officeDocument/2006/relationships/hyperlink" Target="http://hawksey.info/tagsexplorer/arc.html?key=1juyIQsnL_T8tqzfzAVVjPctB4eqiafTghnL_xhvkrjk&amp;gid=400689247&amp;screenname=CharlotteWyman1" TargetMode="External"/><Relationship Id="rId252" Type="http://schemas.openxmlformats.org/officeDocument/2006/relationships/hyperlink" Target="http://hawksey.info/tagsexplorer/arc.html?key=1juyIQsnL_T8tqzfzAVVjPctB4eqiafTghnL_xhvkrjk&amp;gid=400689247&amp;screenname=Charlie__Simon" TargetMode="External"/><Relationship Id="rId251" Type="http://schemas.openxmlformats.org/officeDocument/2006/relationships/hyperlink" Target="http://hawksey.info/tagsexplorer/arc.html?key=1juyIQsnL_T8tqzfzAVVjPctB4eqiafTghnL_xhvkrjk&amp;gid=400689247&amp;screenname=CharlieRamsay8" TargetMode="External"/><Relationship Id="rId250" Type="http://schemas.openxmlformats.org/officeDocument/2006/relationships/hyperlink" Target="http://hawksey.info/tagsexplorer/arc.html?key=1juyIQsnL_T8tqzfzAVVjPctB4eqiafTghnL_xhvkrjk&amp;gid=400689247&amp;screenname=CharenteMec" TargetMode="External"/><Relationship Id="rId257" Type="http://schemas.openxmlformats.org/officeDocument/2006/relationships/hyperlink" Target="http://hawksey.info/tagsexplorer/arc.html?key=1juyIQsnL_T8tqzfzAVVjPctB4eqiafTghnL_xhvkrjk&amp;gid=400689247&amp;screenname=ChippyGirl2" TargetMode="External"/><Relationship Id="rId256" Type="http://schemas.openxmlformats.org/officeDocument/2006/relationships/hyperlink" Target="http://hawksey.info/tagsexplorer/arc.html?key=1juyIQsnL_T8tqzfzAVVjPctB4eqiafTghnL_xhvkrjk&amp;gid=400689247&amp;screenname=Chezm79Mace" TargetMode="External"/><Relationship Id="rId255" Type="http://schemas.openxmlformats.org/officeDocument/2006/relationships/hyperlink" Target="http://hawksey.info/tagsexplorer/arc.html?key=1juyIQsnL_T8tqzfzAVVjPctB4eqiafTghnL_xhvkrjk&amp;gid=400689247&amp;screenname=ChezCastillonMW" TargetMode="External"/><Relationship Id="rId254" Type="http://schemas.openxmlformats.org/officeDocument/2006/relationships/hyperlink" Target="http://hawksey.info/tagsexplorer/arc.html?key=1juyIQsnL_T8tqzfzAVVjPctB4eqiafTghnL_xhvkrjk&amp;gid=400689247&amp;screenname=Chazz0505" TargetMode="External"/><Relationship Id="rId293" Type="http://schemas.openxmlformats.org/officeDocument/2006/relationships/hyperlink" Target="http://hawksey.info/tagsexplorer/arc.html?key=1juyIQsnL_T8tqzfzAVVjPctB4eqiafTghnL_xhvkrjk&amp;gid=400689247&amp;screenname=ConorMcNicholas" TargetMode="External"/><Relationship Id="rId292" Type="http://schemas.openxmlformats.org/officeDocument/2006/relationships/hyperlink" Target="http://hawksey.info/tagsexplorer/arc.html?key=1juyIQsnL_T8tqzfzAVVjPctB4eqiafTghnL_xhvkrjk&amp;gid=400689247&amp;screenname=ConnexionFrance" TargetMode="External"/><Relationship Id="rId291" Type="http://schemas.openxmlformats.org/officeDocument/2006/relationships/hyperlink" Target="http://hawksey.info/tagsexplorer/arc.html?key=1juyIQsnL_T8tqzfzAVVjPctB4eqiafTghnL_xhvkrjk&amp;gid=400689247&amp;screenname=CollieColleen" TargetMode="External"/><Relationship Id="rId290" Type="http://schemas.openxmlformats.org/officeDocument/2006/relationships/hyperlink" Target="http://hawksey.info/tagsexplorer/arc.html?key=1juyIQsnL_T8tqzfzAVVjPctB4eqiafTghnL_xhvkrjk&amp;gid=400689247&amp;screenname=Colinpugh" TargetMode="External"/><Relationship Id="rId286" Type="http://schemas.openxmlformats.org/officeDocument/2006/relationships/hyperlink" Target="http://hawksey.info/tagsexplorer/arc.html?key=1juyIQsnL_T8tqzfzAVVjPctB4eqiafTghnL_xhvkrjk&amp;gid=400689247&amp;screenname=CllrjackieC" TargetMode="External"/><Relationship Id="rId285" Type="http://schemas.openxmlformats.org/officeDocument/2006/relationships/hyperlink" Target="http://hawksey.info/tagsexplorer/arc.html?key=1juyIQsnL_T8tqzfzAVVjPctB4eqiafTghnL_xhvkrjk&amp;gid=400689247&amp;screenname=CliveWismayer" TargetMode="External"/><Relationship Id="rId284" Type="http://schemas.openxmlformats.org/officeDocument/2006/relationships/hyperlink" Target="http://hawksey.info/tagsexplorer/arc.html?key=1juyIQsnL_T8tqzfzAVVjPctB4eqiafTghnL_xhvkrjk&amp;gid=400689247&amp;screenname=CliveGeorgeHil1" TargetMode="External"/><Relationship Id="rId283" Type="http://schemas.openxmlformats.org/officeDocument/2006/relationships/hyperlink" Target="http://hawksey.info/tagsexplorer/arc.html?key=1juyIQsnL_T8tqzfzAVVjPctB4eqiafTghnL_xhvkrjk&amp;gid=400689247&amp;screenname=CliveDaviesUK" TargetMode="External"/><Relationship Id="rId289" Type="http://schemas.openxmlformats.org/officeDocument/2006/relationships/hyperlink" Target="http://hawksey.info/tagsexplorer/arc.html?key=1juyIQsnL_T8tqzfzAVVjPctB4eqiafTghnL_xhvkrjk&amp;gid=400689247&amp;screenname=Col_Bogey" TargetMode="External"/><Relationship Id="rId288" Type="http://schemas.openxmlformats.org/officeDocument/2006/relationships/hyperlink" Target="http://hawksey.info/tagsexplorer/arc.html?key=1juyIQsnL_T8tqzfzAVVjPctB4eqiafTghnL_xhvkrjk&amp;gid=400689247&amp;screenname=CoggleMaggie" TargetMode="External"/><Relationship Id="rId287" Type="http://schemas.openxmlformats.org/officeDocument/2006/relationships/hyperlink" Target="http://hawksey.info/tagsexplorer/arc.html?key=1juyIQsnL_T8tqzfzAVVjPctB4eqiafTghnL_xhvkrjk&amp;gid=400689247&amp;screenname=ClucasGlynis" TargetMode="External"/><Relationship Id="rId282" Type="http://schemas.openxmlformats.org/officeDocument/2006/relationships/hyperlink" Target="http://hawksey.info/tagsexplorer/arc.html?key=1juyIQsnL_T8tqzfzAVVjPctB4eqiafTghnL_xhvkrjk&amp;gid=400689247&amp;screenname=CliffBondCo" TargetMode="External"/><Relationship Id="rId281" Type="http://schemas.openxmlformats.org/officeDocument/2006/relationships/hyperlink" Target="http://hawksey.info/tagsexplorer/arc.html?key=1juyIQsnL_T8tqzfzAVVjPctB4eqiafTghnL_xhvkrjk&amp;gid=400689247&amp;screenname=CleoDavies2" TargetMode="External"/><Relationship Id="rId280" Type="http://schemas.openxmlformats.org/officeDocument/2006/relationships/hyperlink" Target="http://hawksey.info/tagsexplorer/arc.html?key=1juyIQsnL_T8tqzfzAVVjPctB4eqiafTghnL_xhvkrjk&amp;gid=400689247&amp;screenname=CleoColin" TargetMode="External"/><Relationship Id="rId275" Type="http://schemas.openxmlformats.org/officeDocument/2006/relationships/hyperlink" Target="http://hawksey.info/tagsexplorer/arc.html?key=1juyIQsnL_T8tqzfzAVVjPctB4eqiafTghnL_xhvkrjk&amp;gid=400689247&amp;screenname=ClareAdams" TargetMode="External"/><Relationship Id="rId274" Type="http://schemas.openxmlformats.org/officeDocument/2006/relationships/hyperlink" Target="http://hawksey.info/tagsexplorer/arc.html?key=1juyIQsnL_T8tqzfzAVVjPctB4eqiafTghnL_xhvkrjk&amp;gid=400689247&amp;screenname=ClaraHa24405597" TargetMode="External"/><Relationship Id="rId273" Type="http://schemas.openxmlformats.org/officeDocument/2006/relationships/hyperlink" Target="http://hawksey.info/tagsexplorer/arc.html?key=1juyIQsnL_T8tqzfzAVVjPctB4eqiafTghnL_xhvkrjk&amp;gid=400689247&amp;screenname=ClaireHanna" TargetMode="External"/><Relationship Id="rId272" Type="http://schemas.openxmlformats.org/officeDocument/2006/relationships/hyperlink" Target="http://hawksey.info/tagsexplorer/arc.html?key=1juyIQsnL_T8tqzfzAVVjPctB4eqiafTghnL_xhvkrjk&amp;gid=400689247&amp;screenname=Claire57139829" TargetMode="External"/><Relationship Id="rId279" Type="http://schemas.openxmlformats.org/officeDocument/2006/relationships/hyperlink" Target="http://hawksey.info/tagsexplorer/arc.html?key=1juyIQsnL_T8tqzfzAVVjPctB4eqiafTghnL_xhvkrjk&amp;gid=400689247&amp;screenname=ClaudeA82619845" TargetMode="External"/><Relationship Id="rId278" Type="http://schemas.openxmlformats.org/officeDocument/2006/relationships/hyperlink" Target="http://hawksey.info/tagsexplorer/arc.html?key=1juyIQsnL_T8tqzfzAVVjPctB4eqiafTghnL_xhvkrjk&amp;gid=400689247&amp;screenname=ClarkStefmog" TargetMode="External"/><Relationship Id="rId277" Type="http://schemas.openxmlformats.org/officeDocument/2006/relationships/hyperlink" Target="http://hawksey.info/tagsexplorer/arc.html?key=1juyIQsnL_T8tqzfzAVVjPctB4eqiafTghnL_xhvkrjk&amp;gid=400689247&amp;screenname=Clarioncall18mi" TargetMode="External"/><Relationship Id="rId276" Type="http://schemas.openxmlformats.org/officeDocument/2006/relationships/hyperlink" Target="http://hawksey.info/tagsexplorer/arc.html?key=1juyIQsnL_T8tqzfzAVVjPctB4eqiafTghnL_xhvkrjk&amp;gid=400689247&amp;screenname=ClareMortimer6" TargetMode="External"/><Relationship Id="rId1851" Type="http://schemas.openxmlformats.org/officeDocument/2006/relationships/hyperlink" Target="http://hawksey.info/tagsexplorer/arc.html?key=1juyIQsnL_T8tqzfzAVVjPctB4eqiafTghnL_xhvkrjk&amp;gid=400689247&amp;screenname=mister_emery" TargetMode="External"/><Relationship Id="rId1852" Type="http://schemas.openxmlformats.org/officeDocument/2006/relationships/hyperlink" Target="http://hawksey.info/tagsexplorer/arc.html?key=1juyIQsnL_T8tqzfzAVVjPctB4eqiafTghnL_xhvkrjk&amp;gid=400689247&amp;screenname=mit1953" TargetMode="External"/><Relationship Id="rId1853" Type="http://schemas.openxmlformats.org/officeDocument/2006/relationships/hyperlink" Target="http://hawksey.info/tagsexplorer/arc.html?key=1juyIQsnL_T8tqzfzAVVjPctB4eqiafTghnL_xhvkrjk&amp;gid=400689247&amp;screenname=mojotweets_" TargetMode="External"/><Relationship Id="rId1854" Type="http://schemas.openxmlformats.org/officeDocument/2006/relationships/hyperlink" Target="http://hawksey.info/tagsexplorer/arc.html?key=1juyIQsnL_T8tqzfzAVVjPctB4eqiafTghnL_xhvkrjk&amp;gid=400689247&amp;screenname=mommabeartweets" TargetMode="External"/><Relationship Id="rId1855" Type="http://schemas.openxmlformats.org/officeDocument/2006/relationships/hyperlink" Target="http://hawksey.info/tagsexplorer/arc.html?key=1juyIQsnL_T8tqzfzAVVjPctB4eqiafTghnL_xhvkrjk&amp;gid=400689247&amp;screenname=mondonova" TargetMode="External"/><Relationship Id="rId1856" Type="http://schemas.openxmlformats.org/officeDocument/2006/relationships/hyperlink" Target="http://hawksey.info/tagsexplorer/arc.html?key=1juyIQsnL_T8tqzfzAVVjPctB4eqiafTghnL_xhvkrjk&amp;gid=400689247&amp;screenname=moorland2" TargetMode="External"/><Relationship Id="rId1857" Type="http://schemas.openxmlformats.org/officeDocument/2006/relationships/hyperlink" Target="http://hawksey.info/tagsexplorer/arc.html?key=1juyIQsnL_T8tqzfzAVVjPctB4eqiafTghnL_xhvkrjk&amp;gid=400689247&amp;screenname=moozersa" TargetMode="External"/><Relationship Id="rId1858" Type="http://schemas.openxmlformats.org/officeDocument/2006/relationships/hyperlink" Target="http://hawksey.info/tagsexplorer/arc.html?key=1juyIQsnL_T8tqzfzAVVjPctB4eqiafTghnL_xhvkrjk&amp;gid=400689247&amp;screenname=morangles" TargetMode="External"/><Relationship Id="rId1859" Type="http://schemas.openxmlformats.org/officeDocument/2006/relationships/hyperlink" Target="http://hawksey.info/tagsexplorer/arc.html?key=1juyIQsnL_T8tqzfzAVVjPctB4eqiafTghnL_xhvkrjk&amp;gid=400689247&amp;screenname=morrisinator" TargetMode="External"/><Relationship Id="rId1850" Type="http://schemas.openxmlformats.org/officeDocument/2006/relationships/hyperlink" Target="http://hawksey.info/tagsexplorer/arc.html?key=1juyIQsnL_T8tqzfzAVVjPctB4eqiafTghnL_xhvkrjk&amp;gid=400689247&amp;screenname=missmarylikes" TargetMode="External"/><Relationship Id="rId1840" Type="http://schemas.openxmlformats.org/officeDocument/2006/relationships/hyperlink" Target="http://hawksey.info/tagsexplorer/arc.html?key=1juyIQsnL_T8tqzfzAVVjPctB4eqiafTghnL_xhvkrjk&amp;gid=400689247&amp;screenname=mgroedl" TargetMode="External"/><Relationship Id="rId1841" Type="http://schemas.openxmlformats.org/officeDocument/2006/relationships/hyperlink" Target="http://hawksey.info/tagsexplorer/arc.html?key=1juyIQsnL_T8tqzfzAVVjPctB4eqiafTghnL_xhvkrjk&amp;gid=400689247&amp;screenname=michaelkerton" TargetMode="External"/><Relationship Id="rId1842" Type="http://schemas.openxmlformats.org/officeDocument/2006/relationships/hyperlink" Target="http://hawksey.info/tagsexplorer/arc.html?key=1juyIQsnL_T8tqzfzAVVjPctB4eqiafTghnL_xhvkrjk&amp;gid=400689247&amp;screenname=michelle8969" TargetMode="External"/><Relationship Id="rId1843" Type="http://schemas.openxmlformats.org/officeDocument/2006/relationships/hyperlink" Target="http://hawksey.info/tagsexplorer/arc.html?key=1juyIQsnL_T8tqzfzAVVjPctB4eqiafTghnL_xhvkrjk&amp;gid=400689247&amp;screenname=michellemck0" TargetMode="External"/><Relationship Id="rId1844" Type="http://schemas.openxmlformats.org/officeDocument/2006/relationships/hyperlink" Target="http://hawksey.info/tagsexplorer/arc.html?key=1juyIQsnL_T8tqzfzAVVjPctB4eqiafTghnL_xhvkrjk&amp;gid=400689247&amp;screenname=micklayhe" TargetMode="External"/><Relationship Id="rId1845" Type="http://schemas.openxmlformats.org/officeDocument/2006/relationships/hyperlink" Target="http://hawksey.info/tagsexplorer/arc.html?key=1juyIQsnL_T8tqzfzAVVjPctB4eqiafTghnL_xhvkrjk&amp;gid=400689247&amp;screenname=mihali_ileana" TargetMode="External"/><Relationship Id="rId1846" Type="http://schemas.openxmlformats.org/officeDocument/2006/relationships/hyperlink" Target="http://hawksey.info/tagsexplorer/arc.html?key=1juyIQsnL_T8tqzfzAVVjPctB4eqiafTghnL_xhvkrjk&amp;gid=400689247&amp;screenname=mikelly65" TargetMode="External"/><Relationship Id="rId1847" Type="http://schemas.openxmlformats.org/officeDocument/2006/relationships/hyperlink" Target="http://hawksey.info/tagsexplorer/arc.html?key=1juyIQsnL_T8tqzfzAVVjPctB4eqiafTghnL_xhvkrjk&amp;gid=400689247&amp;screenname=mikew4EU" TargetMode="External"/><Relationship Id="rId1848" Type="http://schemas.openxmlformats.org/officeDocument/2006/relationships/hyperlink" Target="http://hawksey.info/tagsexplorer/arc.html?key=1juyIQsnL_T8tqzfzAVVjPctB4eqiafTghnL_xhvkrjk&amp;gid=400689247&amp;screenname=milmolaman" TargetMode="External"/><Relationship Id="rId1849" Type="http://schemas.openxmlformats.org/officeDocument/2006/relationships/hyperlink" Target="http://hawksey.info/tagsexplorer/arc.html?key=1juyIQsnL_T8tqzfzAVVjPctB4eqiafTghnL_xhvkrjk&amp;gid=400689247&amp;screenname=mirandinhasteva" TargetMode="External"/><Relationship Id="rId1873" Type="http://schemas.openxmlformats.org/officeDocument/2006/relationships/hyperlink" Target="http://hawksey.info/tagsexplorer/arc.html?key=1juyIQsnL_T8tqzfzAVVjPctB4eqiafTghnL_xhvkrjk&amp;gid=400689247&amp;screenname=mylovelyhorsie" TargetMode="External"/><Relationship Id="rId1874" Type="http://schemas.openxmlformats.org/officeDocument/2006/relationships/hyperlink" Target="http://hawksey.info/tagsexplorer/arc.html?key=1juyIQsnL_T8tqzfzAVVjPctB4eqiafTghnL_xhvkrjk&amp;gid=400689247&amp;screenname=mywonderfulbest" TargetMode="External"/><Relationship Id="rId1875" Type="http://schemas.openxmlformats.org/officeDocument/2006/relationships/hyperlink" Target="http://hawksey.info/tagsexplorer/arc.html?key=1juyIQsnL_T8tqzfzAVVjPctB4eqiafTghnL_xhvkrjk&amp;gid=400689247&amp;screenname=n0_kidding_" TargetMode="External"/><Relationship Id="rId1876" Type="http://schemas.openxmlformats.org/officeDocument/2006/relationships/hyperlink" Target="http://hawksey.info/tagsexplorer/arc.html?key=1juyIQsnL_T8tqzfzAVVjPctB4eqiafTghnL_xhvkrjk&amp;gid=400689247&amp;screenname=nadjabossmann" TargetMode="External"/><Relationship Id="rId1877" Type="http://schemas.openxmlformats.org/officeDocument/2006/relationships/hyperlink" Target="http://hawksey.info/tagsexplorer/arc.html?key=1juyIQsnL_T8tqzfzAVVjPctB4eqiafTghnL_xhvkrjk&amp;gid=400689247&amp;screenname=nbrooks1984" TargetMode="External"/><Relationship Id="rId1878" Type="http://schemas.openxmlformats.org/officeDocument/2006/relationships/hyperlink" Target="http://hawksey.info/tagsexplorer/arc.html?key=1juyIQsnL_T8tqzfzAVVjPctB4eqiafTghnL_xhvkrjk&amp;gid=400689247&amp;screenname=nearspaceman" TargetMode="External"/><Relationship Id="rId1879" Type="http://schemas.openxmlformats.org/officeDocument/2006/relationships/hyperlink" Target="http://hawksey.info/tagsexplorer/arc.html?key=1juyIQsnL_T8tqzfzAVVjPctB4eqiafTghnL_xhvkrjk&amp;gid=400689247&amp;screenname=neighbour_kx" TargetMode="External"/><Relationship Id="rId1870" Type="http://schemas.openxmlformats.org/officeDocument/2006/relationships/hyperlink" Target="http://hawksey.info/tagsexplorer/arc.html?key=1juyIQsnL_T8tqzfzAVVjPctB4eqiafTghnL_xhvkrjk&amp;gid=400689247&amp;screenname=muttleyarsenal9" TargetMode="External"/><Relationship Id="rId1871" Type="http://schemas.openxmlformats.org/officeDocument/2006/relationships/hyperlink" Target="http://hawksey.info/tagsexplorer/arc.html?key=1juyIQsnL_T8tqzfzAVVjPctB4eqiafTghnL_xhvkrjk&amp;gid=400689247&amp;screenname=mwatsonlux" TargetMode="External"/><Relationship Id="rId1872" Type="http://schemas.openxmlformats.org/officeDocument/2006/relationships/hyperlink" Target="http://hawksey.info/tagsexplorer/arc.html?key=1juyIQsnL_T8tqzfzAVVjPctB4eqiafTghnL_xhvkrjk&amp;gid=400689247&amp;screenname=mwrddrwg" TargetMode="External"/><Relationship Id="rId1862" Type="http://schemas.openxmlformats.org/officeDocument/2006/relationships/hyperlink" Target="http://hawksey.info/tagsexplorer/arc.html?key=1juyIQsnL_T8tqzfzAVVjPctB4eqiafTghnL_xhvkrjk&amp;gid=400689247&amp;screenname=mrggibson" TargetMode="External"/><Relationship Id="rId1863" Type="http://schemas.openxmlformats.org/officeDocument/2006/relationships/hyperlink" Target="http://hawksey.info/tagsexplorer/arc.html?key=1juyIQsnL_T8tqzfzAVVjPctB4eqiafTghnL_xhvkrjk&amp;gid=400689247&amp;screenname=mrsluc" TargetMode="External"/><Relationship Id="rId1864" Type="http://schemas.openxmlformats.org/officeDocument/2006/relationships/hyperlink" Target="http://hawksey.info/tagsexplorer/arc.html?key=1juyIQsnL_T8tqzfzAVVjPctB4eqiafTghnL_xhvkrjk&amp;gid=400689247&amp;screenname=mrundkvist" TargetMode="External"/><Relationship Id="rId1865" Type="http://schemas.openxmlformats.org/officeDocument/2006/relationships/hyperlink" Target="http://hawksey.info/tagsexplorer/arc.html?key=1juyIQsnL_T8tqzfzAVVjPctB4eqiafTghnL_xhvkrjk&amp;gid=400689247&amp;screenname=mry_stcy" TargetMode="External"/><Relationship Id="rId1866" Type="http://schemas.openxmlformats.org/officeDocument/2006/relationships/hyperlink" Target="http://hawksey.info/tagsexplorer/arc.html?key=1juyIQsnL_T8tqzfzAVVjPctB4eqiafTghnL_xhvkrjk&amp;gid=400689247&amp;screenname=mtbrown54" TargetMode="External"/><Relationship Id="rId1867" Type="http://schemas.openxmlformats.org/officeDocument/2006/relationships/hyperlink" Target="http://hawksey.info/tagsexplorer/arc.html?key=1juyIQsnL_T8tqzfzAVVjPctB4eqiafTghnL_xhvkrjk&amp;gid=400689247&amp;screenname=muddlinleigh" TargetMode="External"/><Relationship Id="rId1868" Type="http://schemas.openxmlformats.org/officeDocument/2006/relationships/hyperlink" Target="http://hawksey.info/tagsexplorer/arc.html?key=1juyIQsnL_T8tqzfzAVVjPctB4eqiafTghnL_xhvkrjk&amp;gid=400689247&amp;screenname=muir1966" TargetMode="External"/><Relationship Id="rId1869" Type="http://schemas.openxmlformats.org/officeDocument/2006/relationships/hyperlink" Target="http://hawksey.info/tagsexplorer/arc.html?key=1juyIQsnL_T8tqzfzAVVjPctB4eqiafTghnL_xhvkrjk&amp;gid=400689247&amp;screenname=multigums" TargetMode="External"/><Relationship Id="rId1860" Type="http://schemas.openxmlformats.org/officeDocument/2006/relationships/hyperlink" Target="http://hawksey.info/tagsexplorer/arc.html?key=1juyIQsnL_T8tqzfzAVVjPctB4eqiafTghnL_xhvkrjk&amp;gid=400689247&amp;screenname=mpfeldhoff" TargetMode="External"/><Relationship Id="rId1861" Type="http://schemas.openxmlformats.org/officeDocument/2006/relationships/hyperlink" Target="http://hawksey.info/tagsexplorer/arc.html?key=1juyIQsnL_T8tqzfzAVVjPctB4eqiafTghnL_xhvkrjk&amp;gid=400689247&amp;screenname=mramanna" TargetMode="External"/><Relationship Id="rId1810" Type="http://schemas.openxmlformats.org/officeDocument/2006/relationships/hyperlink" Target="http://hawksey.info/tagsexplorer/arc.html?key=1juyIQsnL_T8tqzfzAVVjPctB4eqiafTghnL_xhvkrjk&amp;gid=400689247&amp;screenname=marionprof" TargetMode="External"/><Relationship Id="rId1811" Type="http://schemas.openxmlformats.org/officeDocument/2006/relationships/hyperlink" Target="http://hawksey.info/tagsexplorer/arc.html?key=1juyIQsnL_T8tqzfzAVVjPctB4eqiafTghnL_xhvkrjk&amp;gid=400689247&amp;screenname=mark0llyn" TargetMode="External"/><Relationship Id="rId1812" Type="http://schemas.openxmlformats.org/officeDocument/2006/relationships/hyperlink" Target="http://hawksey.info/tagsexplorer/arc.html?key=1juyIQsnL_T8tqzfzAVVjPctB4eqiafTghnL_xhvkrjk&amp;gid=400689247&amp;screenname=mark0nline" TargetMode="External"/><Relationship Id="rId1813" Type="http://schemas.openxmlformats.org/officeDocument/2006/relationships/hyperlink" Target="http://hawksey.info/tagsexplorer/arc.html?key=1juyIQsnL_T8tqzfzAVVjPctB4eqiafTghnL_xhvkrjk&amp;gid=400689247&amp;screenname=mark147852" TargetMode="External"/><Relationship Id="rId1814" Type="http://schemas.openxmlformats.org/officeDocument/2006/relationships/hyperlink" Target="http://hawksey.info/tagsexplorer/arc.html?key=1juyIQsnL_T8tqzfzAVVjPctB4eqiafTghnL_xhvkrjk&amp;gid=400689247&amp;screenname=mark_the_god" TargetMode="External"/><Relationship Id="rId1815" Type="http://schemas.openxmlformats.org/officeDocument/2006/relationships/hyperlink" Target="http://hawksey.info/tagsexplorer/arc.html?key=1juyIQsnL_T8tqzfzAVVjPctB4eqiafTghnL_xhvkrjk&amp;gid=400689247&amp;screenname=markcsimmo" TargetMode="External"/><Relationship Id="rId1816" Type="http://schemas.openxmlformats.org/officeDocument/2006/relationships/hyperlink" Target="http://hawksey.info/tagsexplorer/arc.html?key=1juyIQsnL_T8tqzfzAVVjPctB4eqiafTghnL_xhvkrjk&amp;gid=400689247&amp;screenname=markiliff" TargetMode="External"/><Relationship Id="rId1817" Type="http://schemas.openxmlformats.org/officeDocument/2006/relationships/hyperlink" Target="http://hawksey.info/tagsexplorer/arc.html?key=1juyIQsnL_T8tqzfzAVVjPctB4eqiafTghnL_xhvkrjk&amp;gid=400689247&amp;screenname=marknew1945" TargetMode="External"/><Relationship Id="rId1818" Type="http://schemas.openxmlformats.org/officeDocument/2006/relationships/hyperlink" Target="http://hawksey.info/tagsexplorer/arc.html?key=1juyIQsnL_T8tqzfzAVVjPctB4eqiafTghnL_xhvkrjk&amp;gid=400689247&amp;screenname=markpougatch" TargetMode="External"/><Relationship Id="rId1819" Type="http://schemas.openxmlformats.org/officeDocument/2006/relationships/hyperlink" Target="http://hawksey.info/tagsexplorer/arc.html?key=1juyIQsnL_T8tqzfzAVVjPctB4eqiafTghnL_xhvkrjk&amp;gid=400689247&amp;screenname=marktabet" TargetMode="External"/><Relationship Id="rId1800" Type="http://schemas.openxmlformats.org/officeDocument/2006/relationships/hyperlink" Target="http://hawksey.info/tagsexplorer/arc.html?key=1juyIQsnL_T8tqzfzAVVjPctB4eqiafTghnL_xhvkrjk&amp;gid=400689247&amp;screenname=magicofthemind" TargetMode="External"/><Relationship Id="rId1801" Type="http://schemas.openxmlformats.org/officeDocument/2006/relationships/hyperlink" Target="http://hawksey.info/tagsexplorer/arc.html?key=1juyIQsnL_T8tqzfzAVVjPctB4eqiafTghnL_xhvkrjk&amp;gid=400689247&amp;screenname=mail_bird" TargetMode="External"/><Relationship Id="rId1802" Type="http://schemas.openxmlformats.org/officeDocument/2006/relationships/hyperlink" Target="http://hawksey.info/tagsexplorer/arc.html?key=1juyIQsnL_T8tqzfzAVVjPctB4eqiafTghnL_xhvkrjk&amp;gid=400689247&amp;screenname=makadaw" TargetMode="External"/><Relationship Id="rId1803" Type="http://schemas.openxmlformats.org/officeDocument/2006/relationships/hyperlink" Target="http://hawksey.info/tagsexplorer/arc.html?key=1juyIQsnL_T8tqzfzAVVjPctB4eqiafTghnL_xhvkrjk&amp;gid=400689247&amp;screenname=manicvic" TargetMode="External"/><Relationship Id="rId1804" Type="http://schemas.openxmlformats.org/officeDocument/2006/relationships/hyperlink" Target="http://hawksey.info/tagsexplorer/arc.html?key=1juyIQsnL_T8tqzfzAVVjPctB4eqiafTghnL_xhvkrjk&amp;gid=400689247&amp;screenname=mannes00680860" TargetMode="External"/><Relationship Id="rId1805" Type="http://schemas.openxmlformats.org/officeDocument/2006/relationships/hyperlink" Target="http://hawksey.info/tagsexplorer/arc.html?key=1juyIQsnL_T8tqzfzAVVjPctB4eqiafTghnL_xhvkrjk&amp;gid=400689247&amp;screenname=marcusfidge" TargetMode="External"/><Relationship Id="rId1806" Type="http://schemas.openxmlformats.org/officeDocument/2006/relationships/hyperlink" Target="http://hawksey.info/tagsexplorer/arc.html?key=1juyIQsnL_T8tqzfzAVVjPctB4eqiafTghnL_xhvkrjk&amp;gid=400689247&amp;screenname=margarance" TargetMode="External"/><Relationship Id="rId1807" Type="http://schemas.openxmlformats.org/officeDocument/2006/relationships/hyperlink" Target="http://hawksey.info/tagsexplorer/arc.html?key=1juyIQsnL_T8tqzfzAVVjPctB4eqiafTghnL_xhvkrjk&amp;gid=400689247&amp;screenname=margaret_ruane" TargetMode="External"/><Relationship Id="rId1808" Type="http://schemas.openxmlformats.org/officeDocument/2006/relationships/hyperlink" Target="http://hawksey.info/tagsexplorer/arc.html?key=1juyIQsnL_T8tqzfzAVVjPctB4eqiafTghnL_xhvkrjk&amp;gid=400689247&amp;screenname=mariamuser" TargetMode="External"/><Relationship Id="rId1809" Type="http://schemas.openxmlformats.org/officeDocument/2006/relationships/hyperlink" Target="http://hawksey.info/tagsexplorer/arc.html?key=1juyIQsnL_T8tqzfzAVVjPctB4eqiafTghnL_xhvkrjk&amp;gid=400689247&amp;screenname=mariexcotte" TargetMode="External"/><Relationship Id="rId1830" Type="http://schemas.openxmlformats.org/officeDocument/2006/relationships/hyperlink" Target="http://hawksey.info/tagsexplorer/arc.html?key=1juyIQsnL_T8tqzfzAVVjPctB4eqiafTghnL_xhvkrjk&amp;gid=400689247&amp;screenname=mccandlessp" TargetMode="External"/><Relationship Id="rId1831" Type="http://schemas.openxmlformats.org/officeDocument/2006/relationships/hyperlink" Target="http://hawksey.info/tagsexplorer/arc.html?key=1juyIQsnL_T8tqzfzAVVjPctB4eqiafTghnL_xhvkrjk&amp;gid=400689247&amp;screenname=mcfrankface" TargetMode="External"/><Relationship Id="rId1832" Type="http://schemas.openxmlformats.org/officeDocument/2006/relationships/hyperlink" Target="http://hawksey.info/tagsexplorer/arc.html?key=1juyIQsnL_T8tqzfzAVVjPctB4eqiafTghnL_xhvkrjk&amp;gid=400689247&amp;screenname=mdigioiat" TargetMode="External"/><Relationship Id="rId1833" Type="http://schemas.openxmlformats.org/officeDocument/2006/relationships/hyperlink" Target="http://hawksey.info/tagsexplorer/arc.html?key=1juyIQsnL_T8tqzfzAVVjPctB4eqiafTghnL_xhvkrjk&amp;gid=400689247&amp;screenname=meNabster" TargetMode="External"/><Relationship Id="rId1834" Type="http://schemas.openxmlformats.org/officeDocument/2006/relationships/hyperlink" Target="http://hawksey.info/tagsexplorer/arc.html?key=1juyIQsnL_T8tqzfzAVVjPctB4eqiafTghnL_xhvkrjk&amp;gid=400689247&amp;screenname=me_michaels" TargetMode="External"/><Relationship Id="rId1835" Type="http://schemas.openxmlformats.org/officeDocument/2006/relationships/hyperlink" Target="http://hawksey.info/tagsexplorer/arc.html?key=1juyIQsnL_T8tqzfzAVVjPctB4eqiafTghnL_xhvkrjk&amp;gid=400689247&amp;screenname=meganthirlaway" TargetMode="External"/><Relationship Id="rId1836" Type="http://schemas.openxmlformats.org/officeDocument/2006/relationships/hyperlink" Target="http://hawksey.info/tagsexplorer/arc.html?key=1juyIQsnL_T8tqzfzAVVjPctB4eqiafTghnL_xhvkrjk&amp;gid=400689247&amp;screenname=melwest14" TargetMode="External"/><Relationship Id="rId1837" Type="http://schemas.openxmlformats.org/officeDocument/2006/relationships/hyperlink" Target="http://hawksey.info/tagsexplorer/arc.html?key=1juyIQsnL_T8tqzfzAVVjPctB4eqiafTghnL_xhvkrjk&amp;gid=400689247&amp;screenname=memneon" TargetMode="External"/><Relationship Id="rId1838" Type="http://schemas.openxmlformats.org/officeDocument/2006/relationships/hyperlink" Target="http://hawksey.info/tagsexplorer/arc.html?key=1juyIQsnL_T8tqzfzAVVjPctB4eqiafTghnL_xhvkrjk&amp;gid=400689247&amp;screenname=menuet_morgan" TargetMode="External"/><Relationship Id="rId1839" Type="http://schemas.openxmlformats.org/officeDocument/2006/relationships/hyperlink" Target="http://hawksey.info/tagsexplorer/arc.html?key=1juyIQsnL_T8tqzfzAVVjPctB4eqiafTghnL_xhvkrjk&amp;gid=400689247&amp;screenname=mfnmelb1" TargetMode="External"/><Relationship Id="rId1820" Type="http://schemas.openxmlformats.org/officeDocument/2006/relationships/hyperlink" Target="http://hawksey.info/tagsexplorer/arc.html?key=1juyIQsnL_T8tqzfzAVVjPctB4eqiafTghnL_xhvkrjk&amp;gid=400689247&amp;screenname=marsdinon" TargetMode="External"/><Relationship Id="rId1821" Type="http://schemas.openxmlformats.org/officeDocument/2006/relationships/hyperlink" Target="http://hawksey.info/tagsexplorer/arc.html?key=1juyIQsnL_T8tqzfzAVVjPctB4eqiafTghnL_xhvkrjk&amp;gid=400689247&amp;screenname=marshal89798300" TargetMode="External"/><Relationship Id="rId1822" Type="http://schemas.openxmlformats.org/officeDocument/2006/relationships/hyperlink" Target="http://hawksey.info/tagsexplorer/arc.html?key=1juyIQsnL_T8tqzfzAVVjPctB4eqiafTghnL_xhvkrjk&amp;gid=400689247&amp;screenname=marsman1258" TargetMode="External"/><Relationship Id="rId1823" Type="http://schemas.openxmlformats.org/officeDocument/2006/relationships/hyperlink" Target="http://hawksey.info/tagsexplorer/arc.html?key=1juyIQsnL_T8tqzfzAVVjPctB4eqiafTghnL_xhvkrjk&amp;gid=400689247&amp;screenname=martarossi56" TargetMode="External"/><Relationship Id="rId1824" Type="http://schemas.openxmlformats.org/officeDocument/2006/relationships/hyperlink" Target="http://hawksey.info/tagsexplorer/arc.html?key=1juyIQsnL_T8tqzfzAVVjPctB4eqiafTghnL_xhvkrjk&amp;gid=400689247&amp;screenname=martin97903661" TargetMode="External"/><Relationship Id="rId1825" Type="http://schemas.openxmlformats.org/officeDocument/2006/relationships/hyperlink" Target="http://hawksey.info/tagsexplorer/arc.html?key=1juyIQsnL_T8tqzfzAVVjPctB4eqiafTghnL_xhvkrjk&amp;gid=400689247&amp;screenname=martinthegood" TargetMode="External"/><Relationship Id="rId1826" Type="http://schemas.openxmlformats.org/officeDocument/2006/relationships/hyperlink" Target="http://hawksey.info/tagsexplorer/arc.html?key=1juyIQsnL_T8tqzfzAVVjPctB4eqiafTghnL_xhvkrjk&amp;gid=400689247&amp;screenname=maryliz87575119" TargetMode="External"/><Relationship Id="rId1827" Type="http://schemas.openxmlformats.org/officeDocument/2006/relationships/hyperlink" Target="http://hawksey.info/tagsexplorer/arc.html?key=1juyIQsnL_T8tqzfzAVVjPctB4eqiafTghnL_xhvkrjk&amp;gid=400689247&amp;screenname=matmckenzie" TargetMode="External"/><Relationship Id="rId1828" Type="http://schemas.openxmlformats.org/officeDocument/2006/relationships/hyperlink" Target="http://hawksey.info/tagsexplorer/arc.html?key=1juyIQsnL_T8tqzfzAVVjPctB4eqiafTghnL_xhvkrjk&amp;gid=400689247&amp;screenname=maviczap" TargetMode="External"/><Relationship Id="rId1829" Type="http://schemas.openxmlformats.org/officeDocument/2006/relationships/hyperlink" Target="http://hawksey.info/tagsexplorer/arc.html?key=1juyIQsnL_T8tqzfzAVVjPctB4eqiafTghnL_xhvkrjk&amp;gid=400689247&amp;screenname=maxibutbut" TargetMode="External"/><Relationship Id="rId1895" Type="http://schemas.openxmlformats.org/officeDocument/2006/relationships/hyperlink" Target="http://hawksey.info/tagsexplorer/arc.html?key=1juyIQsnL_T8tqzfzAVVjPctB4eqiafTghnL_xhvkrjk&amp;gid=400689247&amp;screenname=nina_williamson" TargetMode="External"/><Relationship Id="rId1896" Type="http://schemas.openxmlformats.org/officeDocument/2006/relationships/hyperlink" Target="http://hawksey.info/tagsexplorer/arc.html?key=1juyIQsnL_T8tqzfzAVVjPctB4eqiafTghnL_xhvkrjk&amp;gid=400689247&amp;screenname=nippa1212" TargetMode="External"/><Relationship Id="rId1897" Type="http://schemas.openxmlformats.org/officeDocument/2006/relationships/hyperlink" Target="http://hawksey.info/tagsexplorer/arc.html?key=1juyIQsnL_T8tqzfzAVVjPctB4eqiafTghnL_xhvkrjk&amp;gid=400689247&amp;screenname=nirobe96" TargetMode="External"/><Relationship Id="rId1898" Type="http://schemas.openxmlformats.org/officeDocument/2006/relationships/hyperlink" Target="http://hawksey.info/tagsexplorer/arc.html?key=1juyIQsnL_T8tqzfzAVVjPctB4eqiafTghnL_xhvkrjk&amp;gid=400689247&amp;screenname=no1lolo" TargetMode="External"/><Relationship Id="rId1899" Type="http://schemas.openxmlformats.org/officeDocument/2006/relationships/hyperlink" Target="http://hawksey.info/tagsexplorer/arc.html?key=1juyIQsnL_T8tqzfzAVVjPctB4eqiafTghnL_xhvkrjk&amp;gid=400689247&amp;screenname=nomorequangos" TargetMode="External"/><Relationship Id="rId1890" Type="http://schemas.openxmlformats.org/officeDocument/2006/relationships/hyperlink" Target="http://hawksey.info/tagsexplorer/arc.html?key=1juyIQsnL_T8tqzfzAVVjPctB4eqiafTghnL_xhvkrjk&amp;gid=400689247&amp;screenname=nickymonkey" TargetMode="External"/><Relationship Id="rId1891" Type="http://schemas.openxmlformats.org/officeDocument/2006/relationships/hyperlink" Target="http://hawksey.info/tagsexplorer/arc.html?key=1juyIQsnL_T8tqzfzAVVjPctB4eqiafTghnL_xhvkrjk&amp;gid=400689247&amp;screenname=nicnacpaddi" TargetMode="External"/><Relationship Id="rId1892" Type="http://schemas.openxmlformats.org/officeDocument/2006/relationships/hyperlink" Target="http://hawksey.info/tagsexplorer/arc.html?key=1juyIQsnL_T8tqzfzAVVjPctB4eqiafTghnL_xhvkrjk&amp;gid=400689247&amp;screenname=nigethugrug" TargetMode="External"/><Relationship Id="rId1893" Type="http://schemas.openxmlformats.org/officeDocument/2006/relationships/hyperlink" Target="http://hawksey.info/tagsexplorer/arc.html?key=1juyIQsnL_T8tqzfzAVVjPctB4eqiafTghnL_xhvkrjk&amp;gid=400689247&amp;screenname=nighthawkgeoff" TargetMode="External"/><Relationship Id="rId1894" Type="http://schemas.openxmlformats.org/officeDocument/2006/relationships/hyperlink" Target="http://hawksey.info/tagsexplorer/arc.html?key=1juyIQsnL_T8tqzfzAVVjPctB4eqiafTghnL_xhvkrjk&amp;gid=400689247&amp;screenname=nilocski" TargetMode="External"/><Relationship Id="rId1884" Type="http://schemas.openxmlformats.org/officeDocument/2006/relationships/hyperlink" Target="http://hawksey.info/tagsexplorer/arc.html?key=1juyIQsnL_T8tqzfzAVVjPctB4eqiafTghnL_xhvkrjk&amp;gid=400689247&amp;screenname=nerans1" TargetMode="External"/><Relationship Id="rId1885" Type="http://schemas.openxmlformats.org/officeDocument/2006/relationships/hyperlink" Target="http://hawksey.info/tagsexplorer/arc.html?key=1juyIQsnL_T8tqzfzAVVjPctB4eqiafTghnL_xhvkrjk&amp;gid=400689247&amp;screenname=newmeadowsgap" TargetMode="External"/><Relationship Id="rId1886" Type="http://schemas.openxmlformats.org/officeDocument/2006/relationships/hyperlink" Target="http://hawksey.info/tagsexplorer/arc.html?key=1juyIQsnL_T8tqzfzAVVjPctB4eqiafTghnL_xhvkrjk&amp;gid=400689247&amp;screenname=newswatch4u" TargetMode="External"/><Relationship Id="rId1887" Type="http://schemas.openxmlformats.org/officeDocument/2006/relationships/hyperlink" Target="http://hawksey.info/tagsexplorer/arc.html?key=1juyIQsnL_T8tqzfzAVVjPctB4eqiafTghnL_xhvkrjk&amp;gid=400689247&amp;screenname=nick_0971" TargetMode="External"/><Relationship Id="rId1888" Type="http://schemas.openxmlformats.org/officeDocument/2006/relationships/hyperlink" Target="http://hawksey.info/tagsexplorer/arc.html?key=1juyIQsnL_T8tqzfzAVVjPctB4eqiafTghnL_xhvkrjk&amp;gid=400689247&amp;screenname=nickposford" TargetMode="External"/><Relationship Id="rId1889" Type="http://schemas.openxmlformats.org/officeDocument/2006/relationships/hyperlink" Target="http://hawksey.info/tagsexplorer/arc.html?key=1juyIQsnL_T8tqzfzAVVjPctB4eqiafTghnL_xhvkrjk&amp;gid=400689247&amp;screenname=nickraybaker" TargetMode="External"/><Relationship Id="rId1880" Type="http://schemas.openxmlformats.org/officeDocument/2006/relationships/hyperlink" Target="http://hawksey.info/tagsexplorer/arc.html?key=1juyIQsnL_T8tqzfzAVVjPctB4eqiafTghnL_xhvkrjk&amp;gid=400689247&amp;screenname=neilatembark" TargetMode="External"/><Relationship Id="rId1881" Type="http://schemas.openxmlformats.org/officeDocument/2006/relationships/hyperlink" Target="http://hawksey.info/tagsexplorer/arc.html?key=1juyIQsnL_T8tqzfzAVVjPctB4eqiafTghnL_xhvkrjk&amp;gid=400689247&amp;screenname=neilehoward1962" TargetMode="External"/><Relationship Id="rId1882" Type="http://schemas.openxmlformats.org/officeDocument/2006/relationships/hyperlink" Target="http://hawksey.info/tagsexplorer/arc.html?key=1juyIQsnL_T8tqzfzAVVjPctB4eqiafTghnL_xhvkrjk&amp;gid=400689247&amp;screenname=neill4_neill" TargetMode="External"/><Relationship Id="rId1883" Type="http://schemas.openxmlformats.org/officeDocument/2006/relationships/hyperlink" Target="http://hawksey.info/tagsexplorer/arc.html?key=1juyIQsnL_T8tqzfzAVVjPctB4eqiafTghnL_xhvkrjk&amp;gid=400689247&amp;screenname=nellwriter16" TargetMode="External"/><Relationship Id="rId1059" Type="http://schemas.openxmlformats.org/officeDocument/2006/relationships/hyperlink" Target="http://hawksey.info/tagsexplorer/arc.html?key=1juyIQsnL_T8tqzfzAVVjPctB4eqiafTghnL_xhvkrjk&amp;gid=400689247&amp;screenname=Sharpy47" TargetMode="External"/><Relationship Id="rId228" Type="http://schemas.openxmlformats.org/officeDocument/2006/relationships/hyperlink" Target="http://hawksey.info/tagsexplorer/arc.html?key=1juyIQsnL_T8tqzfzAVVjPctB4eqiafTghnL_xhvkrjk&amp;gid=400689247&amp;screenname=Carlsonsports" TargetMode="External"/><Relationship Id="rId227" Type="http://schemas.openxmlformats.org/officeDocument/2006/relationships/hyperlink" Target="http://hawksey.info/tagsexplorer/arc.html?key=1juyIQsnL_T8tqzfzAVVjPctB4eqiafTghnL_xhvkrjk&amp;gid=400689247&amp;screenname=CarlMurx" TargetMode="External"/><Relationship Id="rId226" Type="http://schemas.openxmlformats.org/officeDocument/2006/relationships/hyperlink" Target="http://hawksey.info/tagsexplorer/arc.html?key=1juyIQsnL_T8tqzfzAVVjPctB4eqiafTghnL_xhvkrjk&amp;gid=400689247&amp;screenname=CareyDP1" TargetMode="External"/><Relationship Id="rId225" Type="http://schemas.openxmlformats.org/officeDocument/2006/relationships/hyperlink" Target="http://hawksey.info/tagsexplorer/arc.html?key=1juyIQsnL_T8tqzfzAVVjPctB4eqiafTghnL_xhvkrjk&amp;gid=400689247&amp;screenname=Capt_Kremin" TargetMode="External"/><Relationship Id="rId229" Type="http://schemas.openxmlformats.org/officeDocument/2006/relationships/hyperlink" Target="http://hawksey.info/tagsexplorer/arc.html?key=1juyIQsnL_T8tqzfzAVVjPctB4eqiafTghnL_xhvkrjk&amp;gid=400689247&amp;screenname=CarmelMcLough12" TargetMode="External"/><Relationship Id="rId1050" Type="http://schemas.openxmlformats.org/officeDocument/2006/relationships/hyperlink" Target="http://hawksey.info/tagsexplorer/arc.html?key=1juyIQsnL_T8tqzfzAVVjPctB4eqiafTghnL_xhvkrjk&amp;gid=400689247&amp;screenname=ScootinaK" TargetMode="External"/><Relationship Id="rId220" Type="http://schemas.openxmlformats.org/officeDocument/2006/relationships/hyperlink" Target="http://hawksey.info/tagsexplorer/arc.html?key=1juyIQsnL_T8tqzfzAVVjPctB4eqiafTghnL_xhvkrjk&amp;gid=400689247&amp;screenname=CallidusDominus" TargetMode="External"/><Relationship Id="rId1051" Type="http://schemas.openxmlformats.org/officeDocument/2006/relationships/hyperlink" Target="http://hawksey.info/tagsexplorer/arc.html?key=1juyIQsnL_T8tqzfzAVVjPctB4eqiafTghnL_xhvkrjk&amp;gid=400689247&amp;screenname=ScottBIngram" TargetMode="External"/><Relationship Id="rId1052" Type="http://schemas.openxmlformats.org/officeDocument/2006/relationships/hyperlink" Target="http://hawksey.info/tagsexplorer/arc.html?key=1juyIQsnL_T8tqzfzAVVjPctB4eqiafTghnL_xhvkrjk&amp;gid=400689247&amp;screenname=Scout342" TargetMode="External"/><Relationship Id="rId1053" Type="http://schemas.openxmlformats.org/officeDocument/2006/relationships/hyperlink" Target="http://hawksey.info/tagsexplorer/arc.html?key=1juyIQsnL_T8tqzfzAVVjPctB4eqiafTghnL_xhvkrjk&amp;gid=400689247&amp;screenname=Scrabble817" TargetMode="External"/><Relationship Id="rId1054" Type="http://schemas.openxmlformats.org/officeDocument/2006/relationships/hyperlink" Target="http://hawksey.info/tagsexplorer/arc.html?key=1juyIQsnL_T8tqzfzAVVjPctB4eqiafTghnL_xhvkrjk&amp;gid=400689247&amp;screenname=ScrewedContrac1" TargetMode="External"/><Relationship Id="rId224" Type="http://schemas.openxmlformats.org/officeDocument/2006/relationships/hyperlink" Target="http://hawksey.info/tagsexplorer/arc.html?key=1juyIQsnL_T8tqzfzAVVjPctB4eqiafTghnL_xhvkrjk&amp;gid=400689247&amp;screenname=Canofworms11" TargetMode="External"/><Relationship Id="rId1055" Type="http://schemas.openxmlformats.org/officeDocument/2006/relationships/hyperlink" Target="http://hawksey.info/tagsexplorer/arc.html?key=1juyIQsnL_T8tqzfzAVVjPctB4eqiafTghnL_xhvkrjk&amp;gid=400689247&amp;screenname=Scunner666" TargetMode="External"/><Relationship Id="rId223" Type="http://schemas.openxmlformats.org/officeDocument/2006/relationships/hyperlink" Target="http://hawksey.info/tagsexplorer/arc.html?key=1juyIQsnL_T8tqzfzAVVjPctB4eqiafTghnL_xhvkrjk&amp;gid=400689247&amp;screenname=CandidaCanBeFun" TargetMode="External"/><Relationship Id="rId1056" Type="http://schemas.openxmlformats.org/officeDocument/2006/relationships/hyperlink" Target="http://hawksey.info/tagsexplorer/arc.html?key=1juyIQsnL_T8tqzfzAVVjPctB4eqiafTghnL_xhvkrjk&amp;gid=400689247&amp;screenname=SeaBee35831442" TargetMode="External"/><Relationship Id="rId222" Type="http://schemas.openxmlformats.org/officeDocument/2006/relationships/hyperlink" Target="http://hawksey.info/tagsexplorer/arc.html?key=1juyIQsnL_T8tqzfzAVVjPctB4eqiafTghnL_xhvkrjk&amp;gid=400689247&amp;screenname=CampbellDonny" TargetMode="External"/><Relationship Id="rId1057" Type="http://schemas.openxmlformats.org/officeDocument/2006/relationships/hyperlink" Target="http://hawksey.info/tagsexplorer/arc.html?key=1juyIQsnL_T8tqzfzAVVjPctB4eqiafTghnL_xhvkrjk&amp;gid=400689247&amp;screenname=SeanScannell" TargetMode="External"/><Relationship Id="rId221" Type="http://schemas.openxmlformats.org/officeDocument/2006/relationships/hyperlink" Target="http://hawksey.info/tagsexplorer/arc.html?key=1juyIQsnL_T8tqzfzAVVjPctB4eqiafTghnL_xhvkrjk&amp;gid=400689247&amp;screenname=CamilleHurn" TargetMode="External"/><Relationship Id="rId1058" Type="http://schemas.openxmlformats.org/officeDocument/2006/relationships/hyperlink" Target="http://hawksey.info/tagsexplorer/arc.html?key=1juyIQsnL_T8tqzfzAVVjPctB4eqiafTghnL_xhvkrjk&amp;gid=400689247&amp;screenname=SebFinknottle" TargetMode="External"/><Relationship Id="rId1048" Type="http://schemas.openxmlformats.org/officeDocument/2006/relationships/hyperlink" Target="http://hawksey.info/tagsexplorer/arc.html?key=1juyIQsnL_T8tqzfzAVVjPctB4eqiafTghnL_xhvkrjk&amp;gid=400689247&amp;screenname=SarahSt61447620" TargetMode="External"/><Relationship Id="rId1049" Type="http://schemas.openxmlformats.org/officeDocument/2006/relationships/hyperlink" Target="http://hawksey.info/tagsexplorer/arc.html?key=1juyIQsnL_T8tqzfzAVVjPctB4eqiafTghnL_xhvkrjk&amp;gid=400689247&amp;screenname=ScarletBertie" TargetMode="External"/><Relationship Id="rId217" Type="http://schemas.openxmlformats.org/officeDocument/2006/relationships/hyperlink" Target="http://hawksey.info/tagsexplorer/arc.html?key=1juyIQsnL_T8tqzfzAVVjPctB4eqiafTghnL_xhvkrjk&amp;gid=400689247&amp;screenname=CZEdwards" TargetMode="External"/><Relationship Id="rId216" Type="http://schemas.openxmlformats.org/officeDocument/2006/relationships/hyperlink" Target="http://hawksey.info/tagsexplorer/arc.html?key=1juyIQsnL_T8tqzfzAVVjPctB4eqiafTghnL_xhvkrjk&amp;gid=400689247&amp;screenname=CYRDYN" TargetMode="External"/><Relationship Id="rId215" Type="http://schemas.openxmlformats.org/officeDocument/2006/relationships/hyperlink" Target="http://hawksey.info/tagsexplorer/arc.html?key=1juyIQsnL_T8tqzfzAVVjPctB4eqiafTghnL_xhvkrjk&amp;gid=400689247&amp;screenname=CPatrickPlay" TargetMode="External"/><Relationship Id="rId214" Type="http://schemas.openxmlformats.org/officeDocument/2006/relationships/hyperlink" Target="http://hawksey.info/tagsexplorer/arc.html?key=1juyIQsnL_T8tqzfzAVVjPctB4eqiafTghnL_xhvkrjk&amp;gid=400689247&amp;screenname=CPFlo" TargetMode="External"/><Relationship Id="rId219" Type="http://schemas.openxmlformats.org/officeDocument/2006/relationships/hyperlink" Target="http://hawksey.info/tagsexplorer/arc.html?key=1juyIQsnL_T8tqzfzAVVjPctB4eqiafTghnL_xhvkrjk&amp;gid=400689247&amp;screenname=CafeDeliFelice" TargetMode="External"/><Relationship Id="rId218" Type="http://schemas.openxmlformats.org/officeDocument/2006/relationships/hyperlink" Target="http://hawksey.info/tagsexplorer/arc.html?key=1juyIQsnL_T8tqzfzAVVjPctB4eqiafTghnL_xhvkrjk&amp;gid=400689247&amp;screenname=CabritaClarisse" TargetMode="External"/><Relationship Id="rId1040" Type="http://schemas.openxmlformats.org/officeDocument/2006/relationships/hyperlink" Target="http://hawksey.info/tagsexplorer/arc.html?key=1juyIQsnL_T8tqzfzAVVjPctB4eqiafTghnL_xhvkrjk&amp;gid=400689247&amp;screenname=SamFrance89" TargetMode="External"/><Relationship Id="rId1041" Type="http://schemas.openxmlformats.org/officeDocument/2006/relationships/hyperlink" Target="http://hawksey.info/tagsexplorer/arc.html?key=1juyIQsnL_T8tqzfzAVVjPctB4eqiafTghnL_xhvkrjk&amp;gid=400689247&amp;screenname=Sam_Fellowes" TargetMode="External"/><Relationship Id="rId1042" Type="http://schemas.openxmlformats.org/officeDocument/2006/relationships/hyperlink" Target="http://hawksey.info/tagsexplorer/arc.html?key=1juyIQsnL_T8tqzfzAVVjPctB4eqiafTghnL_xhvkrjk&amp;gid=400689247&amp;screenname=SamanthaOdessa" TargetMode="External"/><Relationship Id="rId1043" Type="http://schemas.openxmlformats.org/officeDocument/2006/relationships/hyperlink" Target="http://hawksey.info/tagsexplorer/arc.html?key=1juyIQsnL_T8tqzfzAVVjPctB4eqiafTghnL_xhvkrjk&amp;gid=400689247&amp;screenname=SandraDunn1955" TargetMode="External"/><Relationship Id="rId213" Type="http://schemas.openxmlformats.org/officeDocument/2006/relationships/hyperlink" Target="http://hawksey.info/tagsexplorer/arc.html?key=1juyIQsnL_T8tqzfzAVVjPctB4eqiafTghnL_xhvkrjk&amp;gid=400689247&amp;screenname=CLLo_12" TargetMode="External"/><Relationship Id="rId1044" Type="http://schemas.openxmlformats.org/officeDocument/2006/relationships/hyperlink" Target="http://hawksey.info/tagsexplorer/arc.html?key=1juyIQsnL_T8tqzfzAVVjPctB4eqiafTghnL_xhvkrjk&amp;gid=400689247&amp;screenname=SandraE82526551" TargetMode="External"/><Relationship Id="rId212" Type="http://schemas.openxmlformats.org/officeDocument/2006/relationships/hyperlink" Target="http://hawksey.info/tagsexplorer/arc.html?key=1juyIQsnL_T8tqzfzAVVjPctB4eqiafTghnL_xhvkrjk&amp;gid=400689247&amp;screenname=CJordanjb" TargetMode="External"/><Relationship Id="rId1045" Type="http://schemas.openxmlformats.org/officeDocument/2006/relationships/hyperlink" Target="http://hawksey.info/tagsexplorer/arc.html?key=1juyIQsnL_T8tqzfzAVVjPctB4eqiafTghnL_xhvkrjk&amp;gid=400689247&amp;screenname=Sandrapeake10" TargetMode="External"/><Relationship Id="rId211" Type="http://schemas.openxmlformats.org/officeDocument/2006/relationships/hyperlink" Target="http://hawksey.info/tagsexplorer/arc.html?key=1juyIQsnL_T8tqzfzAVVjPctB4eqiafTghnL_xhvkrjk&amp;gid=400689247&amp;screenname=CDWalls14" TargetMode="External"/><Relationship Id="rId1046" Type="http://schemas.openxmlformats.org/officeDocument/2006/relationships/hyperlink" Target="http://hawksey.info/tagsexplorer/arc.html?key=1juyIQsnL_T8tqzfzAVVjPctB4eqiafTghnL_xhvkrjk&amp;gid=400689247&amp;screenname=Sanvers84" TargetMode="External"/><Relationship Id="rId210" Type="http://schemas.openxmlformats.org/officeDocument/2006/relationships/hyperlink" Target="http://hawksey.info/tagsexplorer/arc.html?key=1juyIQsnL_T8tqzfzAVVjPctB4eqiafTghnL_xhvkrjk&amp;gid=400689247&amp;screenname=CARogersNo1" TargetMode="External"/><Relationship Id="rId1047" Type="http://schemas.openxmlformats.org/officeDocument/2006/relationships/hyperlink" Target="http://hawksey.info/tagsexplorer/arc.html?key=1juyIQsnL_T8tqzfzAVVjPctB4eqiafTghnL_xhvkrjk&amp;gid=400689247&amp;screenname=SaraGSLondon" TargetMode="External"/><Relationship Id="rId249" Type="http://schemas.openxmlformats.org/officeDocument/2006/relationships/hyperlink" Target="http://hawksey.info/tagsexplorer/arc.html?key=1juyIQsnL_T8tqzfzAVVjPctB4eqiafTghnL_xhvkrjk&amp;gid=400689247&amp;screenname=ChantalCThomas" TargetMode="External"/><Relationship Id="rId248" Type="http://schemas.openxmlformats.org/officeDocument/2006/relationships/hyperlink" Target="http://hawksey.info/tagsexplorer/arc.html?key=1juyIQsnL_T8tqzfzAVVjPctB4eqiafTghnL_xhvkrjk&amp;gid=400689247&amp;screenname=Changeling_1" TargetMode="External"/><Relationship Id="rId247" Type="http://schemas.openxmlformats.org/officeDocument/2006/relationships/hyperlink" Target="http://hawksey.info/tagsexplorer/arc.html?key=1juyIQsnL_T8tqzfzAVVjPctB4eqiafTghnL_xhvkrjk&amp;gid=400689247&amp;screenname=Chairmanbenr" TargetMode="External"/><Relationship Id="rId1070" Type="http://schemas.openxmlformats.org/officeDocument/2006/relationships/hyperlink" Target="http://hawksey.info/tagsexplorer/arc.html?key=1juyIQsnL_T8tqzfzAVVjPctB4eqiafTghnL_xhvkrjk&amp;gid=400689247&amp;screenname=SimonGardner18" TargetMode="External"/><Relationship Id="rId1071" Type="http://schemas.openxmlformats.org/officeDocument/2006/relationships/hyperlink" Target="http://hawksey.info/tagsexplorer/arc.html?key=1juyIQsnL_T8tqzfzAVVjPctB4eqiafTghnL_xhvkrjk&amp;gid=400689247&amp;screenname=SimonRodger8" TargetMode="External"/><Relationship Id="rId1072" Type="http://schemas.openxmlformats.org/officeDocument/2006/relationships/hyperlink" Target="http://hawksey.info/tagsexplorer/arc.html?key=1juyIQsnL_T8tqzfzAVVjPctB4eqiafTghnL_xhvkrjk&amp;gid=400689247&amp;screenname=SimonTurkas" TargetMode="External"/><Relationship Id="rId242" Type="http://schemas.openxmlformats.org/officeDocument/2006/relationships/hyperlink" Target="http://hawksey.info/tagsexplorer/arc.html?key=1juyIQsnL_T8tqzfzAVVjPctB4eqiafTghnL_xhvkrjk&amp;gid=400689247&amp;screenname=CazzyRNF" TargetMode="External"/><Relationship Id="rId1073" Type="http://schemas.openxmlformats.org/officeDocument/2006/relationships/hyperlink" Target="http://hawksey.info/tagsexplorer/arc.html?key=1juyIQsnL_T8tqzfzAVVjPctB4eqiafTghnL_xhvkrjk&amp;gid=400689247&amp;screenname=SimonWattsHull" TargetMode="External"/><Relationship Id="rId241" Type="http://schemas.openxmlformats.org/officeDocument/2006/relationships/hyperlink" Target="http://hawksey.info/tagsexplorer/arc.html?key=1juyIQsnL_T8tqzfzAVVjPctB4eqiafTghnL_xhvkrjk&amp;gid=400689247&amp;screenname=Catwomanx6" TargetMode="External"/><Relationship Id="rId1074" Type="http://schemas.openxmlformats.org/officeDocument/2006/relationships/hyperlink" Target="http://hawksey.info/tagsexplorer/arc.html?key=1juyIQsnL_T8tqzfzAVVjPctB4eqiafTghnL_xhvkrjk&amp;gid=400689247&amp;screenname=SiobhanTurner23" TargetMode="External"/><Relationship Id="rId240" Type="http://schemas.openxmlformats.org/officeDocument/2006/relationships/hyperlink" Target="http://hawksey.info/tagsexplorer/arc.html?key=1juyIQsnL_T8tqzfzAVVjPctB4eqiafTghnL_xhvkrjk&amp;gid=400689247&amp;screenname=CathyUnbound" TargetMode="External"/><Relationship Id="rId1075" Type="http://schemas.openxmlformats.org/officeDocument/2006/relationships/hyperlink" Target="http://hawksey.info/tagsexplorer/arc.html?key=1juyIQsnL_T8tqzfzAVVjPctB4eqiafTghnL_xhvkrjk&amp;gid=400689247&amp;screenname=SiouxsieShoo" TargetMode="External"/><Relationship Id="rId1076" Type="http://schemas.openxmlformats.org/officeDocument/2006/relationships/hyperlink" Target="http://hawksey.info/tagsexplorer/arc.html?key=1juyIQsnL_T8tqzfzAVVjPctB4eqiafTghnL_xhvkrjk&amp;gid=400689247&amp;screenname=SirCCodpiece" TargetMode="External"/><Relationship Id="rId246" Type="http://schemas.openxmlformats.org/officeDocument/2006/relationships/hyperlink" Target="http://hawksey.info/tagsexplorer/arc.html?key=1juyIQsnL_T8tqzfzAVVjPctB4eqiafTghnL_xhvkrjk&amp;gid=400689247&amp;screenname=CentralPlanner9" TargetMode="External"/><Relationship Id="rId1077" Type="http://schemas.openxmlformats.org/officeDocument/2006/relationships/hyperlink" Target="http://hawksey.info/tagsexplorer/arc.html?key=1juyIQsnL_T8tqzfzAVVjPctB4eqiafTghnL_xhvkrjk&amp;gid=400689247&amp;screenname=SittingHard" TargetMode="External"/><Relationship Id="rId245" Type="http://schemas.openxmlformats.org/officeDocument/2006/relationships/hyperlink" Target="http://hawksey.info/tagsexplorer/arc.html?key=1juyIQsnL_T8tqzfzAVVjPctB4eqiafTghnL_xhvkrjk&amp;gid=400689247&amp;screenname=CenGinLondon" TargetMode="External"/><Relationship Id="rId1078" Type="http://schemas.openxmlformats.org/officeDocument/2006/relationships/hyperlink" Target="http://hawksey.info/tagsexplorer/arc.html?key=1juyIQsnL_T8tqzfzAVVjPctB4eqiafTghnL_xhvkrjk&amp;gid=400689247&amp;screenname=Skaro7" TargetMode="External"/><Relationship Id="rId244" Type="http://schemas.openxmlformats.org/officeDocument/2006/relationships/hyperlink" Target="http://hawksey.info/tagsexplorer/arc.html?key=1juyIQsnL_T8tqzfzAVVjPctB4eqiafTghnL_xhvkrjk&amp;gid=400689247&amp;screenname=CeltIndy" TargetMode="External"/><Relationship Id="rId1079" Type="http://schemas.openxmlformats.org/officeDocument/2006/relationships/hyperlink" Target="http://hawksey.info/tagsexplorer/arc.html?key=1juyIQsnL_T8tqzfzAVVjPctB4eqiafTghnL_xhvkrjk&amp;gid=400689247&amp;screenname=Slimbarry2" TargetMode="External"/><Relationship Id="rId243" Type="http://schemas.openxmlformats.org/officeDocument/2006/relationships/hyperlink" Target="http://hawksey.info/tagsexplorer/arc.html?key=1juyIQsnL_T8tqzfzAVVjPctB4eqiafTghnL_xhvkrjk&amp;gid=400689247&amp;screenname=CeeMacBee" TargetMode="External"/><Relationship Id="rId239" Type="http://schemas.openxmlformats.org/officeDocument/2006/relationships/hyperlink" Target="http://hawksey.info/tagsexplorer/arc.html?key=1juyIQsnL_T8tqzfzAVVjPctB4eqiafTghnL_xhvkrjk&amp;gid=400689247&amp;screenname=CathyPowell1" TargetMode="External"/><Relationship Id="rId238" Type="http://schemas.openxmlformats.org/officeDocument/2006/relationships/hyperlink" Target="http://hawksey.info/tagsexplorer/arc.html?key=1juyIQsnL_T8tqzfzAVVjPctB4eqiafTghnL_xhvkrjk&amp;gid=400689247&amp;screenname=CathyFitz27" TargetMode="External"/><Relationship Id="rId237" Type="http://schemas.openxmlformats.org/officeDocument/2006/relationships/hyperlink" Target="http://hawksey.info/tagsexplorer/arc.html?key=1juyIQsnL_T8tqzfzAVVjPctB4eqiafTghnL_xhvkrjk&amp;gid=400689247&amp;screenname=Cathy30099750" TargetMode="External"/><Relationship Id="rId236" Type="http://schemas.openxmlformats.org/officeDocument/2006/relationships/hyperlink" Target="http://hawksey.info/tagsexplorer/arc.html?key=1juyIQsnL_T8tqzfzAVVjPctB4eqiafTghnL_xhvkrjk&amp;gid=400689247&amp;screenname=CatherineHedle2" TargetMode="External"/><Relationship Id="rId1060" Type="http://schemas.openxmlformats.org/officeDocument/2006/relationships/hyperlink" Target="http://hawksey.info/tagsexplorer/arc.html?key=1juyIQsnL_T8tqzfzAVVjPctB4eqiafTghnL_xhvkrjk&amp;gid=400689247&amp;screenname=Shaukat786786" TargetMode="External"/><Relationship Id="rId1061" Type="http://schemas.openxmlformats.org/officeDocument/2006/relationships/hyperlink" Target="http://hawksey.info/tagsexplorer/arc.html?key=1juyIQsnL_T8tqzfzAVVjPctB4eqiafTghnL_xhvkrjk&amp;gid=400689247&amp;screenname=SheilaLeahW" TargetMode="External"/><Relationship Id="rId231" Type="http://schemas.openxmlformats.org/officeDocument/2006/relationships/hyperlink" Target="http://hawksey.info/tagsexplorer/arc.html?key=1juyIQsnL_T8tqzfzAVVjPctB4eqiafTghnL_xhvkrjk&amp;gid=400689247&amp;screenname=CaroleBee1" TargetMode="External"/><Relationship Id="rId1062" Type="http://schemas.openxmlformats.org/officeDocument/2006/relationships/hyperlink" Target="http://hawksey.info/tagsexplorer/arc.html?key=1juyIQsnL_T8tqzfzAVVjPctB4eqiafTghnL_xhvkrjk&amp;gid=400689247&amp;screenname=SheronBoyle1" TargetMode="External"/><Relationship Id="rId230" Type="http://schemas.openxmlformats.org/officeDocument/2006/relationships/hyperlink" Target="http://hawksey.info/tagsexplorer/arc.html?key=1juyIQsnL_T8tqzfzAVVjPctB4eqiafTghnL_xhvkrjk&amp;gid=400689247&amp;screenname=CarolEden7" TargetMode="External"/><Relationship Id="rId1063" Type="http://schemas.openxmlformats.org/officeDocument/2006/relationships/hyperlink" Target="http://hawksey.info/tagsexplorer/arc.html?key=1juyIQsnL_T8tqzfzAVVjPctB4eqiafTghnL_xhvkrjk&amp;gid=400689247&amp;screenname=ShortbreadFairy" TargetMode="External"/><Relationship Id="rId1064" Type="http://schemas.openxmlformats.org/officeDocument/2006/relationships/hyperlink" Target="http://hawksey.info/tagsexplorer/arc.html?key=1juyIQsnL_T8tqzfzAVVjPctB4eqiafTghnL_xhvkrjk&amp;gid=400689247&amp;screenname=Silklink" TargetMode="External"/><Relationship Id="rId1065" Type="http://schemas.openxmlformats.org/officeDocument/2006/relationships/hyperlink" Target="http://hawksey.info/tagsexplorer/arc.html?key=1juyIQsnL_T8tqzfzAVVjPctB4eqiafTghnL_xhvkrjk&amp;gid=400689247&amp;screenname=SillyDeity" TargetMode="External"/><Relationship Id="rId235" Type="http://schemas.openxmlformats.org/officeDocument/2006/relationships/hyperlink" Target="http://hawksey.info/tagsexplorer/arc.html?key=1juyIQsnL_T8tqzfzAVVjPctB4eqiafTghnL_xhvkrjk&amp;gid=400689247&amp;screenname=Cat_Empurrer" TargetMode="External"/><Relationship Id="rId1066" Type="http://schemas.openxmlformats.org/officeDocument/2006/relationships/hyperlink" Target="http://hawksey.info/tagsexplorer/arc.html?key=1juyIQsnL_T8tqzfzAVVjPctB4eqiafTghnL_xhvkrjk&amp;gid=400689247&amp;screenname=SilverSniper007" TargetMode="External"/><Relationship Id="rId234" Type="http://schemas.openxmlformats.org/officeDocument/2006/relationships/hyperlink" Target="http://hawksey.info/tagsexplorer/arc.html?key=1juyIQsnL_T8tqzfzAVVjPctB4eqiafTghnL_xhvkrjk&amp;gid=400689247&amp;screenname=CarpyGwilliam" TargetMode="External"/><Relationship Id="rId1067" Type="http://schemas.openxmlformats.org/officeDocument/2006/relationships/hyperlink" Target="http://hawksey.info/tagsexplorer/arc.html?key=1juyIQsnL_T8tqzfzAVVjPctB4eqiafTghnL_xhvkrjk&amp;gid=400689247&amp;screenname=SilverstonePod" TargetMode="External"/><Relationship Id="rId233" Type="http://schemas.openxmlformats.org/officeDocument/2006/relationships/hyperlink" Target="http://hawksey.info/tagsexplorer/arc.html?key=1juyIQsnL_T8tqzfzAVVjPctB4eqiafTghnL_xhvkrjk&amp;gid=400689247&amp;screenname=CarolineHutt" TargetMode="External"/><Relationship Id="rId1068" Type="http://schemas.openxmlformats.org/officeDocument/2006/relationships/hyperlink" Target="http://hawksey.info/tagsexplorer/arc.html?key=1juyIQsnL_T8tqzfzAVVjPctB4eqiafTghnL_xhvkrjk&amp;gid=400689247&amp;screenname=SimmonsKen" TargetMode="External"/><Relationship Id="rId232" Type="http://schemas.openxmlformats.org/officeDocument/2006/relationships/hyperlink" Target="http://hawksey.info/tagsexplorer/arc.html?key=1juyIQsnL_T8tqzfzAVVjPctB4eqiafTghnL_xhvkrjk&amp;gid=400689247&amp;screenname=CarolineAgent" TargetMode="External"/><Relationship Id="rId1069" Type="http://schemas.openxmlformats.org/officeDocument/2006/relationships/hyperlink" Target="http://hawksey.info/tagsexplorer/arc.html?key=1juyIQsnL_T8tqzfzAVVjPctB4eqiafTghnL_xhvkrjk&amp;gid=400689247&amp;screenname=SimonFoxWriter" TargetMode="External"/><Relationship Id="rId1015" Type="http://schemas.openxmlformats.org/officeDocument/2006/relationships/hyperlink" Target="http://hawksey.info/tagsexplorer/arc.html?key=1juyIQsnL_T8tqzfzAVVjPctB4eqiafTghnL_xhvkrjk&amp;gid=400689247&amp;screenname=RosMcM" TargetMode="External"/><Relationship Id="rId1016" Type="http://schemas.openxmlformats.org/officeDocument/2006/relationships/hyperlink" Target="http://hawksey.info/tagsexplorer/arc.html?key=1juyIQsnL_T8tqzfzAVVjPctB4eqiafTghnL_xhvkrjk&amp;gid=400689247&amp;screenname=RosStewart1" TargetMode="External"/><Relationship Id="rId1017" Type="http://schemas.openxmlformats.org/officeDocument/2006/relationships/hyperlink" Target="http://hawksey.info/tagsexplorer/arc.html?key=1juyIQsnL_T8tqzfzAVVjPctB4eqiafTghnL_xhvkrjk&amp;gid=400689247&amp;screenname=Rosal7777" TargetMode="External"/><Relationship Id="rId1018" Type="http://schemas.openxmlformats.org/officeDocument/2006/relationships/hyperlink" Target="http://hawksey.info/tagsexplorer/arc.html?key=1juyIQsnL_T8tqzfzAVVjPctB4eqiafTghnL_xhvkrjk&amp;gid=400689247&amp;screenname=RosieBeattie" TargetMode="External"/><Relationship Id="rId1019" Type="http://schemas.openxmlformats.org/officeDocument/2006/relationships/hyperlink" Target="http://hawksey.info/tagsexplorer/arc.html?key=1juyIQsnL_T8tqzfzAVVjPctB4eqiafTghnL_xhvkrjk&amp;gid=400689247&amp;screenname=Ross01735504Liz" TargetMode="External"/><Relationship Id="rId1010" Type="http://schemas.openxmlformats.org/officeDocument/2006/relationships/hyperlink" Target="http://hawksey.info/tagsexplorer/arc.html?key=1juyIQsnL_T8tqzfzAVVjPctB4eqiafTghnL_xhvkrjk&amp;gid=400689247&amp;screenname=RogerXMathew" TargetMode="External"/><Relationship Id="rId1011" Type="http://schemas.openxmlformats.org/officeDocument/2006/relationships/hyperlink" Target="http://hawksey.info/tagsexplorer/arc.html?key=1juyIQsnL_T8tqzfzAVVjPctB4eqiafTghnL_xhvkrjk&amp;gid=400689247&amp;screenname=RolandButter13" TargetMode="External"/><Relationship Id="rId1012" Type="http://schemas.openxmlformats.org/officeDocument/2006/relationships/hyperlink" Target="http://hawksey.info/tagsexplorer/arc.html?key=1juyIQsnL_T8tqzfzAVVjPctB4eqiafTghnL_xhvkrjk&amp;gid=400689247&amp;screenname=RolandCPowell" TargetMode="External"/><Relationship Id="rId1013" Type="http://schemas.openxmlformats.org/officeDocument/2006/relationships/hyperlink" Target="http://hawksey.info/tagsexplorer/arc.html?key=1juyIQsnL_T8tqzfzAVVjPctB4eqiafTghnL_xhvkrjk&amp;gid=400689247&amp;screenname=Rollingwiththis" TargetMode="External"/><Relationship Id="rId1014" Type="http://schemas.openxmlformats.org/officeDocument/2006/relationships/hyperlink" Target="http://hawksey.info/tagsexplorer/arc.html?key=1juyIQsnL_T8tqzfzAVVjPctB4eqiafTghnL_xhvkrjk&amp;gid=400689247&amp;screenname=RonPatton1" TargetMode="External"/><Relationship Id="rId1004" Type="http://schemas.openxmlformats.org/officeDocument/2006/relationships/hyperlink" Target="http://hawksey.info/tagsexplorer/arc.html?key=1juyIQsnL_T8tqzfzAVVjPctB4eqiafTghnL_xhvkrjk&amp;gid=400689247&amp;screenname=Robby5211" TargetMode="External"/><Relationship Id="rId1005" Type="http://schemas.openxmlformats.org/officeDocument/2006/relationships/hyperlink" Target="http://hawksey.info/tagsexplorer/arc.html?key=1juyIQsnL_T8tqzfzAVVjPctB4eqiafTghnL_xhvkrjk&amp;gid=400689247&amp;screenname=Robert291213511" TargetMode="External"/><Relationship Id="rId1006" Type="http://schemas.openxmlformats.org/officeDocument/2006/relationships/hyperlink" Target="http://hawksey.info/tagsexplorer/arc.html?key=1juyIQsnL_T8tqzfzAVVjPctB4eqiafTghnL_xhvkrjk&amp;gid=400689247&amp;screenname=RobertFillies1" TargetMode="External"/><Relationship Id="rId1007" Type="http://schemas.openxmlformats.org/officeDocument/2006/relationships/hyperlink" Target="http://hawksey.info/tagsexplorer/arc.html?key=1juyIQsnL_T8tqzfzAVVjPctB4eqiafTghnL_xhvkrjk&amp;gid=400689247&amp;screenname=RockDoc1975" TargetMode="External"/><Relationship Id="rId1008" Type="http://schemas.openxmlformats.org/officeDocument/2006/relationships/hyperlink" Target="http://hawksey.info/tagsexplorer/arc.html?key=1juyIQsnL_T8tqzfzAVVjPctB4eqiafTghnL_xhvkrjk&amp;gid=400689247&amp;screenname=RoderickOwenBa1" TargetMode="External"/><Relationship Id="rId1009" Type="http://schemas.openxmlformats.org/officeDocument/2006/relationships/hyperlink" Target="http://hawksey.info/tagsexplorer/arc.html?key=1juyIQsnL_T8tqzfzAVVjPctB4eqiafTghnL_xhvkrjk&amp;gid=400689247&amp;screenname=RogMull" TargetMode="External"/><Relationship Id="rId1000" Type="http://schemas.openxmlformats.org/officeDocument/2006/relationships/hyperlink" Target="http://hawksey.info/tagsexplorer/arc.html?key=1juyIQsnL_T8tqzfzAVVjPctB4eqiafTghnL_xhvkrjk&amp;gid=400689247&amp;screenname=RoadRun18571613" TargetMode="External"/><Relationship Id="rId1001" Type="http://schemas.openxmlformats.org/officeDocument/2006/relationships/hyperlink" Target="http://hawksey.info/tagsexplorer/arc.html?key=1juyIQsnL_T8tqzfzAVVjPctB4eqiafTghnL_xhvkrjk&amp;gid=400689247&amp;screenname=Roadwarrior29" TargetMode="External"/><Relationship Id="rId1002" Type="http://schemas.openxmlformats.org/officeDocument/2006/relationships/hyperlink" Target="http://hawksey.info/tagsexplorer/arc.html?key=1juyIQsnL_T8tqzfzAVVjPctB4eqiafTghnL_xhvkrjk&amp;gid=400689247&amp;screenname=RobB_W1" TargetMode="External"/><Relationship Id="rId1003" Type="http://schemas.openxmlformats.org/officeDocument/2006/relationships/hyperlink" Target="http://hawksey.info/tagsexplorer/arc.html?key=1juyIQsnL_T8tqzfzAVVjPctB4eqiafTghnL_xhvkrjk&amp;gid=400689247&amp;screenname=Rob_Kimbell" TargetMode="External"/><Relationship Id="rId1037" Type="http://schemas.openxmlformats.org/officeDocument/2006/relationships/hyperlink" Target="http://hawksey.info/tagsexplorer/arc.html?key=1juyIQsnL_T8tqzfzAVVjPctB4eqiafTghnL_xhvkrjk&amp;gid=400689247&amp;screenname=SallyAnneWalker" TargetMode="External"/><Relationship Id="rId1038" Type="http://schemas.openxmlformats.org/officeDocument/2006/relationships/hyperlink" Target="http://hawksey.info/tagsexplorer/arc.html?key=1juyIQsnL_T8tqzfzAVVjPctB4eqiafTghnL_xhvkrjk&amp;gid=400689247&amp;screenname=SallyFereday" TargetMode="External"/><Relationship Id="rId1039" Type="http://schemas.openxmlformats.org/officeDocument/2006/relationships/hyperlink" Target="http://hawksey.info/tagsexplorer/arc.html?key=1juyIQsnL_T8tqzfzAVVjPctB4eqiafTghnL_xhvkrjk&amp;gid=400689247&amp;screenname=Sam19803119" TargetMode="External"/><Relationship Id="rId206" Type="http://schemas.openxmlformats.org/officeDocument/2006/relationships/hyperlink" Target="http://hawksey.info/tagsexplorer/arc.html?key=1juyIQsnL_T8tqzfzAVVjPctB4eqiafTghnL_xhvkrjk&amp;gid=400689247&amp;screenname=Burahntank" TargetMode="External"/><Relationship Id="rId205" Type="http://schemas.openxmlformats.org/officeDocument/2006/relationships/hyperlink" Target="http://hawksey.info/tagsexplorer/arc.html?key=1juyIQsnL_T8tqzfzAVVjPctB4eqiafTghnL_xhvkrjk&amp;gid=400689247&amp;screenname=BunsenAbroad" TargetMode="External"/><Relationship Id="rId204" Type="http://schemas.openxmlformats.org/officeDocument/2006/relationships/hyperlink" Target="http://hawksey.info/tagsexplorer/arc.html?key=1juyIQsnL_T8tqzfzAVVjPctB4eqiafTghnL_xhvkrjk&amp;gid=400689247&amp;screenname=Bumbo13355293" TargetMode="External"/><Relationship Id="rId203" Type="http://schemas.openxmlformats.org/officeDocument/2006/relationships/hyperlink" Target="http://hawksey.info/tagsexplorer/arc.html?key=1juyIQsnL_T8tqzfzAVVjPctB4eqiafTghnL_xhvkrjk&amp;gid=400689247&amp;screenname=Bumbleb58352158" TargetMode="External"/><Relationship Id="rId209" Type="http://schemas.openxmlformats.org/officeDocument/2006/relationships/hyperlink" Target="http://hawksey.info/tagsexplorer/arc.html?key=1juyIQsnL_T8tqzfzAVVjPctB4eqiafTghnL_xhvkrjk&amp;gid=400689247&amp;screenname=BylineTimes" TargetMode="External"/><Relationship Id="rId208" Type="http://schemas.openxmlformats.org/officeDocument/2006/relationships/hyperlink" Target="http://hawksey.info/tagsexplorer/arc.html?key=1juyIQsnL_T8tqzfzAVVjPctB4eqiafTghnL_xhvkrjk&amp;gid=400689247&amp;screenname=BuxtonSue" TargetMode="External"/><Relationship Id="rId207" Type="http://schemas.openxmlformats.org/officeDocument/2006/relationships/hyperlink" Target="http://hawksey.info/tagsexplorer/arc.html?key=1juyIQsnL_T8tqzfzAVVjPctB4eqiafTghnL_xhvkrjk&amp;gid=400689247&amp;screenname=BusEconYMO_HGS" TargetMode="External"/><Relationship Id="rId1030" Type="http://schemas.openxmlformats.org/officeDocument/2006/relationships/hyperlink" Target="http://hawksey.info/tagsexplorer/arc.html?key=1juyIQsnL_T8tqzfzAVVjPctB4eqiafTghnL_xhvkrjk&amp;gid=400689247&amp;screenname=SMOCKFORD" TargetMode="External"/><Relationship Id="rId1031" Type="http://schemas.openxmlformats.org/officeDocument/2006/relationships/hyperlink" Target="http://hawksey.info/tagsexplorer/arc.html?key=1juyIQsnL_T8tqzfzAVVjPctB4eqiafTghnL_xhvkrjk&amp;gid=400689247&amp;screenname=SPropertyPortal" TargetMode="External"/><Relationship Id="rId1032" Type="http://schemas.openxmlformats.org/officeDocument/2006/relationships/hyperlink" Target="http://hawksey.info/tagsexplorer/arc.html?key=1juyIQsnL_T8tqzfzAVVjPctB4eqiafTghnL_xhvkrjk&amp;gid=400689247&amp;screenname=SSabelus" TargetMode="External"/><Relationship Id="rId202" Type="http://schemas.openxmlformats.org/officeDocument/2006/relationships/hyperlink" Target="http://hawksey.info/tagsexplorer/arc.html?key=1juyIQsnL_T8tqzfzAVVjPctB4eqiafTghnL_xhvkrjk&amp;gid=400689247&amp;screenname=BubblegumYeti" TargetMode="External"/><Relationship Id="rId1033" Type="http://schemas.openxmlformats.org/officeDocument/2006/relationships/hyperlink" Target="http://hawksey.info/tagsexplorer/arc.html?key=1juyIQsnL_T8tqzfzAVVjPctB4eqiafTghnL_xhvkrjk&amp;gid=400689247&amp;screenname=STilston" TargetMode="External"/><Relationship Id="rId201" Type="http://schemas.openxmlformats.org/officeDocument/2006/relationships/hyperlink" Target="http://hawksey.info/tagsexplorer/arc.html?key=1juyIQsnL_T8tqzfzAVVjPctB4eqiafTghnL_xhvkrjk&amp;gid=400689247&amp;screenname=BtaD42255016" TargetMode="External"/><Relationship Id="rId1034" Type="http://schemas.openxmlformats.org/officeDocument/2006/relationships/hyperlink" Target="http://hawksey.info/tagsexplorer/arc.html?key=1juyIQsnL_T8tqzfzAVVjPctB4eqiafTghnL_xhvkrjk&amp;gid=400689247&amp;screenname=SZeitblom" TargetMode="External"/><Relationship Id="rId200" Type="http://schemas.openxmlformats.org/officeDocument/2006/relationships/hyperlink" Target="http://hawksey.info/tagsexplorer/arc.html?key=1juyIQsnL_T8tqzfzAVVjPctB4eqiafTghnL_xhvkrjk&amp;gid=400689247&amp;screenname=BrynCleat" TargetMode="External"/><Relationship Id="rId1035" Type="http://schemas.openxmlformats.org/officeDocument/2006/relationships/hyperlink" Target="http://hawksey.info/tagsexplorer/arc.html?key=1juyIQsnL_T8tqzfzAVVjPctB4eqiafTghnL_xhvkrjk&amp;gid=400689247&amp;screenname=Sajad_Faz" TargetMode="External"/><Relationship Id="rId1036" Type="http://schemas.openxmlformats.org/officeDocument/2006/relationships/hyperlink" Target="http://hawksey.info/tagsexplorer/arc.html?key=1juyIQsnL_T8tqzfzAVVjPctB4eqiafTghnL_xhvkrjk&amp;gid=400689247&amp;screenname=Salanais" TargetMode="External"/><Relationship Id="rId1026" Type="http://schemas.openxmlformats.org/officeDocument/2006/relationships/hyperlink" Target="http://hawksey.info/tagsexplorer/arc.html?key=1juyIQsnL_T8tqzfzAVVjPctB4eqiafTghnL_xhvkrjk&amp;gid=400689247&amp;screenname=SBurton63883172" TargetMode="External"/><Relationship Id="rId1027" Type="http://schemas.openxmlformats.org/officeDocument/2006/relationships/hyperlink" Target="http://hawksey.info/tagsexplorer/arc.html?key=1juyIQsnL_T8tqzfzAVVjPctB4eqiafTghnL_xhvkrjk&amp;gid=400689247&amp;screenname=SESuter1" TargetMode="External"/><Relationship Id="rId1028" Type="http://schemas.openxmlformats.org/officeDocument/2006/relationships/hyperlink" Target="http://hawksey.info/tagsexplorer/arc.html?key=1juyIQsnL_T8tqzfzAVVjPctB4eqiafTghnL_xhvkrjk&amp;gid=400689247&amp;screenname=SHarr73146294" TargetMode="External"/><Relationship Id="rId1029" Type="http://schemas.openxmlformats.org/officeDocument/2006/relationships/hyperlink" Target="http://hawksey.info/tagsexplorer/arc.html?key=1juyIQsnL_T8tqzfzAVVjPctB4eqiafTghnL_xhvkrjk&amp;gid=400689247&amp;screenname=SJABradley" TargetMode="External"/><Relationship Id="rId1020" Type="http://schemas.openxmlformats.org/officeDocument/2006/relationships/hyperlink" Target="http://hawksey.info/tagsexplorer/arc.html?key=1juyIQsnL_T8tqzfzAVVjPctB4eqiafTghnL_xhvkrjk&amp;gid=400689247&amp;screenname=Roughbird" TargetMode="External"/><Relationship Id="rId1021" Type="http://schemas.openxmlformats.org/officeDocument/2006/relationships/hyperlink" Target="http://hawksey.info/tagsexplorer/arc.html?key=1juyIQsnL_T8tqzfzAVVjPctB4eqiafTghnL_xhvkrjk&amp;gid=400689247&amp;screenname=Rudders60" TargetMode="External"/><Relationship Id="rId1022" Type="http://schemas.openxmlformats.org/officeDocument/2006/relationships/hyperlink" Target="http://hawksey.info/tagsexplorer/arc.html?key=1juyIQsnL_T8tqzfzAVVjPctB4eqiafTghnL_xhvkrjk&amp;gid=400689247&amp;screenname=RwAccommodation" TargetMode="External"/><Relationship Id="rId1023" Type="http://schemas.openxmlformats.org/officeDocument/2006/relationships/hyperlink" Target="http://hawksey.info/tagsexplorer/arc.html?key=1juyIQsnL_T8tqzfzAVVjPctB4eqiafTghnL_xhvkrjk&amp;gid=400689247&amp;screenname=SAH_Rowan" TargetMode="External"/><Relationship Id="rId1024" Type="http://schemas.openxmlformats.org/officeDocument/2006/relationships/hyperlink" Target="http://hawksey.info/tagsexplorer/arc.html?key=1juyIQsnL_T8tqzfzAVVjPctB4eqiafTghnL_xhvkrjk&amp;gid=400689247&amp;screenname=SAdefiranye" TargetMode="External"/><Relationship Id="rId1025" Type="http://schemas.openxmlformats.org/officeDocument/2006/relationships/hyperlink" Target="http://hawksey.info/tagsexplorer/arc.html?key=1juyIQsnL_T8tqzfzAVVjPctB4eqiafTghnL_xhvkrjk&amp;gid=400689247&amp;screenname=SBarutta" TargetMode="External"/><Relationship Id="rId1910" Type="http://schemas.openxmlformats.org/officeDocument/2006/relationships/hyperlink" Target="http://hawksey.info/tagsexplorer/arc.html?key=1juyIQsnL_T8tqzfzAVVjPctB4eqiafTghnL_xhvkrjk&amp;gid=400689247&amp;screenname=oly_pics" TargetMode="External"/><Relationship Id="rId1911" Type="http://schemas.openxmlformats.org/officeDocument/2006/relationships/hyperlink" Target="http://hawksey.info/tagsexplorer/arc.html?key=1juyIQsnL_T8tqzfzAVVjPctB4eqiafTghnL_xhvkrjk&amp;gid=400689247&amp;screenname=olynpuss" TargetMode="External"/><Relationship Id="rId1912" Type="http://schemas.openxmlformats.org/officeDocument/2006/relationships/hyperlink" Target="http://hawksey.info/tagsexplorer/arc.html?key=1juyIQsnL_T8tqzfzAVVjPctB4eqiafTghnL_xhvkrjk&amp;gid=400689247&amp;screenname=oneleggeddancer" TargetMode="External"/><Relationship Id="rId1913" Type="http://schemas.openxmlformats.org/officeDocument/2006/relationships/hyperlink" Target="http://hawksey.info/tagsexplorer/arc.html?key=1juyIQsnL_T8tqzfzAVVjPctB4eqiafTghnL_xhvkrjk&amp;gid=400689247&amp;screenname=ormy27" TargetMode="External"/><Relationship Id="rId1914" Type="http://schemas.openxmlformats.org/officeDocument/2006/relationships/hyperlink" Target="http://hawksey.info/tagsexplorer/arc.html?key=1juyIQsnL_T8tqzfzAVVjPctB4eqiafTghnL_xhvkrjk&amp;gid=400689247&amp;screenname=overwater001" TargetMode="External"/><Relationship Id="rId1915" Type="http://schemas.openxmlformats.org/officeDocument/2006/relationships/hyperlink" Target="http://hawksey.info/tagsexplorer/arc.html?key=1juyIQsnL_T8tqzfzAVVjPctB4eqiafTghnL_xhvkrjk&amp;gid=400689247&amp;screenname=p2pmoneyshop" TargetMode="External"/><Relationship Id="rId1916" Type="http://schemas.openxmlformats.org/officeDocument/2006/relationships/hyperlink" Target="http://hawksey.info/tagsexplorer/arc.html?key=1juyIQsnL_T8tqzfzAVVjPctB4eqiafTghnL_xhvkrjk&amp;gid=400689247&amp;screenname=pacificcousins" TargetMode="External"/><Relationship Id="rId1917" Type="http://schemas.openxmlformats.org/officeDocument/2006/relationships/hyperlink" Target="http://hawksey.info/tagsexplorer/arc.html?key=1juyIQsnL_T8tqzfzAVVjPctB4eqiafTghnL_xhvkrjk&amp;gid=400689247&amp;screenname=paddytoland" TargetMode="External"/><Relationship Id="rId1918" Type="http://schemas.openxmlformats.org/officeDocument/2006/relationships/hyperlink" Target="http://hawksey.info/tagsexplorer/arc.html?key=1juyIQsnL_T8tqzfzAVVjPctB4eqiafTghnL_xhvkrjk&amp;gid=400689247&amp;screenname=palinterest" TargetMode="External"/><Relationship Id="rId1919" Type="http://schemas.openxmlformats.org/officeDocument/2006/relationships/hyperlink" Target="http://hawksey.info/tagsexplorer/arc.html?key=1juyIQsnL_T8tqzfzAVVjPctB4eqiafTghnL_xhvkrjk&amp;gid=400689247&amp;screenname=palmaz2112" TargetMode="External"/><Relationship Id="rId1900" Type="http://schemas.openxmlformats.org/officeDocument/2006/relationships/hyperlink" Target="http://hawksey.info/tagsexplorer/arc.html?key=1juyIQsnL_T8tqzfzAVVjPctB4eqiafTghnL_xhvkrjk&amp;gid=400689247&amp;screenname=noniehorsman" TargetMode="External"/><Relationship Id="rId1901" Type="http://schemas.openxmlformats.org/officeDocument/2006/relationships/hyperlink" Target="http://hawksey.info/tagsexplorer/arc.html?key=1juyIQsnL_T8tqzfzAVVjPctB4eqiafTghnL_xhvkrjk&amp;gid=400689247&amp;screenname=noreent1234" TargetMode="External"/><Relationship Id="rId1902" Type="http://schemas.openxmlformats.org/officeDocument/2006/relationships/hyperlink" Target="http://hawksey.info/tagsexplorer/arc.html?key=1juyIQsnL_T8tqzfzAVVjPctB4eqiafTghnL_xhvkrjk&amp;gid=400689247&amp;screenname=notjustpensions" TargetMode="External"/><Relationship Id="rId1903" Type="http://schemas.openxmlformats.org/officeDocument/2006/relationships/hyperlink" Target="http://hawksey.info/tagsexplorer/arc.html?key=1juyIQsnL_T8tqzfzAVVjPctB4eqiafTghnL_xhvkrjk&amp;gid=400689247&amp;screenname=nusha_u" TargetMode="External"/><Relationship Id="rId1904" Type="http://schemas.openxmlformats.org/officeDocument/2006/relationships/hyperlink" Target="http://hawksey.info/tagsexplorer/arc.html?key=1juyIQsnL_T8tqzfzAVVjPctB4eqiafTghnL_xhvkrjk&amp;gid=400689247&amp;screenname=nutbrittles" TargetMode="External"/><Relationship Id="rId1905" Type="http://schemas.openxmlformats.org/officeDocument/2006/relationships/hyperlink" Target="http://hawksey.info/tagsexplorer/arc.html?key=1juyIQsnL_T8tqzfzAVVjPctB4eqiafTghnL_xhvkrjk&amp;gid=400689247&amp;screenname=objectsmith" TargetMode="External"/><Relationship Id="rId1906" Type="http://schemas.openxmlformats.org/officeDocument/2006/relationships/hyperlink" Target="http://hawksey.info/tagsexplorer/arc.html?key=1juyIQsnL_T8tqzfzAVVjPctB4eqiafTghnL_xhvkrjk&amp;gid=400689247&amp;screenname=obviousenigma1" TargetMode="External"/><Relationship Id="rId1907" Type="http://schemas.openxmlformats.org/officeDocument/2006/relationships/hyperlink" Target="http://hawksey.info/tagsexplorer/arc.html?key=1juyIQsnL_T8tqzfzAVVjPctB4eqiafTghnL_xhvkrjk&amp;gid=400689247&amp;screenname=officialstevoid" TargetMode="External"/><Relationship Id="rId1908" Type="http://schemas.openxmlformats.org/officeDocument/2006/relationships/hyperlink" Target="http://hawksey.info/tagsexplorer/arc.html?key=1juyIQsnL_T8tqzfzAVVjPctB4eqiafTghnL_xhvkrjk&amp;gid=400689247&amp;screenname=ohdaisydog" TargetMode="External"/><Relationship Id="rId1909" Type="http://schemas.openxmlformats.org/officeDocument/2006/relationships/hyperlink" Target="http://hawksey.info/tagsexplorer/arc.html?key=1juyIQsnL_T8tqzfzAVVjPctB4eqiafTghnL_xhvkrjk&amp;gid=400689247&amp;screenname=okaktzeptiert" TargetMode="External"/><Relationship Id="rId1090" Type="http://schemas.openxmlformats.org/officeDocument/2006/relationships/hyperlink" Target="http://hawksey.info/tagsexplorer/arc.html?key=1juyIQsnL_T8tqzfzAVVjPctB4eqiafTghnL_xhvkrjk&amp;gid=400689247&amp;screenname=StephenGill55" TargetMode="External"/><Relationship Id="rId1091" Type="http://schemas.openxmlformats.org/officeDocument/2006/relationships/hyperlink" Target="http://hawksey.info/tagsexplorer/arc.html?key=1juyIQsnL_T8tqzfzAVVjPctB4eqiafTghnL_xhvkrjk&amp;gid=400689247&amp;screenname=SteveACooper" TargetMode="External"/><Relationship Id="rId1092" Type="http://schemas.openxmlformats.org/officeDocument/2006/relationships/hyperlink" Target="http://hawksey.info/tagsexplorer/arc.html?key=1juyIQsnL_T8tqzfzAVVjPctB4eqiafTghnL_xhvkrjk&amp;gid=400689247&amp;screenname=Steve_Tomlin" TargetMode="External"/><Relationship Id="rId1093" Type="http://schemas.openxmlformats.org/officeDocument/2006/relationships/hyperlink" Target="http://hawksey.info/tagsexplorer/arc.html?key=1juyIQsnL_T8tqzfzAVVjPctB4eqiafTghnL_xhvkrjk&amp;gid=400689247&amp;screenname=StevenHeywood" TargetMode="External"/><Relationship Id="rId1094" Type="http://schemas.openxmlformats.org/officeDocument/2006/relationships/hyperlink" Target="http://hawksey.info/tagsexplorer/arc.html?key=1juyIQsnL_T8tqzfzAVVjPctB4eqiafTghnL_xhvkrjk&amp;gid=400689247&amp;screenname=SteviMandi" TargetMode="External"/><Relationship Id="rId1095" Type="http://schemas.openxmlformats.org/officeDocument/2006/relationships/hyperlink" Target="http://hawksey.info/tagsexplorer/arc.html?key=1juyIQsnL_T8tqzfzAVVjPctB4eqiafTghnL_xhvkrjk&amp;gid=400689247&amp;screenname=StonedBishop1" TargetMode="External"/><Relationship Id="rId1096" Type="http://schemas.openxmlformats.org/officeDocument/2006/relationships/hyperlink" Target="http://hawksey.info/tagsexplorer/arc.html?key=1juyIQsnL_T8tqzfzAVVjPctB4eqiafTghnL_xhvkrjk&amp;gid=400689247&amp;screenname=StuBearhop" TargetMode="External"/><Relationship Id="rId1097" Type="http://schemas.openxmlformats.org/officeDocument/2006/relationships/hyperlink" Target="http://hawksey.info/tagsexplorer/arc.html?key=1juyIQsnL_T8tqzfzAVVjPctB4eqiafTghnL_xhvkrjk&amp;gid=400689247&amp;screenname=Stu__F" TargetMode="External"/><Relationship Id="rId1098" Type="http://schemas.openxmlformats.org/officeDocument/2006/relationships/hyperlink" Target="http://hawksey.info/tagsexplorer/arc.html?key=1juyIQsnL_T8tqzfzAVVjPctB4eqiafTghnL_xhvkrjk&amp;gid=400689247&amp;screenname=StuartWeinstoc1" TargetMode="External"/><Relationship Id="rId1099" Type="http://schemas.openxmlformats.org/officeDocument/2006/relationships/hyperlink" Target="http://hawksey.info/tagsexplorer/arc.html?key=1juyIQsnL_T8tqzfzAVVjPctB4eqiafTghnL_xhvkrjk&amp;gid=400689247&amp;screenname=StunnedVoter" TargetMode="External"/><Relationship Id="rId1080" Type="http://schemas.openxmlformats.org/officeDocument/2006/relationships/hyperlink" Target="http://hawksey.info/tagsexplorer/arc.html?key=1juyIQsnL_T8tqzfzAVVjPctB4eqiafTghnL_xhvkrjk&amp;gid=400689247&amp;screenname=Slots_o_fun" TargetMode="External"/><Relationship Id="rId1081" Type="http://schemas.openxmlformats.org/officeDocument/2006/relationships/hyperlink" Target="http://hawksey.info/tagsexplorer/arc.html?key=1juyIQsnL_T8tqzfzAVVjPctB4eqiafTghnL_xhvkrjk&amp;gid=400689247&amp;screenname=SnookMalcolm" TargetMode="External"/><Relationship Id="rId1082" Type="http://schemas.openxmlformats.org/officeDocument/2006/relationships/hyperlink" Target="http://hawksey.info/tagsexplorer/arc.html?key=1juyIQsnL_T8tqzfzAVVjPctB4eqiafTghnL_xhvkrjk&amp;gid=400689247&amp;screenname=SobiaStellarS" TargetMode="External"/><Relationship Id="rId1083" Type="http://schemas.openxmlformats.org/officeDocument/2006/relationships/hyperlink" Target="http://hawksey.info/tagsexplorer/arc.html?key=1juyIQsnL_T8tqzfzAVVjPctB4eqiafTghnL_xhvkrjk&amp;gid=400689247&amp;screenname=SomersetDutch" TargetMode="External"/><Relationship Id="rId1084" Type="http://schemas.openxmlformats.org/officeDocument/2006/relationships/hyperlink" Target="http://hawksey.info/tagsexplorer/arc.html?key=1juyIQsnL_T8tqzfzAVVjPctB4eqiafTghnL_xhvkrjk&amp;gid=400689247&amp;screenname=SometimesMagic_" TargetMode="External"/><Relationship Id="rId1085" Type="http://schemas.openxmlformats.org/officeDocument/2006/relationships/hyperlink" Target="http://hawksey.info/tagsexplorer/arc.html?key=1juyIQsnL_T8tqzfzAVVjPctB4eqiafTghnL_xhvkrjk&amp;gid=400689247&amp;screenname=SparklersW" TargetMode="External"/><Relationship Id="rId1086" Type="http://schemas.openxmlformats.org/officeDocument/2006/relationships/hyperlink" Target="http://hawksey.info/tagsexplorer/arc.html?key=1juyIQsnL_T8tqzfzAVVjPctB4eqiafTghnL_xhvkrjk&amp;gid=400689247&amp;screenname=SpindleBiggins" TargetMode="External"/><Relationship Id="rId1087" Type="http://schemas.openxmlformats.org/officeDocument/2006/relationships/hyperlink" Target="http://hawksey.info/tagsexplorer/arc.html?key=1juyIQsnL_T8tqzfzAVVjPctB4eqiafTghnL_xhvkrjk&amp;gid=400689247&amp;screenname=SportIntegrity" TargetMode="External"/><Relationship Id="rId1088" Type="http://schemas.openxmlformats.org/officeDocument/2006/relationships/hyperlink" Target="http://hawksey.info/tagsexplorer/arc.html?key=1juyIQsnL_T8tqzfzAVVjPctB4eqiafTghnL_xhvkrjk&amp;gid=400689247&amp;screenname=Stanfrank53" TargetMode="External"/><Relationship Id="rId1089" Type="http://schemas.openxmlformats.org/officeDocument/2006/relationships/hyperlink" Target="http://hawksey.info/tagsexplorer/arc.html?key=1juyIQsnL_T8tqzfzAVVjPctB4eqiafTghnL_xhvkrjk&amp;gid=400689247&amp;screenname=StecEng22" TargetMode="External"/><Relationship Id="rId1972" Type="http://schemas.openxmlformats.org/officeDocument/2006/relationships/hyperlink" Target="http://hawksey.info/tagsexplorer/arc.html?key=1juyIQsnL_T8tqzfzAVVjPctB4eqiafTghnL_xhvkrjk&amp;gid=400689247&amp;screenname=pwsimerimiaw" TargetMode="External"/><Relationship Id="rId1973" Type="http://schemas.openxmlformats.org/officeDocument/2006/relationships/hyperlink" Target="http://hawksey.info/tagsexplorer/arc.html?key=1juyIQsnL_T8tqzfzAVVjPctB4eqiafTghnL_xhvkrjk&amp;gid=400689247&amp;screenname=pyle_lynne" TargetMode="External"/><Relationship Id="rId1974" Type="http://schemas.openxmlformats.org/officeDocument/2006/relationships/hyperlink" Target="http://hawksey.info/tagsexplorer/arc.html?key=1juyIQsnL_T8tqzfzAVVjPctB4eqiafTghnL_xhvkrjk&amp;gid=400689247&amp;screenname=qeensdale" TargetMode="External"/><Relationship Id="rId1975" Type="http://schemas.openxmlformats.org/officeDocument/2006/relationships/hyperlink" Target="http://hawksey.info/tagsexplorer/arc.html?key=1juyIQsnL_T8tqzfzAVVjPctB4eqiafTghnL_xhvkrjk&amp;gid=400689247&amp;screenname=quangels" TargetMode="External"/><Relationship Id="rId1976" Type="http://schemas.openxmlformats.org/officeDocument/2006/relationships/hyperlink" Target="http://hawksey.info/tagsexplorer/arc.html?key=1juyIQsnL_T8tqzfzAVVjPctB4eqiafTghnL_xhvkrjk&amp;gid=400689247&amp;screenname=r_bosch" TargetMode="External"/><Relationship Id="rId1977" Type="http://schemas.openxmlformats.org/officeDocument/2006/relationships/hyperlink" Target="http://hawksey.info/tagsexplorer/arc.html?key=1juyIQsnL_T8tqzfzAVVjPctB4eqiafTghnL_xhvkrjk&amp;gid=400689247&amp;screenname=rabaldor" TargetMode="External"/><Relationship Id="rId1978" Type="http://schemas.openxmlformats.org/officeDocument/2006/relationships/hyperlink" Target="http://hawksey.info/tagsexplorer/arc.html?key=1juyIQsnL_T8tqzfzAVVjPctB4eqiafTghnL_xhvkrjk&amp;gid=400689247&amp;screenname=rachelm77632546" TargetMode="External"/><Relationship Id="rId1979" Type="http://schemas.openxmlformats.org/officeDocument/2006/relationships/hyperlink" Target="http://hawksey.info/tagsexplorer/arc.html?key=1juyIQsnL_T8tqzfzAVVjPctB4eqiafTghnL_xhvkrjk&amp;gid=400689247&amp;screenname=rachhutch13" TargetMode="External"/><Relationship Id="rId1970" Type="http://schemas.openxmlformats.org/officeDocument/2006/relationships/hyperlink" Target="http://hawksey.info/tagsexplorer/arc.html?key=1juyIQsnL_T8tqzfzAVVjPctB4eqiafTghnL_xhvkrjk&amp;gid=400689247&amp;screenname=pvsassone" TargetMode="External"/><Relationship Id="rId1971" Type="http://schemas.openxmlformats.org/officeDocument/2006/relationships/hyperlink" Target="http://hawksey.info/tagsexplorer/arc.html?key=1juyIQsnL_T8tqzfzAVVjPctB4eqiafTghnL_xhvkrjk&amp;gid=400689247&amp;screenname=pwlordalba" TargetMode="External"/><Relationship Id="rId1961" Type="http://schemas.openxmlformats.org/officeDocument/2006/relationships/hyperlink" Target="http://hawksey.info/tagsexplorer/arc.html?key=1juyIQsnL_T8tqzfzAVVjPctB4eqiafTghnL_xhvkrjk&amp;gid=400689247&amp;screenname=political_wasp" TargetMode="External"/><Relationship Id="rId1962" Type="http://schemas.openxmlformats.org/officeDocument/2006/relationships/hyperlink" Target="http://hawksey.info/tagsexplorer/arc.html?key=1juyIQsnL_T8tqzfzAVVjPctB4eqiafTghnL_xhvkrjk&amp;gid=400689247&amp;screenname=pollyPRnow" TargetMode="External"/><Relationship Id="rId1963" Type="http://schemas.openxmlformats.org/officeDocument/2006/relationships/hyperlink" Target="http://hawksey.info/tagsexplorer/arc.html?key=1juyIQsnL_T8tqzfzAVVjPctB4eqiafTghnL_xhvkrjk&amp;gid=400689247&amp;screenname=polnyypesets" TargetMode="External"/><Relationship Id="rId1964" Type="http://schemas.openxmlformats.org/officeDocument/2006/relationships/hyperlink" Target="http://hawksey.info/tagsexplorer/arc.html?key=1juyIQsnL_T8tqzfzAVVjPctB4eqiafTghnL_xhvkrjk&amp;gid=400689247&amp;screenname=polytwonk" TargetMode="External"/><Relationship Id="rId1965" Type="http://schemas.openxmlformats.org/officeDocument/2006/relationships/hyperlink" Target="http://hawksey.info/tagsexplorer/arc.html?key=1juyIQsnL_T8tqzfzAVVjPctB4eqiafTghnL_xhvkrjk&amp;gid=400689247&amp;screenname=positpolit" TargetMode="External"/><Relationship Id="rId1966" Type="http://schemas.openxmlformats.org/officeDocument/2006/relationships/hyperlink" Target="http://hawksey.info/tagsexplorer/arc.html?key=1juyIQsnL_T8tqzfzAVVjPctB4eqiafTghnL_xhvkrjk&amp;gid=400689247&amp;screenname=ppadfiel" TargetMode="External"/><Relationship Id="rId1967" Type="http://schemas.openxmlformats.org/officeDocument/2006/relationships/hyperlink" Target="http://hawksey.info/tagsexplorer/arc.html?key=1juyIQsnL_T8tqzfzAVVjPctB4eqiafTghnL_xhvkrjk&amp;gid=400689247&amp;screenname=prestwichpig" TargetMode="External"/><Relationship Id="rId1968" Type="http://schemas.openxmlformats.org/officeDocument/2006/relationships/hyperlink" Target="http://hawksey.info/tagsexplorer/arc.html?key=1juyIQsnL_T8tqzfzAVVjPctB4eqiafTghnL_xhvkrjk&amp;gid=400689247&amp;screenname=proknifesharpe" TargetMode="External"/><Relationship Id="rId1969" Type="http://schemas.openxmlformats.org/officeDocument/2006/relationships/hyperlink" Target="http://hawksey.info/tagsexplorer/arc.html?key=1juyIQsnL_T8tqzfzAVVjPctB4eqiafTghnL_xhvkrjk&amp;gid=400689247&amp;screenname=pru_eu" TargetMode="External"/><Relationship Id="rId1960" Type="http://schemas.openxmlformats.org/officeDocument/2006/relationships/hyperlink" Target="http://hawksey.info/tagsexplorer/arc.html?key=1juyIQsnL_T8tqzfzAVVjPctB4eqiafTghnL_xhvkrjk&amp;gid=400689247&amp;screenname=polightbulb" TargetMode="External"/><Relationship Id="rId1994" Type="http://schemas.openxmlformats.org/officeDocument/2006/relationships/hyperlink" Target="http://hawksey.info/tagsexplorer/arc.html?key=1juyIQsnL_T8tqzfzAVVjPctB4eqiafTghnL_xhvkrjk&amp;gid=400689247&amp;screenname=richardbullard2" TargetMode="External"/><Relationship Id="rId1995" Type="http://schemas.openxmlformats.org/officeDocument/2006/relationships/hyperlink" Target="http://hawksey.info/tagsexplorer/arc.html?key=1juyIQsnL_T8tqzfzAVVjPctB4eqiafTghnL_xhvkrjk&amp;gid=400689247&amp;screenname=richardcalhoun" TargetMode="External"/><Relationship Id="rId1996" Type="http://schemas.openxmlformats.org/officeDocument/2006/relationships/hyperlink" Target="http://hawksey.info/tagsexplorer/arc.html?key=1juyIQsnL_T8tqzfzAVVjPctB4eqiafTghnL_xhvkrjk&amp;gid=400689247&amp;screenname=richardpantlin" TargetMode="External"/><Relationship Id="rId1997" Type="http://schemas.openxmlformats.org/officeDocument/2006/relationships/hyperlink" Target="http://hawksey.info/tagsexplorer/arc.html?key=1juyIQsnL_T8tqzfzAVVjPctB4eqiafTghnL_xhvkrjk&amp;gid=400689247&amp;screenname=richardvranch" TargetMode="External"/><Relationship Id="rId1998" Type="http://schemas.openxmlformats.org/officeDocument/2006/relationships/hyperlink" Target="http://hawksey.info/tagsexplorer/arc.html?key=1juyIQsnL_T8tqzfzAVVjPctB4eqiafTghnL_xhvkrjk&amp;gid=400689247&amp;screenname=rickglyn" TargetMode="External"/><Relationship Id="rId1999" Type="http://schemas.openxmlformats.org/officeDocument/2006/relationships/hyperlink" Target="http://hawksey.info/tagsexplorer/arc.html?key=1juyIQsnL_T8tqzfzAVVjPctB4eqiafTghnL_xhvkrjk&amp;gid=400689247&amp;screenname=riding_david" TargetMode="External"/><Relationship Id="rId1990" Type="http://schemas.openxmlformats.org/officeDocument/2006/relationships/hyperlink" Target="http://hawksey.info/tagsexplorer/arc.html?key=1juyIQsnL_T8tqzfzAVVjPctB4eqiafTghnL_xhvkrjk&amp;gid=400689247&amp;screenname=relwofs54" TargetMode="External"/><Relationship Id="rId1991" Type="http://schemas.openxmlformats.org/officeDocument/2006/relationships/hyperlink" Target="http://hawksey.info/tagsexplorer/arc.html?key=1juyIQsnL_T8tqzfzAVVjPctB4eqiafTghnL_xhvkrjk&amp;gid=400689247&amp;screenname=remainophile" TargetMode="External"/><Relationship Id="rId1992" Type="http://schemas.openxmlformats.org/officeDocument/2006/relationships/hyperlink" Target="http://hawksey.info/tagsexplorer/arc.html?key=1juyIQsnL_T8tqzfzAVVjPctB4eqiafTghnL_xhvkrjk&amp;gid=400689247&amp;screenname=revscott6" TargetMode="External"/><Relationship Id="rId1993" Type="http://schemas.openxmlformats.org/officeDocument/2006/relationships/hyperlink" Target="http://hawksey.info/tagsexplorer/arc.html?key=1juyIQsnL_T8tqzfzAVVjPctB4eqiafTghnL_xhvkrjk&amp;gid=400689247&amp;screenname=reza_sharifii" TargetMode="External"/><Relationship Id="rId1983" Type="http://schemas.openxmlformats.org/officeDocument/2006/relationships/hyperlink" Target="http://hawksey.info/tagsexplorer/arc.html?key=1juyIQsnL_T8tqzfzAVVjPctB4eqiafTghnL_xhvkrjk&amp;gid=400689247&amp;screenname=rattaplan76" TargetMode="External"/><Relationship Id="rId1984" Type="http://schemas.openxmlformats.org/officeDocument/2006/relationships/hyperlink" Target="http://hawksey.info/tagsexplorer/arc.html?key=1juyIQsnL_T8tqzfzAVVjPctB4eqiafTghnL_xhvkrjk&amp;gid=400689247&amp;screenname=re11ddy" TargetMode="External"/><Relationship Id="rId1985" Type="http://schemas.openxmlformats.org/officeDocument/2006/relationships/hyperlink" Target="http://hawksey.info/tagsexplorer/arc.html?key=1juyIQsnL_T8tqzfzAVVjPctB4eqiafTghnL_xhvkrjk&amp;gid=400689247&amp;screenname=realmumma2" TargetMode="External"/><Relationship Id="rId1986" Type="http://schemas.openxmlformats.org/officeDocument/2006/relationships/hyperlink" Target="http://hawksey.info/tagsexplorer/arc.html?key=1juyIQsnL_T8tqzfzAVVjPctB4eqiafTghnL_xhvkrjk&amp;gid=400689247&amp;screenname=rec777777" TargetMode="External"/><Relationship Id="rId1987" Type="http://schemas.openxmlformats.org/officeDocument/2006/relationships/hyperlink" Target="http://hawksey.info/tagsexplorer/arc.html?key=1juyIQsnL_T8tqzfzAVVjPctB4eqiafTghnL_xhvkrjk&amp;gid=400689247&amp;screenname=redflame1960" TargetMode="External"/><Relationship Id="rId1988" Type="http://schemas.openxmlformats.org/officeDocument/2006/relationships/hyperlink" Target="http://hawksey.info/tagsexplorer/arc.html?key=1juyIQsnL_T8tqzfzAVVjPctB4eqiafTghnL_xhvkrjk&amp;gid=400689247&amp;screenname=redland15" TargetMode="External"/><Relationship Id="rId1989" Type="http://schemas.openxmlformats.org/officeDocument/2006/relationships/hyperlink" Target="http://hawksey.info/tagsexplorer/arc.html?key=1juyIQsnL_T8tqzfzAVVjPctB4eqiafTghnL_xhvkrjk&amp;gid=400689247&amp;screenname=reesprescribe" TargetMode="External"/><Relationship Id="rId1980" Type="http://schemas.openxmlformats.org/officeDocument/2006/relationships/hyperlink" Target="http://hawksey.info/tagsexplorer/arc.html?key=1juyIQsnL_T8tqzfzAVVjPctB4eqiafTghnL_xhvkrjk&amp;gid=400689247&amp;screenname=radiofourfan" TargetMode="External"/><Relationship Id="rId1981" Type="http://schemas.openxmlformats.org/officeDocument/2006/relationships/hyperlink" Target="http://hawksey.info/tagsexplorer/arc.html?key=1juyIQsnL_T8tqzfzAVVjPctB4eqiafTghnL_xhvkrjk&amp;gid=400689247&amp;screenname=rajni1959" TargetMode="External"/><Relationship Id="rId1982" Type="http://schemas.openxmlformats.org/officeDocument/2006/relationships/hyperlink" Target="http://hawksey.info/tagsexplorer/arc.html?key=1juyIQsnL_T8tqzfzAVVjPctB4eqiafTghnL_xhvkrjk&amp;gid=400689247&amp;screenname=ratcliffe_nick" TargetMode="External"/><Relationship Id="rId1930" Type="http://schemas.openxmlformats.org/officeDocument/2006/relationships/hyperlink" Target="http://hawksey.info/tagsexplorer/arc.html?key=1juyIQsnL_T8tqzfzAVVjPctB4eqiafTghnL_xhvkrjk&amp;gid=400689247&amp;screenname=paulhaganrea" TargetMode="External"/><Relationship Id="rId1931" Type="http://schemas.openxmlformats.org/officeDocument/2006/relationships/hyperlink" Target="http://hawksey.info/tagsexplorer/arc.html?key=1juyIQsnL_T8tqzfzAVVjPctB4eqiafTghnL_xhvkrjk&amp;gid=400689247&amp;screenname=paulstapleton8" TargetMode="External"/><Relationship Id="rId1932" Type="http://schemas.openxmlformats.org/officeDocument/2006/relationships/hyperlink" Target="http://hawksey.info/tagsexplorer/arc.html?key=1juyIQsnL_T8tqzfzAVVjPctB4eqiafTghnL_xhvkrjk&amp;gid=400689247&amp;screenname=pbh100" TargetMode="External"/><Relationship Id="rId1933" Type="http://schemas.openxmlformats.org/officeDocument/2006/relationships/hyperlink" Target="http://hawksey.info/tagsexplorer/arc.html?key=1juyIQsnL_T8tqzfzAVVjPctB4eqiafTghnL_xhvkrjk&amp;gid=400689247&amp;screenname=pchallinor" TargetMode="External"/><Relationship Id="rId1934" Type="http://schemas.openxmlformats.org/officeDocument/2006/relationships/hyperlink" Target="http://hawksey.info/tagsexplorer/arc.html?key=1juyIQsnL_T8tqzfzAVVjPctB4eqiafTghnL_xhvkrjk&amp;gid=400689247&amp;screenname=pelargonium2" TargetMode="External"/><Relationship Id="rId1935" Type="http://schemas.openxmlformats.org/officeDocument/2006/relationships/hyperlink" Target="http://hawksey.info/tagsexplorer/arc.html?key=1juyIQsnL_T8tqzfzAVVjPctB4eqiafTghnL_xhvkrjk&amp;gid=400689247&amp;screenname=penelopedarby" TargetMode="External"/><Relationship Id="rId1936" Type="http://schemas.openxmlformats.org/officeDocument/2006/relationships/hyperlink" Target="http://hawksey.info/tagsexplorer/arc.html?key=1juyIQsnL_T8tqzfzAVVjPctB4eqiafTghnL_xhvkrjk&amp;gid=400689247&amp;screenname=pennylloydwatts" TargetMode="External"/><Relationship Id="rId1937" Type="http://schemas.openxmlformats.org/officeDocument/2006/relationships/hyperlink" Target="http://hawksey.info/tagsexplorer/arc.html?key=1juyIQsnL_T8tqzfzAVVjPctB4eqiafTghnL_xhvkrjk&amp;gid=400689247&amp;screenname=pensioenjaren" TargetMode="External"/><Relationship Id="rId1938" Type="http://schemas.openxmlformats.org/officeDocument/2006/relationships/hyperlink" Target="http://hawksey.info/tagsexplorer/arc.html?key=1juyIQsnL_T8tqzfzAVVjPctB4eqiafTghnL_xhvkrjk&amp;gid=400689247&amp;screenname=percyridesagain" TargetMode="External"/><Relationship Id="rId1939" Type="http://schemas.openxmlformats.org/officeDocument/2006/relationships/hyperlink" Target="http://hawksey.info/tagsexplorer/arc.html?key=1juyIQsnL_T8tqzfzAVVjPctB4eqiafTghnL_xhvkrjk&amp;gid=400689247&amp;screenname=petekitching" TargetMode="External"/><Relationship Id="rId1920" Type="http://schemas.openxmlformats.org/officeDocument/2006/relationships/hyperlink" Target="http://hawksey.info/tagsexplorer/arc.html?key=1juyIQsnL_T8tqzfzAVVjPctB4eqiafTghnL_xhvkrjk&amp;gid=400689247&amp;screenname=pamela_bernie" TargetMode="External"/><Relationship Id="rId1921" Type="http://schemas.openxmlformats.org/officeDocument/2006/relationships/hyperlink" Target="http://hawksey.info/tagsexplorer/arc.html?key=1juyIQsnL_T8tqzfzAVVjPctB4eqiafTghnL_xhvkrjk&amp;gid=400689247&amp;screenname=pancakeson" TargetMode="External"/><Relationship Id="rId1922" Type="http://schemas.openxmlformats.org/officeDocument/2006/relationships/hyperlink" Target="http://hawksey.info/tagsexplorer/arc.html?key=1juyIQsnL_T8tqzfzAVVjPctB4eqiafTghnL_xhvkrjk&amp;gid=400689247&amp;screenname=paolobolzoni" TargetMode="External"/><Relationship Id="rId1923" Type="http://schemas.openxmlformats.org/officeDocument/2006/relationships/hyperlink" Target="http://hawksey.info/tagsexplorer/arc.html?key=1juyIQsnL_T8tqzfzAVVjPctB4eqiafTghnL_xhvkrjk&amp;gid=400689247&amp;screenname=papasmitheh" TargetMode="External"/><Relationship Id="rId1924" Type="http://schemas.openxmlformats.org/officeDocument/2006/relationships/hyperlink" Target="http://hawksey.info/tagsexplorer/arc.html?key=1juyIQsnL_T8tqzfzAVVjPctB4eqiafTghnL_xhvkrjk&amp;gid=400689247&amp;screenname=parallelsuburb" TargetMode="External"/><Relationship Id="rId1925" Type="http://schemas.openxmlformats.org/officeDocument/2006/relationships/hyperlink" Target="http://hawksey.info/tagsexplorer/arc.html?key=1juyIQsnL_T8tqzfzAVVjPctB4eqiafTghnL_xhvkrjk&amp;gid=400689247&amp;screenname=patsytheshark" TargetMode="External"/><Relationship Id="rId1926" Type="http://schemas.openxmlformats.org/officeDocument/2006/relationships/hyperlink" Target="http://hawksey.info/tagsexplorer/arc.html?key=1juyIQsnL_T8tqzfzAVVjPctB4eqiafTghnL_xhvkrjk&amp;gid=400689247&amp;screenname=paul_m_a_martin" TargetMode="External"/><Relationship Id="rId1927" Type="http://schemas.openxmlformats.org/officeDocument/2006/relationships/hyperlink" Target="http://hawksey.info/tagsexplorer/arc.html?key=1juyIQsnL_T8tqzfzAVVjPctB4eqiafTghnL_xhvkrjk&amp;gid=400689247&amp;screenname=paul_trembath" TargetMode="External"/><Relationship Id="rId1928" Type="http://schemas.openxmlformats.org/officeDocument/2006/relationships/hyperlink" Target="http://hawksey.info/tagsexplorer/arc.html?key=1juyIQsnL_T8tqzfzAVVjPctB4eqiafTghnL_xhvkrjk&amp;gid=400689247&amp;screenname=paulclift01" TargetMode="External"/><Relationship Id="rId1929" Type="http://schemas.openxmlformats.org/officeDocument/2006/relationships/hyperlink" Target="http://hawksey.info/tagsexplorer/arc.html?key=1juyIQsnL_T8tqzfzAVVjPctB4eqiafTghnL_xhvkrjk&amp;gid=400689247&amp;screenname=pauldav46312233" TargetMode="External"/><Relationship Id="rId1950" Type="http://schemas.openxmlformats.org/officeDocument/2006/relationships/hyperlink" Target="http://hawksey.info/tagsexplorer/arc.html?key=1juyIQsnL_T8tqzfzAVVjPctB4eqiafTghnL_xhvkrjk&amp;gid=400689247&amp;screenname=phopfensperger" TargetMode="External"/><Relationship Id="rId1951" Type="http://schemas.openxmlformats.org/officeDocument/2006/relationships/hyperlink" Target="http://hawksey.info/tagsexplorer/arc.html?key=1juyIQsnL_T8tqzfzAVVjPctB4eqiafTghnL_xhvkrjk&amp;gid=400689247&amp;screenname=piciniscoceltic" TargetMode="External"/><Relationship Id="rId1952" Type="http://schemas.openxmlformats.org/officeDocument/2006/relationships/hyperlink" Target="http://hawksey.info/tagsexplorer/arc.html?key=1juyIQsnL_T8tqzfzAVVjPctB4eqiafTghnL_xhvkrjk&amp;gid=400689247&amp;screenname=pimlicat" TargetMode="External"/><Relationship Id="rId1953" Type="http://schemas.openxmlformats.org/officeDocument/2006/relationships/hyperlink" Target="http://hawksey.info/tagsexplorer/arc.html?key=1juyIQsnL_T8tqzfzAVVjPctB4eqiafTghnL_xhvkrjk&amp;gid=400689247&amp;screenname=pimp_creative" TargetMode="External"/><Relationship Id="rId1954" Type="http://schemas.openxmlformats.org/officeDocument/2006/relationships/hyperlink" Target="http://hawksey.info/tagsexplorer/arc.html?key=1juyIQsnL_T8tqzfzAVVjPctB4eqiafTghnL_xhvkrjk&amp;gid=400689247&amp;screenname=pinklilyphoto" TargetMode="External"/><Relationship Id="rId1955" Type="http://schemas.openxmlformats.org/officeDocument/2006/relationships/hyperlink" Target="http://hawksey.info/tagsexplorer/arc.html?key=1juyIQsnL_T8tqzfzAVVjPctB4eqiafTghnL_xhvkrjk&amp;gid=400689247&amp;screenname=pixieglas" TargetMode="External"/><Relationship Id="rId1956" Type="http://schemas.openxmlformats.org/officeDocument/2006/relationships/hyperlink" Target="http://hawksey.info/tagsexplorer/arc.html?key=1juyIQsnL_T8tqzfzAVVjPctB4eqiafTghnL_xhvkrjk&amp;gid=400689247&amp;screenname=pjd23272" TargetMode="External"/><Relationship Id="rId1957" Type="http://schemas.openxmlformats.org/officeDocument/2006/relationships/hyperlink" Target="http://hawksey.info/tagsexplorer/arc.html?key=1juyIQsnL_T8tqzfzAVVjPctB4eqiafTghnL_xhvkrjk&amp;gid=400689247&amp;screenname=pjr1007" TargetMode="External"/><Relationship Id="rId1958" Type="http://schemas.openxmlformats.org/officeDocument/2006/relationships/hyperlink" Target="http://hawksey.info/tagsexplorer/arc.html?key=1juyIQsnL_T8tqzfzAVVjPctB4eqiafTghnL_xhvkrjk&amp;gid=400689247&amp;screenname=pleadbeter" TargetMode="External"/><Relationship Id="rId1959" Type="http://schemas.openxmlformats.org/officeDocument/2006/relationships/hyperlink" Target="http://hawksey.info/tagsexplorer/arc.html?key=1juyIQsnL_T8tqzfzAVVjPctB4eqiafTghnL_xhvkrjk&amp;gid=400689247&amp;screenname=pmeierprof" TargetMode="External"/><Relationship Id="rId1940" Type="http://schemas.openxmlformats.org/officeDocument/2006/relationships/hyperlink" Target="http://hawksey.info/tagsexplorer/arc.html?key=1juyIQsnL_T8tqzfzAVVjPctB4eqiafTghnL_xhvkrjk&amp;gid=400689247&amp;screenname=peterabird" TargetMode="External"/><Relationship Id="rId1941" Type="http://schemas.openxmlformats.org/officeDocument/2006/relationships/hyperlink" Target="http://hawksey.info/tagsexplorer/arc.html?key=1juyIQsnL_T8tqzfzAVVjPctB4eqiafTghnL_xhvkrjk&amp;gid=400689247&amp;screenname=peterandann" TargetMode="External"/><Relationship Id="rId1942" Type="http://schemas.openxmlformats.org/officeDocument/2006/relationships/hyperlink" Target="http://hawksey.info/tagsexplorer/arc.html?key=1juyIQsnL_T8tqzfzAVVjPctB4eqiafTghnL_xhvkrjk&amp;gid=400689247&amp;screenname=peterbentley34" TargetMode="External"/><Relationship Id="rId1943" Type="http://schemas.openxmlformats.org/officeDocument/2006/relationships/hyperlink" Target="http://hawksey.info/tagsexplorer/arc.html?key=1juyIQsnL_T8tqzfzAVVjPctB4eqiafTghnL_xhvkrjk&amp;gid=400689247&amp;screenname=peterskinley1" TargetMode="External"/><Relationship Id="rId1944" Type="http://schemas.openxmlformats.org/officeDocument/2006/relationships/hyperlink" Target="http://hawksey.info/tagsexplorer/arc.html?key=1juyIQsnL_T8tqzfzAVVjPctB4eqiafTghnL_xhvkrjk&amp;gid=400689247&amp;screenname=philcox99" TargetMode="External"/><Relationship Id="rId1945" Type="http://schemas.openxmlformats.org/officeDocument/2006/relationships/hyperlink" Target="http://hawksey.info/tagsexplorer/arc.html?key=1juyIQsnL_T8tqzfzAVVjPctB4eqiafTghnL_xhvkrjk&amp;gid=400689247&amp;screenname=philiparrogers" TargetMode="External"/><Relationship Id="rId1946" Type="http://schemas.openxmlformats.org/officeDocument/2006/relationships/hyperlink" Target="http://hawksey.info/tagsexplorer/arc.html?key=1juyIQsnL_T8tqzfzAVVjPctB4eqiafTghnL_xhvkrjk&amp;gid=400689247&amp;screenname=philipjdoyle" TargetMode="External"/><Relationship Id="rId1947" Type="http://schemas.openxmlformats.org/officeDocument/2006/relationships/hyperlink" Target="http://hawksey.info/tagsexplorer/arc.html?key=1juyIQsnL_T8tqzfzAVVjPctB4eqiafTghnL_xhvkrjk&amp;gid=400689247&amp;screenname=philkop" TargetMode="External"/><Relationship Id="rId1948" Type="http://schemas.openxmlformats.org/officeDocument/2006/relationships/hyperlink" Target="http://hawksey.info/tagsexplorer/arc.html?key=1juyIQsnL_T8tqzfzAVVjPctB4eqiafTghnL_xhvkrjk&amp;gid=400689247&amp;screenname=phillmoog" TargetMode="External"/><Relationship Id="rId1949" Type="http://schemas.openxmlformats.org/officeDocument/2006/relationships/hyperlink" Target="http://hawksey.info/tagsexplorer/arc.html?key=1juyIQsnL_T8tqzfzAVVjPctB4eqiafTghnL_xhvkrjk&amp;gid=400689247&amp;screenname=philnooney" TargetMode="External"/><Relationship Id="rId509" Type="http://schemas.openxmlformats.org/officeDocument/2006/relationships/hyperlink" Target="http://hawksey.info/tagsexplorer/arc.html?key=1juyIQsnL_T8tqzfzAVVjPctB4eqiafTghnL_xhvkrjk&amp;gid=400689247&amp;screenname=HoratioAlger15" TargetMode="External"/><Relationship Id="rId508" Type="http://schemas.openxmlformats.org/officeDocument/2006/relationships/hyperlink" Target="http://hawksey.info/tagsexplorer/arc.html?key=1juyIQsnL_T8tqzfzAVVjPctB4eqiafTghnL_xhvkrjk&amp;gid=400689247&amp;screenname=HopeFbpe" TargetMode="External"/><Relationship Id="rId503" Type="http://schemas.openxmlformats.org/officeDocument/2006/relationships/hyperlink" Target="http://hawksey.info/tagsexplorer/arc.html?key=1juyIQsnL_T8tqzfzAVVjPctB4eqiafTghnL_xhvkrjk&amp;gid=400689247&amp;screenname=HereInTheHollow" TargetMode="External"/><Relationship Id="rId502" Type="http://schemas.openxmlformats.org/officeDocument/2006/relationships/hyperlink" Target="http://hawksey.info/tagsexplorer/arc.html?key=1juyIQsnL_T8tqzfzAVVjPctB4eqiafTghnL_xhvkrjk&amp;gid=400689247&amp;screenname=Hendrik_Senn" TargetMode="External"/><Relationship Id="rId501" Type="http://schemas.openxmlformats.org/officeDocument/2006/relationships/hyperlink" Target="http://hawksey.info/tagsexplorer/arc.html?key=1juyIQsnL_T8tqzfzAVVjPctB4eqiafTghnL_xhvkrjk&amp;gid=400689247&amp;screenname=Hellena93821300" TargetMode="External"/><Relationship Id="rId500" Type="http://schemas.openxmlformats.org/officeDocument/2006/relationships/hyperlink" Target="http://hawksey.info/tagsexplorer/arc.html?key=1juyIQsnL_T8tqzfzAVVjPctB4eqiafTghnL_xhvkrjk&amp;gid=400689247&amp;screenname=Helenkalliope" TargetMode="External"/><Relationship Id="rId507" Type="http://schemas.openxmlformats.org/officeDocument/2006/relationships/hyperlink" Target="http://hawksey.info/tagsexplorer/arc.html?key=1juyIQsnL_T8tqzfzAVVjPctB4eqiafTghnL_xhvkrjk&amp;gid=400689247&amp;screenname=Hopalon89013906" TargetMode="External"/><Relationship Id="rId506" Type="http://schemas.openxmlformats.org/officeDocument/2006/relationships/hyperlink" Target="http://hawksey.info/tagsexplorer/arc.html?key=1juyIQsnL_T8tqzfzAVVjPctB4eqiafTghnL_xhvkrjk&amp;gid=400689247&amp;screenname=HolyMole" TargetMode="External"/><Relationship Id="rId505" Type="http://schemas.openxmlformats.org/officeDocument/2006/relationships/hyperlink" Target="http://hawksey.info/tagsexplorer/arc.html?key=1juyIQsnL_T8tqzfzAVVjPctB4eqiafTghnL_xhvkrjk&amp;gid=400689247&amp;screenname=HistoricalMe99" TargetMode="External"/><Relationship Id="rId504" Type="http://schemas.openxmlformats.org/officeDocument/2006/relationships/hyperlink" Target="http://hawksey.info/tagsexplorer/arc.html?key=1juyIQsnL_T8tqzfzAVVjPctB4eqiafTghnL_xhvkrjk&amp;gid=400689247&amp;screenname=HighlandHeathen" TargetMode="External"/><Relationship Id="rId1114" Type="http://schemas.openxmlformats.org/officeDocument/2006/relationships/hyperlink" Target="http://hawksey.info/tagsexplorer/arc.html?key=1juyIQsnL_T8tqzfzAVVjPctB4eqiafTghnL_xhvkrjk&amp;gid=400689247&amp;screenname=SusiNew1" TargetMode="External"/><Relationship Id="rId1115" Type="http://schemas.openxmlformats.org/officeDocument/2006/relationships/hyperlink" Target="http://hawksey.info/tagsexplorer/arc.html?key=1juyIQsnL_T8tqzfzAVVjPctB4eqiafTghnL_xhvkrjk&amp;gid=400689247&amp;screenname=SussexMark" TargetMode="External"/><Relationship Id="rId1116" Type="http://schemas.openxmlformats.org/officeDocument/2006/relationships/hyperlink" Target="http://hawksey.info/tagsexplorer/arc.html?key=1juyIQsnL_T8tqzfzAVVjPctB4eqiafTghnL_xhvkrjk&amp;gid=400689247&amp;screenname=Suziey33" TargetMode="External"/><Relationship Id="rId1117" Type="http://schemas.openxmlformats.org/officeDocument/2006/relationships/hyperlink" Target="http://hawksey.info/tagsexplorer/arc.html?key=1juyIQsnL_T8tqzfzAVVjPctB4eqiafTghnL_xhvkrjk&amp;gid=400689247&amp;screenname=Swingkatz" TargetMode="External"/><Relationship Id="rId1118" Type="http://schemas.openxmlformats.org/officeDocument/2006/relationships/hyperlink" Target="http://hawksey.info/tagsexplorer/arc.html?key=1juyIQsnL_T8tqzfzAVVjPctB4eqiafTghnL_xhvkrjk&amp;gid=400689247&amp;screenname=Syed_A_Jaffery" TargetMode="External"/><Relationship Id="rId1119" Type="http://schemas.openxmlformats.org/officeDocument/2006/relationships/hyperlink" Target="http://hawksey.info/tagsexplorer/arc.html?key=1juyIQsnL_T8tqzfzAVVjPctB4eqiafTghnL_xhvkrjk&amp;gid=400689247&amp;screenname=Szipi27" TargetMode="External"/><Relationship Id="rId525" Type="http://schemas.openxmlformats.org/officeDocument/2006/relationships/hyperlink" Target="http://hawksey.info/tagsexplorer/arc.html?key=1juyIQsnL_T8tqzfzAVVjPctB4eqiafTghnL_xhvkrjk&amp;gid=400689247&amp;screenname=IanRadcliffe4" TargetMode="External"/><Relationship Id="rId524" Type="http://schemas.openxmlformats.org/officeDocument/2006/relationships/hyperlink" Target="http://hawksey.info/tagsexplorer/arc.html?key=1juyIQsnL_T8tqzfzAVVjPctB4eqiafTghnL_xhvkrjk&amp;gid=400689247&amp;screenname=IanHLewis1" TargetMode="External"/><Relationship Id="rId523" Type="http://schemas.openxmlformats.org/officeDocument/2006/relationships/hyperlink" Target="http://hawksey.info/tagsexplorer/arc.html?key=1juyIQsnL_T8tqzfzAVVjPctB4eqiafTghnL_xhvkrjk&amp;gid=400689247&amp;screenname=IanGreenwood6" TargetMode="External"/><Relationship Id="rId522" Type="http://schemas.openxmlformats.org/officeDocument/2006/relationships/hyperlink" Target="http://hawksey.info/tagsexplorer/arc.html?key=1juyIQsnL_T8tqzfzAVVjPctB4eqiafTghnL_xhvkrjk&amp;gid=400689247&amp;screenname=IanFWinter" TargetMode="External"/><Relationship Id="rId529" Type="http://schemas.openxmlformats.org/officeDocument/2006/relationships/hyperlink" Target="http://hawksey.info/tagsexplorer/arc.html?key=1juyIQsnL_T8tqzfzAVVjPctB4eqiafTghnL_xhvkrjk&amp;gid=400689247&amp;screenname=InLeaving" TargetMode="External"/><Relationship Id="rId528" Type="http://schemas.openxmlformats.org/officeDocument/2006/relationships/hyperlink" Target="http://hawksey.info/tagsexplorer/arc.html?key=1juyIQsnL_T8tqzfzAVVjPctB4eqiafTghnL_xhvkrjk&amp;gid=400689247&amp;screenname=Iloveautumn2" TargetMode="External"/><Relationship Id="rId527" Type="http://schemas.openxmlformats.org/officeDocument/2006/relationships/hyperlink" Target="http://hawksey.info/tagsexplorer/arc.html?key=1juyIQsnL_T8tqzfzAVVjPctB4eqiafTghnL_xhvkrjk&amp;gid=400689247&amp;screenname=Ilexargentia" TargetMode="External"/><Relationship Id="rId526" Type="http://schemas.openxmlformats.org/officeDocument/2006/relationships/hyperlink" Target="http://hawksey.info/tagsexplorer/arc.html?key=1juyIQsnL_T8tqzfzAVVjPctB4eqiafTghnL_xhvkrjk&amp;gid=400689247&amp;screenname=IanRobinson" TargetMode="External"/><Relationship Id="rId521" Type="http://schemas.openxmlformats.org/officeDocument/2006/relationships/hyperlink" Target="http://hawksey.info/tagsexplorer/arc.html?key=1juyIQsnL_T8tqzfzAVVjPctB4eqiafTghnL_xhvkrjk&amp;gid=400689247&amp;screenname=Iamegriff" TargetMode="External"/><Relationship Id="rId1110" Type="http://schemas.openxmlformats.org/officeDocument/2006/relationships/hyperlink" Target="http://hawksey.info/tagsexplorer/arc.html?key=1juyIQsnL_T8tqzfzAVVjPctB4eqiafTghnL_xhvkrjk&amp;gid=400689247&amp;screenname=SurreyHeathLDs" TargetMode="External"/><Relationship Id="rId520" Type="http://schemas.openxmlformats.org/officeDocument/2006/relationships/hyperlink" Target="http://hawksey.info/tagsexplorer/arc.html?key=1juyIQsnL_T8tqzfzAVVjPctB4eqiafTghnL_xhvkrjk&amp;gid=400689247&amp;screenname=IainMacInnesUHI" TargetMode="External"/><Relationship Id="rId1111" Type="http://schemas.openxmlformats.org/officeDocument/2006/relationships/hyperlink" Target="http://hawksey.info/tagsexplorer/arc.html?key=1juyIQsnL_T8tqzfzAVVjPctB4eqiafTghnL_xhvkrjk&amp;gid=400689247&amp;screenname=Survindar" TargetMode="External"/><Relationship Id="rId1112" Type="http://schemas.openxmlformats.org/officeDocument/2006/relationships/hyperlink" Target="http://hawksey.info/tagsexplorer/arc.html?key=1juyIQsnL_T8tqzfzAVVjPctB4eqiafTghnL_xhvkrjk&amp;gid=400689247&amp;screenname=SusanBayliss6" TargetMode="External"/><Relationship Id="rId1113" Type="http://schemas.openxmlformats.org/officeDocument/2006/relationships/hyperlink" Target="http://hawksey.info/tagsexplorer/arc.html?key=1juyIQsnL_T8tqzfzAVVjPctB4eqiafTghnL_xhvkrjk&amp;gid=400689247&amp;screenname=SusanJo43071601" TargetMode="External"/><Relationship Id="rId1103" Type="http://schemas.openxmlformats.org/officeDocument/2006/relationships/hyperlink" Target="http://hawksey.info/tagsexplorer/arc.html?key=1juyIQsnL_T8tqzfzAVVjPctB4eqiafTghnL_xhvkrjk&amp;gid=400689247&amp;screenname=SueKeen1" TargetMode="External"/><Relationship Id="rId1104" Type="http://schemas.openxmlformats.org/officeDocument/2006/relationships/hyperlink" Target="http://hawksey.info/tagsexplorer/arc.html?key=1juyIQsnL_T8tqzfzAVVjPctB4eqiafTghnL_xhvkrjk&amp;gid=400689247&amp;screenname=SuePayn40820522" TargetMode="External"/><Relationship Id="rId1105" Type="http://schemas.openxmlformats.org/officeDocument/2006/relationships/hyperlink" Target="http://hawksey.info/tagsexplorer/arc.html?key=1juyIQsnL_T8tqzfzAVVjPctB4eqiafTghnL_xhvkrjk&amp;gid=400689247&amp;screenname=Sukraine" TargetMode="External"/><Relationship Id="rId1106" Type="http://schemas.openxmlformats.org/officeDocument/2006/relationships/hyperlink" Target="http://hawksey.info/tagsexplorer/arc.html?key=1juyIQsnL_T8tqzfzAVVjPctB4eqiafTghnL_xhvkrjk&amp;gid=400689247&amp;screenname=SunandMoon15" TargetMode="External"/><Relationship Id="rId1107" Type="http://schemas.openxmlformats.org/officeDocument/2006/relationships/hyperlink" Target="http://hawksey.info/tagsexplorer/arc.html?key=1juyIQsnL_T8tqzfzAVVjPctB4eqiafTghnL_xhvkrjk&amp;gid=400689247&amp;screenname=Sunpoches" TargetMode="External"/><Relationship Id="rId1108" Type="http://schemas.openxmlformats.org/officeDocument/2006/relationships/hyperlink" Target="http://hawksey.info/tagsexplorer/arc.html?key=1juyIQsnL_T8tqzfzAVVjPctB4eqiafTghnL_xhvkrjk&amp;gid=400689247&amp;screenname=Superbusinesz" TargetMode="External"/><Relationship Id="rId1109" Type="http://schemas.openxmlformats.org/officeDocument/2006/relationships/hyperlink" Target="http://hawksey.info/tagsexplorer/arc.html?key=1juyIQsnL_T8tqzfzAVVjPctB4eqiafTghnL_xhvkrjk&amp;gid=400689247&amp;screenname=Superfind" TargetMode="External"/><Relationship Id="rId519" Type="http://schemas.openxmlformats.org/officeDocument/2006/relationships/hyperlink" Target="http://hawksey.info/tagsexplorer/arc.html?key=1juyIQsnL_T8tqzfzAVVjPctB4eqiafTghnL_xhvkrjk&amp;gid=400689247&amp;screenname=Iain643" TargetMode="External"/><Relationship Id="rId514" Type="http://schemas.openxmlformats.org/officeDocument/2006/relationships/hyperlink" Target="http://hawksey.info/tagsexplorer/arc.html?key=1juyIQsnL_T8tqzfzAVVjPctB4eqiafTghnL_xhvkrjk&amp;gid=400689247&amp;screenname=HuwpHuw" TargetMode="External"/><Relationship Id="rId513" Type="http://schemas.openxmlformats.org/officeDocument/2006/relationships/hyperlink" Target="http://hawksey.info/tagsexplorer/arc.html?key=1juyIQsnL_T8tqzfzAVVjPctB4eqiafTghnL_xhvkrjk&amp;gid=400689247&amp;screenname=HusseyMartin" TargetMode="External"/><Relationship Id="rId512" Type="http://schemas.openxmlformats.org/officeDocument/2006/relationships/hyperlink" Target="http://hawksey.info/tagsexplorer/arc.html?key=1juyIQsnL_T8tqzfzAVVjPctB4eqiafTghnL_xhvkrjk&amp;gid=400689247&amp;screenname=HurdlePaul" TargetMode="External"/><Relationship Id="rId511" Type="http://schemas.openxmlformats.org/officeDocument/2006/relationships/hyperlink" Target="http://hawksey.info/tagsexplorer/arc.html?key=1juyIQsnL_T8tqzfzAVVjPctB4eqiafTghnL_xhvkrjk&amp;gid=400689247&amp;screenname=Hubertelski" TargetMode="External"/><Relationship Id="rId518" Type="http://schemas.openxmlformats.org/officeDocument/2006/relationships/hyperlink" Target="http://hawksey.info/tagsexplorer/arc.html?key=1juyIQsnL_T8tqzfzAVVjPctB4eqiafTghnL_xhvkrjk&amp;gid=400689247&amp;screenname=INDalton" TargetMode="External"/><Relationship Id="rId517" Type="http://schemas.openxmlformats.org/officeDocument/2006/relationships/hyperlink" Target="http://hawksey.info/tagsexplorer/arc.html?key=1juyIQsnL_T8tqzfzAVVjPctB4eqiafTghnL_xhvkrjk&amp;gid=400689247&amp;screenname=IMSpardagus" TargetMode="External"/><Relationship Id="rId516" Type="http://schemas.openxmlformats.org/officeDocument/2006/relationships/hyperlink" Target="http://hawksey.info/tagsexplorer/arc.html?key=1juyIQsnL_T8tqzfzAVVjPctB4eqiafTghnL_xhvkrjk&amp;gid=400689247&amp;screenname=IMMFX" TargetMode="External"/><Relationship Id="rId515" Type="http://schemas.openxmlformats.org/officeDocument/2006/relationships/hyperlink" Target="http://hawksey.info/tagsexplorer/arc.html?key=1juyIQsnL_T8tqzfzAVVjPctB4eqiafTghnL_xhvkrjk&amp;gid=400689247&amp;screenname=Hyperion_PSN" TargetMode="External"/><Relationship Id="rId510" Type="http://schemas.openxmlformats.org/officeDocument/2006/relationships/hyperlink" Target="http://hawksey.info/tagsexplorer/arc.html?key=1juyIQsnL_T8tqzfzAVVjPctB4eqiafTghnL_xhvkrjk&amp;gid=400689247&amp;screenname=Horselessjane" TargetMode="External"/><Relationship Id="rId1100" Type="http://schemas.openxmlformats.org/officeDocument/2006/relationships/hyperlink" Target="http://hawksey.info/tagsexplorer/arc.html?key=1juyIQsnL_T8tqzfzAVVjPctB4eqiafTghnL_xhvkrjk&amp;gid=400689247&amp;screenname=Sue35497795" TargetMode="External"/><Relationship Id="rId1101" Type="http://schemas.openxmlformats.org/officeDocument/2006/relationships/hyperlink" Target="http://hawksey.info/tagsexplorer/arc.html?key=1juyIQsnL_T8tqzfzAVVjPctB4eqiafTghnL_xhvkrjk&amp;gid=400689247&amp;screenname=SueEvan74444692" TargetMode="External"/><Relationship Id="rId1102" Type="http://schemas.openxmlformats.org/officeDocument/2006/relationships/hyperlink" Target="http://hawksey.info/tagsexplorer/arc.html?key=1juyIQsnL_T8tqzfzAVVjPctB4eqiafTghnL_xhvkrjk&amp;gid=400689247&amp;screenname=SueHorsley7" TargetMode="External"/><Relationship Id="rId590" Type="http://schemas.openxmlformats.org/officeDocument/2006/relationships/hyperlink" Target="http://hawksey.info/tagsexplorer/arc.html?key=1juyIQsnL_T8tqzfzAVVjPctB4eqiafTghnL_xhvkrjk&amp;gid=400689247&amp;screenname=JimlennonLennon" TargetMode="External"/><Relationship Id="rId589" Type="http://schemas.openxmlformats.org/officeDocument/2006/relationships/hyperlink" Target="http://hawksey.info/tagsexplorer/arc.html?key=1juyIQsnL_T8tqzfzAVVjPctB4eqiafTghnL_xhvkrjk&amp;gid=400689247&amp;screenname=JimPybus" TargetMode="External"/><Relationship Id="rId588" Type="http://schemas.openxmlformats.org/officeDocument/2006/relationships/hyperlink" Target="http://hawksey.info/tagsexplorer/arc.html?key=1juyIQsnL_T8tqzfzAVVjPctB4eqiafTghnL_xhvkrjk&amp;gid=400689247&amp;screenname=JimCam73" TargetMode="External"/><Relationship Id="rId1170" Type="http://schemas.openxmlformats.org/officeDocument/2006/relationships/hyperlink" Target="http://hawksey.info/tagsexplorer/arc.html?key=1juyIQsnL_T8tqzfzAVVjPctB4eqiafTghnL_xhvkrjk&amp;gid=400689247&amp;screenname=ToucheAdrian" TargetMode="External"/><Relationship Id="rId1171" Type="http://schemas.openxmlformats.org/officeDocument/2006/relationships/hyperlink" Target="http://hawksey.info/tagsexplorer/arc.html?key=1juyIQsnL_T8tqzfzAVVjPctB4eqiafTghnL_xhvkrjk&amp;gid=400689247&amp;screenname=Towler" TargetMode="External"/><Relationship Id="rId583" Type="http://schemas.openxmlformats.org/officeDocument/2006/relationships/hyperlink" Target="http://hawksey.info/tagsexplorer/arc.html?key=1juyIQsnL_T8tqzfzAVVjPctB4eqiafTghnL_xhvkrjk&amp;gid=400689247&amp;screenname=JennyJones1313" TargetMode="External"/><Relationship Id="rId1172" Type="http://schemas.openxmlformats.org/officeDocument/2006/relationships/hyperlink" Target="http://hawksey.info/tagsexplorer/arc.html?key=1juyIQsnL_T8tqzfzAVVjPctB4eqiafTghnL_xhvkrjk&amp;gid=400689247&amp;screenname=TraceyAplin1" TargetMode="External"/><Relationship Id="rId582" Type="http://schemas.openxmlformats.org/officeDocument/2006/relationships/hyperlink" Target="http://hawksey.info/tagsexplorer/arc.html?key=1juyIQsnL_T8tqzfzAVVjPctB4eqiafTghnL_xhvkrjk&amp;gid=400689247&amp;screenname=JennyBrookfiel2" TargetMode="External"/><Relationship Id="rId1173" Type="http://schemas.openxmlformats.org/officeDocument/2006/relationships/hyperlink" Target="http://hawksey.info/tagsexplorer/arc.html?key=1juyIQsnL_T8tqzfzAVVjPctB4eqiafTghnL_xhvkrjk&amp;gid=400689247&amp;screenname=TransInfoENG1" TargetMode="External"/><Relationship Id="rId581" Type="http://schemas.openxmlformats.org/officeDocument/2006/relationships/hyperlink" Target="http://hawksey.info/tagsexplorer/arc.html?key=1juyIQsnL_T8tqzfzAVVjPctB4eqiafTghnL_xhvkrjk&amp;gid=400689247&amp;screenname=Jenkoranian" TargetMode="External"/><Relationship Id="rId1174" Type="http://schemas.openxmlformats.org/officeDocument/2006/relationships/hyperlink" Target="http://hawksey.info/tagsexplorer/arc.html?key=1juyIQsnL_T8tqzfzAVVjPctB4eqiafTghnL_xhvkrjk&amp;gid=400689247&amp;screenname=Treensy2" TargetMode="External"/><Relationship Id="rId580" Type="http://schemas.openxmlformats.org/officeDocument/2006/relationships/hyperlink" Target="http://hawksey.info/tagsexplorer/arc.html?key=1juyIQsnL_T8tqzfzAVVjPctB4eqiafTghnL_xhvkrjk&amp;gid=400689247&amp;screenname=JenFullick" TargetMode="External"/><Relationship Id="rId1175" Type="http://schemas.openxmlformats.org/officeDocument/2006/relationships/hyperlink" Target="http://hawksey.info/tagsexplorer/arc.html?key=1juyIQsnL_T8tqzfzAVVjPctB4eqiafTghnL_xhvkrjk&amp;gid=400689247&amp;screenname=TrevorWAllman" TargetMode="External"/><Relationship Id="rId587" Type="http://schemas.openxmlformats.org/officeDocument/2006/relationships/hyperlink" Target="http://hawksey.info/tagsexplorer/arc.html?key=1juyIQsnL_T8tqzfzAVVjPctB4eqiafTghnL_xhvkrjk&amp;gid=400689247&amp;screenname=JillWhisker" TargetMode="External"/><Relationship Id="rId1176" Type="http://schemas.openxmlformats.org/officeDocument/2006/relationships/hyperlink" Target="http://hawksey.info/tagsexplorer/arc.html?key=1juyIQsnL_T8tqzfzAVVjPctB4eqiafTghnL_xhvkrjk&amp;gid=400689247&amp;screenname=TribeIceni" TargetMode="External"/><Relationship Id="rId586" Type="http://schemas.openxmlformats.org/officeDocument/2006/relationships/hyperlink" Target="http://hawksey.info/tagsexplorer/arc.html?key=1juyIQsnL_T8tqzfzAVVjPctB4eqiafTghnL_xhvkrjk&amp;gid=400689247&amp;screenname=JillFox16" TargetMode="External"/><Relationship Id="rId1177" Type="http://schemas.openxmlformats.org/officeDocument/2006/relationships/hyperlink" Target="http://hawksey.info/tagsexplorer/arc.html?key=1juyIQsnL_T8tqzfzAVVjPctB4eqiafTghnL_xhvkrjk&amp;gid=400689247&amp;screenname=Tricky_1" TargetMode="External"/><Relationship Id="rId585" Type="http://schemas.openxmlformats.org/officeDocument/2006/relationships/hyperlink" Target="http://hawksey.info/tagsexplorer/arc.html?key=1juyIQsnL_T8tqzfzAVVjPctB4eqiafTghnL_xhvkrjk&amp;gid=400689247&amp;screenname=JetoxTV" TargetMode="External"/><Relationship Id="rId1178" Type="http://schemas.openxmlformats.org/officeDocument/2006/relationships/hyperlink" Target="http://hawksey.info/tagsexplorer/arc.html?key=1juyIQsnL_T8tqzfzAVVjPctB4eqiafTghnL_xhvkrjk&amp;gid=400689247&amp;screenname=Trisha81" TargetMode="External"/><Relationship Id="rId584" Type="http://schemas.openxmlformats.org/officeDocument/2006/relationships/hyperlink" Target="http://hawksey.info/tagsexplorer/arc.html?key=1juyIQsnL_T8tqzfzAVVjPctB4eqiafTghnL_xhvkrjk&amp;gid=400689247&amp;screenname=JervisKate" TargetMode="External"/><Relationship Id="rId1179" Type="http://schemas.openxmlformats.org/officeDocument/2006/relationships/hyperlink" Target="http://hawksey.info/tagsexplorer/arc.html?key=1juyIQsnL_T8tqzfzAVVjPctB4eqiafTghnL_xhvkrjk&amp;gid=400689247&amp;screenname=TristramWyatt" TargetMode="External"/><Relationship Id="rId1169" Type="http://schemas.openxmlformats.org/officeDocument/2006/relationships/hyperlink" Target="http://hawksey.info/tagsexplorer/arc.html?key=1juyIQsnL_T8tqzfzAVVjPctB4eqiafTghnL_xhvkrjk&amp;gid=400689247&amp;screenname=Tonytg806" TargetMode="External"/><Relationship Id="rId579" Type="http://schemas.openxmlformats.org/officeDocument/2006/relationships/hyperlink" Target="http://hawksey.info/tagsexplorer/arc.html?key=1juyIQsnL_T8tqzfzAVVjPctB4eqiafTghnL_xhvkrjk&amp;gid=400689247&amp;screenname=Jeancol58961620" TargetMode="External"/><Relationship Id="rId578" Type="http://schemas.openxmlformats.org/officeDocument/2006/relationships/hyperlink" Target="http://hawksey.info/tagsexplorer/arc.html?key=1juyIQsnL_T8tqzfzAVVjPctB4eqiafTghnL_xhvkrjk&amp;gid=400689247&amp;screenname=JeanRowe2" TargetMode="External"/><Relationship Id="rId577" Type="http://schemas.openxmlformats.org/officeDocument/2006/relationships/hyperlink" Target="http://hawksey.info/tagsexplorer/arc.html?key=1juyIQsnL_T8tqzfzAVVjPctB4eqiafTghnL_xhvkrjk&amp;gid=400689247&amp;screenname=JeanRognetta" TargetMode="External"/><Relationship Id="rId1160" Type="http://schemas.openxmlformats.org/officeDocument/2006/relationships/hyperlink" Target="http://hawksey.info/tagsexplorer/arc.html?key=1juyIQsnL_T8tqzfzAVVjPctB4eqiafTghnL_xhvkrjk&amp;gid=400689247&amp;screenname=TimInSuffolk" TargetMode="External"/><Relationship Id="rId572" Type="http://schemas.openxmlformats.org/officeDocument/2006/relationships/hyperlink" Target="http://hawksey.info/tagsexplorer/arc.html?key=1juyIQsnL_T8tqzfzAVVjPctB4eqiafTghnL_xhvkrjk&amp;gid=400689247&amp;screenname=Jasondgoode" TargetMode="External"/><Relationship Id="rId1161" Type="http://schemas.openxmlformats.org/officeDocument/2006/relationships/hyperlink" Target="http://hawksey.info/tagsexplorer/arc.html?key=1juyIQsnL_T8tqzfzAVVjPctB4eqiafTghnL_xhvkrjk&amp;gid=400689247&amp;screenname=TippettMatthew" TargetMode="External"/><Relationship Id="rId571" Type="http://schemas.openxmlformats.org/officeDocument/2006/relationships/hyperlink" Target="http://hawksey.info/tagsexplorer/arc.html?key=1juyIQsnL_T8tqzfzAVVjPctB4eqiafTghnL_xhvkrjk&amp;gid=400689247&amp;screenname=JasonHazeley" TargetMode="External"/><Relationship Id="rId1162" Type="http://schemas.openxmlformats.org/officeDocument/2006/relationships/hyperlink" Target="http://hawksey.info/tagsexplorer/arc.html?key=1juyIQsnL_T8tqzfzAVVjPctB4eqiafTghnL_xhvkrjk&amp;gid=400689247&amp;screenname=TomFriang" TargetMode="External"/><Relationship Id="rId570" Type="http://schemas.openxmlformats.org/officeDocument/2006/relationships/hyperlink" Target="http://hawksey.info/tagsexplorer/arc.html?key=1juyIQsnL_T8tqzfzAVVjPctB4eqiafTghnL_xhvkrjk&amp;gid=400689247&amp;screenname=JasmineIshika" TargetMode="External"/><Relationship Id="rId1163" Type="http://schemas.openxmlformats.org/officeDocument/2006/relationships/hyperlink" Target="http://hawksey.info/tagsexplorer/arc.html?key=1juyIQsnL_T8tqzfzAVVjPctB4eqiafTghnL_xhvkrjk&amp;gid=400689247&amp;screenname=TomGoodfellow" TargetMode="External"/><Relationship Id="rId1164" Type="http://schemas.openxmlformats.org/officeDocument/2006/relationships/hyperlink" Target="http://hawksey.info/tagsexplorer/arc.html?key=1juyIQsnL_T8tqzfzAVVjPctB4eqiafTghnL_xhvkrjk&amp;gid=400689247&amp;screenname=Tom_StCroix" TargetMode="External"/><Relationship Id="rId576" Type="http://schemas.openxmlformats.org/officeDocument/2006/relationships/hyperlink" Target="http://hawksey.info/tagsexplorer/arc.html?key=1juyIQsnL_T8tqzfzAVVjPctB4eqiafTghnL_xhvkrjk&amp;gid=400689247&amp;screenname=JazzySid" TargetMode="External"/><Relationship Id="rId1165" Type="http://schemas.openxmlformats.org/officeDocument/2006/relationships/hyperlink" Target="http://hawksey.info/tagsexplorer/arc.html?key=1juyIQsnL_T8tqzfzAVVjPctB4eqiafTghnL_xhvkrjk&amp;gid=400689247&amp;screenname=TommysDaddy" TargetMode="External"/><Relationship Id="rId575" Type="http://schemas.openxmlformats.org/officeDocument/2006/relationships/hyperlink" Target="http://hawksey.info/tagsexplorer/arc.html?key=1juyIQsnL_T8tqzfzAVVjPctB4eqiafTghnL_xhvkrjk&amp;gid=400689247&amp;screenname=JayneCallagha10" TargetMode="External"/><Relationship Id="rId1166" Type="http://schemas.openxmlformats.org/officeDocument/2006/relationships/hyperlink" Target="http://hawksey.info/tagsexplorer/arc.html?key=1juyIQsnL_T8tqzfzAVVjPctB4eqiafTghnL_xhvkrjk&amp;gid=400689247&amp;screenname=Tomster72" TargetMode="External"/><Relationship Id="rId574" Type="http://schemas.openxmlformats.org/officeDocument/2006/relationships/hyperlink" Target="http://hawksey.info/tagsexplorer/arc.html?key=1juyIQsnL_T8tqzfzAVVjPctB4eqiafTghnL_xhvkrjk&amp;gid=400689247&amp;screenname=Jaymorton8" TargetMode="External"/><Relationship Id="rId1167" Type="http://schemas.openxmlformats.org/officeDocument/2006/relationships/hyperlink" Target="http://hawksey.info/tagsexplorer/arc.html?key=1juyIQsnL_T8tqzfzAVVjPctB4eqiafTghnL_xhvkrjk&amp;gid=400689247&amp;screenname=TonyGentGD1" TargetMode="External"/><Relationship Id="rId573" Type="http://schemas.openxmlformats.org/officeDocument/2006/relationships/hyperlink" Target="http://hawksey.info/tagsexplorer/arc.html?key=1juyIQsnL_T8tqzfzAVVjPctB4eqiafTghnL_xhvkrjk&amp;gid=400689247&amp;screenname=Jaybronwenhall" TargetMode="External"/><Relationship Id="rId1168" Type="http://schemas.openxmlformats.org/officeDocument/2006/relationships/hyperlink" Target="http://hawksey.info/tagsexplorer/arc.html?key=1juyIQsnL_T8tqzfzAVVjPctB4eqiafTghnL_xhvkrjk&amp;gid=400689247&amp;screenname=TonySch71961942" TargetMode="External"/><Relationship Id="rId1190" Type="http://schemas.openxmlformats.org/officeDocument/2006/relationships/hyperlink" Target="http://hawksey.info/tagsexplorer/arc.html?key=1juyIQsnL_T8tqzfzAVVjPctB4eqiafTghnL_xhvkrjk&amp;gid=400689247&amp;screenname=Unsilversurfer" TargetMode="External"/><Relationship Id="rId1191" Type="http://schemas.openxmlformats.org/officeDocument/2006/relationships/hyperlink" Target="http://hawksey.info/tagsexplorer/arc.html?key=1juyIQsnL_T8tqzfzAVVjPctB4eqiafTghnL_xhvkrjk&amp;gid=400689247&amp;screenname=UrsusClan" TargetMode="External"/><Relationship Id="rId1192" Type="http://schemas.openxmlformats.org/officeDocument/2006/relationships/hyperlink" Target="http://hawksey.info/tagsexplorer/arc.html?key=1juyIQsnL_T8tqzfzAVVjPctB4eqiafTghnL_xhvkrjk&amp;gid=400689247&amp;screenname=Usernamesake" TargetMode="External"/><Relationship Id="rId1193" Type="http://schemas.openxmlformats.org/officeDocument/2006/relationships/hyperlink" Target="http://hawksey.info/tagsexplorer/arc.html?key=1juyIQsnL_T8tqzfzAVVjPctB4eqiafTghnL_xhvkrjk&amp;gid=400689247&amp;screenname=VEverettmfl" TargetMode="External"/><Relationship Id="rId1194" Type="http://schemas.openxmlformats.org/officeDocument/2006/relationships/hyperlink" Target="http://hawksey.info/tagsexplorer/arc.html?key=1juyIQsnL_T8tqzfzAVVjPctB4eqiafTghnL_xhvkrjk&amp;gid=400689247&amp;screenname=VSnodin" TargetMode="External"/><Relationship Id="rId1195" Type="http://schemas.openxmlformats.org/officeDocument/2006/relationships/hyperlink" Target="http://hawksey.info/tagsexplorer/arc.html?key=1juyIQsnL_T8tqzfzAVVjPctB4eqiafTghnL_xhvkrjk&amp;gid=400689247&amp;screenname=V_partners" TargetMode="External"/><Relationship Id="rId1196" Type="http://schemas.openxmlformats.org/officeDocument/2006/relationships/hyperlink" Target="http://hawksey.info/tagsexplorer/arc.html?key=1juyIQsnL_T8tqzfzAVVjPctB4eqiafTghnL_xhvkrjk&amp;gid=400689247&amp;screenname=Val_Do" TargetMode="External"/><Relationship Id="rId1197" Type="http://schemas.openxmlformats.org/officeDocument/2006/relationships/hyperlink" Target="http://hawksey.info/tagsexplorer/arc.html?key=1juyIQsnL_T8tqzfzAVVjPctB4eqiafTghnL_xhvkrjk&amp;gid=400689247&amp;screenname=ValerieJStorm" TargetMode="External"/><Relationship Id="rId1198" Type="http://schemas.openxmlformats.org/officeDocument/2006/relationships/hyperlink" Target="http://hawksey.info/tagsexplorer/arc.html?key=1juyIQsnL_T8tqzfzAVVjPctB4eqiafTghnL_xhvkrjk&amp;gid=400689247&amp;screenname=VanDutchmanXXX" TargetMode="External"/><Relationship Id="rId1199" Type="http://schemas.openxmlformats.org/officeDocument/2006/relationships/hyperlink" Target="http://hawksey.info/tagsexplorer/arc.html?key=1juyIQsnL_T8tqzfzAVVjPctB4eqiafTghnL_xhvkrjk&amp;gid=400689247&amp;screenname=VanesEtim" TargetMode="External"/><Relationship Id="rId599" Type="http://schemas.openxmlformats.org/officeDocument/2006/relationships/hyperlink" Target="http://hawksey.info/tagsexplorer/arc.html?key=1juyIQsnL_T8tqzfzAVVjPctB4eqiafTghnL_xhvkrjk&amp;gid=400689247&amp;screenname=Joey_brexit_dog" TargetMode="External"/><Relationship Id="rId1180" Type="http://schemas.openxmlformats.org/officeDocument/2006/relationships/hyperlink" Target="http://hawksey.info/tagsexplorer/arc.html?key=1juyIQsnL_T8tqzfzAVVjPctB4eqiafTghnL_xhvkrjk&amp;gid=400689247&amp;screenname=TrowsdaleGary" TargetMode="External"/><Relationship Id="rId1181" Type="http://schemas.openxmlformats.org/officeDocument/2006/relationships/hyperlink" Target="http://hawksey.info/tagsexplorer/arc.html?key=1juyIQsnL_T8tqzfzAVVjPctB4eqiafTghnL_xhvkrjk&amp;gid=400689247&amp;screenname=Truthmeister01" TargetMode="External"/><Relationship Id="rId1182" Type="http://schemas.openxmlformats.org/officeDocument/2006/relationships/hyperlink" Target="http://hawksey.info/tagsexplorer/arc.html?key=1juyIQsnL_T8tqzfzAVVjPctB4eqiafTghnL_xhvkrjk&amp;gid=400689247&amp;screenname=Turner_PhD" TargetMode="External"/><Relationship Id="rId594" Type="http://schemas.openxmlformats.org/officeDocument/2006/relationships/hyperlink" Target="http://hawksey.info/tagsexplorer/arc.html?key=1juyIQsnL_T8tqzfzAVVjPctB4eqiafTghnL_xhvkrjk&amp;gid=400689247&amp;screenname=JoPeacock16" TargetMode="External"/><Relationship Id="rId1183" Type="http://schemas.openxmlformats.org/officeDocument/2006/relationships/hyperlink" Target="http://hawksey.info/tagsexplorer/arc.html?key=1juyIQsnL_T8tqzfzAVVjPctB4eqiafTghnL_xhvkrjk&amp;gid=400689247&amp;screenname=UH60Andy" TargetMode="External"/><Relationship Id="rId593" Type="http://schemas.openxmlformats.org/officeDocument/2006/relationships/hyperlink" Target="http://hawksey.info/tagsexplorer/arc.html?key=1juyIQsnL_T8tqzfzAVVjPctB4eqiafTghnL_xhvkrjk&amp;gid=400689247&amp;screenname=JoBail5" TargetMode="External"/><Relationship Id="rId1184" Type="http://schemas.openxmlformats.org/officeDocument/2006/relationships/hyperlink" Target="http://hawksey.info/tagsexplorer/arc.html?key=1juyIQsnL_T8tqzfzAVVjPctB4eqiafTghnL_xhvkrjk&amp;gid=400689247&amp;screenname=UKandEU" TargetMode="External"/><Relationship Id="rId592" Type="http://schemas.openxmlformats.org/officeDocument/2006/relationships/hyperlink" Target="http://hawksey.info/tagsexplorer/arc.html?key=1juyIQsnL_T8tqzfzAVVjPctB4eqiafTghnL_xhvkrjk&amp;gid=400689247&amp;screenname=Jms7777Justin" TargetMode="External"/><Relationship Id="rId1185" Type="http://schemas.openxmlformats.org/officeDocument/2006/relationships/hyperlink" Target="http://hawksey.info/tagsexplorer/arc.html?key=1juyIQsnL_T8tqzfzAVVjPctB4eqiafTghnL_xhvkrjk&amp;gid=400689247&amp;screenname=Uber_Rat" TargetMode="External"/><Relationship Id="rId591" Type="http://schemas.openxmlformats.org/officeDocument/2006/relationships/hyperlink" Target="http://hawksey.info/tagsexplorer/arc.html?key=1juyIQsnL_T8tqzfzAVVjPctB4eqiafTghnL_xhvkrjk&amp;gid=400689247&amp;screenname=JimmyCoats4" TargetMode="External"/><Relationship Id="rId1186" Type="http://schemas.openxmlformats.org/officeDocument/2006/relationships/hyperlink" Target="http://hawksey.info/tagsexplorer/arc.html?key=1juyIQsnL_T8tqzfzAVVjPctB4eqiafTghnL_xhvkrjk&amp;gid=400689247&amp;screenname=Ulkopolitist" TargetMode="External"/><Relationship Id="rId598" Type="http://schemas.openxmlformats.org/officeDocument/2006/relationships/hyperlink" Target="http://hawksey.info/tagsexplorer/arc.html?key=1juyIQsnL_T8tqzfzAVVjPctB4eqiafTghnL_xhvkrjk&amp;gid=400689247&amp;screenname=JoelRouvinen" TargetMode="External"/><Relationship Id="rId1187" Type="http://schemas.openxmlformats.org/officeDocument/2006/relationships/hyperlink" Target="http://hawksey.info/tagsexplorer/arc.html?key=1juyIQsnL_T8tqzfzAVVjPctB4eqiafTghnL_xhvkrjk&amp;gid=400689247&amp;screenname=UncleBobW" TargetMode="External"/><Relationship Id="rId597" Type="http://schemas.openxmlformats.org/officeDocument/2006/relationships/hyperlink" Target="http://hawksey.info/tagsexplorer/arc.html?key=1juyIQsnL_T8tqzfzAVVjPctB4eqiafTghnL_xhvkrjk&amp;gid=400689247&amp;screenname=JoeLucking66" TargetMode="External"/><Relationship Id="rId1188" Type="http://schemas.openxmlformats.org/officeDocument/2006/relationships/hyperlink" Target="http://hawksey.info/tagsexplorer/arc.html?key=1juyIQsnL_T8tqzfzAVVjPctB4eqiafTghnL_xhvkrjk&amp;gid=400689247&amp;screenname=UnicornChettiar" TargetMode="External"/><Relationship Id="rId596" Type="http://schemas.openxmlformats.org/officeDocument/2006/relationships/hyperlink" Target="http://hawksey.info/tagsexplorer/arc.html?key=1juyIQsnL_T8tqzfzAVVjPctB4eqiafTghnL_xhvkrjk&amp;gid=400689247&amp;screenname=JoeCatcheside" TargetMode="External"/><Relationship Id="rId1189" Type="http://schemas.openxmlformats.org/officeDocument/2006/relationships/hyperlink" Target="http://hawksey.info/tagsexplorer/arc.html?key=1juyIQsnL_T8tqzfzAVVjPctB4eqiafTghnL_xhvkrjk&amp;gid=400689247&amp;screenname=UnpubWrites" TargetMode="External"/><Relationship Id="rId595" Type="http://schemas.openxmlformats.org/officeDocument/2006/relationships/hyperlink" Target="http://hawksey.info/tagsexplorer/arc.html?key=1juyIQsnL_T8tqzfzAVVjPctB4eqiafTghnL_xhvkrjk&amp;gid=400689247&amp;screenname=JoRichardsKent" TargetMode="External"/><Relationship Id="rId1136" Type="http://schemas.openxmlformats.org/officeDocument/2006/relationships/hyperlink" Target="http://hawksey.info/tagsexplorer/arc.html?key=1juyIQsnL_T8tqzfzAVVjPctB4eqiafTghnL_xhvkrjk&amp;gid=400689247&amp;screenname=TessaDo45654514" TargetMode="External"/><Relationship Id="rId1137" Type="http://schemas.openxmlformats.org/officeDocument/2006/relationships/hyperlink" Target="http://hawksey.info/tagsexplorer/arc.html?key=1juyIQsnL_T8tqzfzAVVjPctB4eqiafTghnL_xhvkrjk&amp;gid=400689247&amp;screenname=ThanGenghisKhan" TargetMode="External"/><Relationship Id="rId1138" Type="http://schemas.openxmlformats.org/officeDocument/2006/relationships/hyperlink" Target="http://hawksey.info/tagsexplorer/arc.html?key=1juyIQsnL_T8tqzfzAVVjPctB4eqiafTghnL_xhvkrjk&amp;gid=400689247&amp;screenname=ThatCarterBlunt" TargetMode="External"/><Relationship Id="rId1139" Type="http://schemas.openxmlformats.org/officeDocument/2006/relationships/hyperlink" Target="http://hawksey.info/tagsexplorer/arc.html?key=1juyIQsnL_T8tqzfzAVVjPctB4eqiafTghnL_xhvkrjk&amp;gid=400689247&amp;screenname=TheAlexHughes" TargetMode="External"/><Relationship Id="rId547" Type="http://schemas.openxmlformats.org/officeDocument/2006/relationships/hyperlink" Target="http://hawksey.info/tagsexplorer/arc.html?key=1juyIQsnL_T8tqzfzAVVjPctB4eqiafTghnL_xhvkrjk&amp;gid=400689247&amp;screenname=JJSum" TargetMode="External"/><Relationship Id="rId546" Type="http://schemas.openxmlformats.org/officeDocument/2006/relationships/hyperlink" Target="http://hawksey.info/tagsexplorer/arc.html?key=1juyIQsnL_T8tqzfzAVVjPctB4eqiafTghnL_xhvkrjk&amp;gid=400689247&amp;screenname=JE_Hillier" TargetMode="External"/><Relationship Id="rId545" Type="http://schemas.openxmlformats.org/officeDocument/2006/relationships/hyperlink" Target="http://hawksey.info/tagsexplorer/arc.html?key=1juyIQsnL_T8tqzfzAVVjPctB4eqiafTghnL_xhvkrjk&amp;gid=400689247&amp;screenname=JCharrison" TargetMode="External"/><Relationship Id="rId544" Type="http://schemas.openxmlformats.org/officeDocument/2006/relationships/hyperlink" Target="http://hawksey.info/tagsexplorer/arc.html?key=1juyIQsnL_T8tqzfzAVVjPctB4eqiafTghnL_xhvkrjk&amp;gid=400689247&amp;screenname=JBazzard" TargetMode="External"/><Relationship Id="rId549" Type="http://schemas.openxmlformats.org/officeDocument/2006/relationships/hyperlink" Target="http://hawksey.info/tagsexplorer/arc.html?key=1juyIQsnL_T8tqzfzAVVjPctB4eqiafTghnL_xhvkrjk&amp;gid=400689247&amp;screenname=JKLDNMAD" TargetMode="External"/><Relationship Id="rId548" Type="http://schemas.openxmlformats.org/officeDocument/2006/relationships/hyperlink" Target="http://hawksey.info/tagsexplorer/arc.html?key=1juyIQsnL_T8tqzfzAVVjPctB4eqiafTghnL_xhvkrjk&amp;gid=400689247&amp;screenname=JJ_Enchanted" TargetMode="External"/><Relationship Id="rId1130" Type="http://schemas.openxmlformats.org/officeDocument/2006/relationships/hyperlink" Target="http://hawksey.info/tagsexplorer/arc.html?key=1juyIQsnL_T8tqzfzAVVjPctB4eqiafTghnL_xhvkrjk&amp;gid=400689247&amp;screenname=Tbuthfer" TargetMode="External"/><Relationship Id="rId1131" Type="http://schemas.openxmlformats.org/officeDocument/2006/relationships/hyperlink" Target="http://hawksey.info/tagsexplorer/arc.html?key=1juyIQsnL_T8tqzfzAVVjPctB4eqiafTghnL_xhvkrjk&amp;gid=400689247&amp;screenname=TeachganAinm" TargetMode="External"/><Relationship Id="rId543" Type="http://schemas.openxmlformats.org/officeDocument/2006/relationships/hyperlink" Target="http://hawksey.info/tagsexplorer/arc.html?key=1juyIQsnL_T8tqzfzAVVjPctB4eqiafTghnL_xhvkrjk&amp;gid=400689247&amp;screenname=JB_CFFire" TargetMode="External"/><Relationship Id="rId1132" Type="http://schemas.openxmlformats.org/officeDocument/2006/relationships/hyperlink" Target="http://hawksey.info/tagsexplorer/arc.html?key=1juyIQsnL_T8tqzfzAVVjPctB4eqiafTghnL_xhvkrjk&amp;gid=400689247&amp;screenname=Tedestrela" TargetMode="External"/><Relationship Id="rId542" Type="http://schemas.openxmlformats.org/officeDocument/2006/relationships/hyperlink" Target="http://hawksey.info/tagsexplorer/arc.html?key=1juyIQsnL_T8tqzfzAVVjPctB4eqiafTghnL_xhvkrjk&amp;gid=400689247&amp;screenname=JBKilpatrick" TargetMode="External"/><Relationship Id="rId1133" Type="http://schemas.openxmlformats.org/officeDocument/2006/relationships/hyperlink" Target="http://hawksey.info/tagsexplorer/arc.html?key=1juyIQsnL_T8tqzfzAVVjPctB4eqiafTghnL_xhvkrjk&amp;gid=400689247&amp;screenname=Telecast1958" TargetMode="External"/><Relationship Id="rId541" Type="http://schemas.openxmlformats.org/officeDocument/2006/relationships/hyperlink" Target="http://hawksey.info/tagsexplorer/arc.html?key=1juyIQsnL_T8tqzfzAVVjPctB4eqiafTghnL_xhvkrjk&amp;gid=400689247&amp;screenname=Izzy92651441" TargetMode="External"/><Relationship Id="rId1134" Type="http://schemas.openxmlformats.org/officeDocument/2006/relationships/hyperlink" Target="http://hawksey.info/tagsexplorer/arc.html?key=1juyIQsnL_T8tqzfzAVVjPctB4eqiafTghnL_xhvkrjk&amp;gid=400689247&amp;screenname=TeresaWeath" TargetMode="External"/><Relationship Id="rId540" Type="http://schemas.openxmlformats.org/officeDocument/2006/relationships/hyperlink" Target="http://hawksey.info/tagsexplorer/arc.html?key=1juyIQsnL_T8tqzfzAVVjPctB4eqiafTghnL_xhvkrjk&amp;gid=400689247&amp;screenname=IvanKlass_" TargetMode="External"/><Relationship Id="rId1135" Type="http://schemas.openxmlformats.org/officeDocument/2006/relationships/hyperlink" Target="http://hawksey.info/tagsexplorer/arc.html?key=1juyIQsnL_T8tqzfzAVVjPctB4eqiafTghnL_xhvkrjk&amp;gid=400689247&amp;screenname=TerryBush14" TargetMode="External"/><Relationship Id="rId1125" Type="http://schemas.openxmlformats.org/officeDocument/2006/relationships/hyperlink" Target="http://hawksey.info/tagsexplorer/arc.html?key=1juyIQsnL_T8tqzfzAVVjPctB4eqiafTghnL_xhvkrjk&amp;gid=400689247&amp;screenname=TalktoBeverley" TargetMode="External"/><Relationship Id="rId1126" Type="http://schemas.openxmlformats.org/officeDocument/2006/relationships/hyperlink" Target="http://hawksey.info/tagsexplorer/arc.html?key=1juyIQsnL_T8tqzfzAVVjPctB4eqiafTghnL_xhvkrjk&amp;gid=400689247&amp;screenname=Tallestpurpl" TargetMode="External"/><Relationship Id="rId1127" Type="http://schemas.openxmlformats.org/officeDocument/2006/relationships/hyperlink" Target="http://hawksey.info/tagsexplorer/arc.html?key=1juyIQsnL_T8tqzfzAVVjPctB4eqiafTghnL_xhvkrjk&amp;gid=400689247&amp;screenname=TaraOCo38612075" TargetMode="External"/><Relationship Id="rId1128" Type="http://schemas.openxmlformats.org/officeDocument/2006/relationships/hyperlink" Target="http://hawksey.info/tagsexplorer/arc.html?key=1juyIQsnL_T8tqzfzAVVjPctB4eqiafTghnL_xhvkrjk&amp;gid=400689247&amp;screenname=TaskerDavid" TargetMode="External"/><Relationship Id="rId1129" Type="http://schemas.openxmlformats.org/officeDocument/2006/relationships/hyperlink" Target="http://hawksey.info/tagsexplorer/arc.html?key=1juyIQsnL_T8tqzfzAVVjPctB4eqiafTghnL_xhvkrjk&amp;gid=400689247&amp;screenname=TassGpops" TargetMode="External"/><Relationship Id="rId536" Type="http://schemas.openxmlformats.org/officeDocument/2006/relationships/hyperlink" Target="http://hawksey.info/tagsexplorer/arc.html?key=1juyIQsnL_T8tqzfzAVVjPctB4eqiafTghnL_xhvkrjk&amp;gid=400689247&amp;screenname=IslandNumber" TargetMode="External"/><Relationship Id="rId535" Type="http://schemas.openxmlformats.org/officeDocument/2006/relationships/hyperlink" Target="http://hawksey.info/tagsexplorer/arc.html?key=1juyIQsnL_T8tqzfzAVVjPctB4eqiafTghnL_xhvkrjk&amp;gid=400689247&amp;screenname=InlimboV" TargetMode="External"/><Relationship Id="rId534" Type="http://schemas.openxmlformats.org/officeDocument/2006/relationships/hyperlink" Target="http://hawksey.info/tagsexplorer/arc.html?key=1juyIQsnL_T8tqzfzAVVjPctB4eqiafTghnL_xhvkrjk&amp;gid=400689247&amp;screenname=Infrared_44" TargetMode="External"/><Relationship Id="rId533" Type="http://schemas.openxmlformats.org/officeDocument/2006/relationships/hyperlink" Target="http://hawksey.info/tagsexplorer/arc.html?key=1juyIQsnL_T8tqzfzAVVjPctB4eqiafTghnL_xhvkrjk&amp;gid=400689247&amp;screenname=Infatuatedmd" TargetMode="External"/><Relationship Id="rId539" Type="http://schemas.openxmlformats.org/officeDocument/2006/relationships/hyperlink" Target="http://hawksey.info/tagsexplorer/arc.html?key=1juyIQsnL_T8tqzfzAVVjPctB4eqiafTghnL_xhvkrjk&amp;gid=400689247&amp;screenname=Itsuvoman" TargetMode="External"/><Relationship Id="rId538" Type="http://schemas.openxmlformats.org/officeDocument/2006/relationships/hyperlink" Target="http://hawksey.info/tagsexplorer/arc.html?key=1juyIQsnL_T8tqzfzAVVjPctB4eqiafTghnL_xhvkrjk&amp;gid=400689247&amp;screenname=Isobel599818011" TargetMode="External"/><Relationship Id="rId537" Type="http://schemas.openxmlformats.org/officeDocument/2006/relationships/hyperlink" Target="http://hawksey.info/tagsexplorer/arc.html?key=1juyIQsnL_T8tqzfzAVVjPctB4eqiafTghnL_xhvkrjk&amp;gid=400689247&amp;screenname=IslingtonPierre" TargetMode="External"/><Relationship Id="rId1120" Type="http://schemas.openxmlformats.org/officeDocument/2006/relationships/hyperlink" Target="http://hawksey.info/tagsexplorer/arc.html?key=1juyIQsnL_T8tqzfzAVVjPctB4eqiafTghnL_xhvkrjk&amp;gid=400689247&amp;screenname=TBHonestlizz" TargetMode="External"/><Relationship Id="rId532" Type="http://schemas.openxmlformats.org/officeDocument/2006/relationships/hyperlink" Target="http://hawksey.info/tagsexplorer/arc.html?key=1juyIQsnL_T8tqzfzAVVjPctB4eqiafTghnL_xhvkrjk&amp;gid=400689247&amp;screenname=IndyVoices" TargetMode="External"/><Relationship Id="rId1121" Type="http://schemas.openxmlformats.org/officeDocument/2006/relationships/hyperlink" Target="http://hawksey.info/tagsexplorer/arc.html?key=1juyIQsnL_T8tqzfzAVVjPctB4eqiafTghnL_xhvkrjk&amp;gid=400689247&amp;screenname=TFpgbp" TargetMode="External"/><Relationship Id="rId531" Type="http://schemas.openxmlformats.org/officeDocument/2006/relationships/hyperlink" Target="http://hawksey.info/tagsexplorer/arc.html?key=1juyIQsnL_T8tqzfzAVVjPctB4eqiafTghnL_xhvkrjk&amp;gid=400689247&amp;screenname=IndyGraceland" TargetMode="External"/><Relationship Id="rId1122" Type="http://schemas.openxmlformats.org/officeDocument/2006/relationships/hyperlink" Target="http://hawksey.info/tagsexplorer/arc.html?key=1juyIQsnL_T8tqzfzAVVjPctB4eqiafTghnL_xhvkrjk&amp;gid=400689247&amp;screenname=TK_Golf_Buys" TargetMode="External"/><Relationship Id="rId530" Type="http://schemas.openxmlformats.org/officeDocument/2006/relationships/hyperlink" Target="http://hawksey.info/tagsexplorer/arc.html?key=1juyIQsnL_T8tqzfzAVVjPctB4eqiafTghnL_xhvkrjk&amp;gid=400689247&amp;screenname=InaudibleMum" TargetMode="External"/><Relationship Id="rId1123" Type="http://schemas.openxmlformats.org/officeDocument/2006/relationships/hyperlink" Target="http://hawksey.info/tagsexplorer/arc.html?key=1juyIQsnL_T8tqzfzAVVjPctB4eqiafTghnL_xhvkrjk&amp;gid=400689247&amp;screenname=TLNnieuws" TargetMode="External"/><Relationship Id="rId1124" Type="http://schemas.openxmlformats.org/officeDocument/2006/relationships/hyperlink" Target="http://hawksey.info/tagsexplorer/arc.html?key=1juyIQsnL_T8tqzfzAVVjPctB4eqiafTghnL_xhvkrjk&amp;gid=400689247&amp;screenname=Tah72388211" TargetMode="External"/><Relationship Id="rId1158" Type="http://schemas.openxmlformats.org/officeDocument/2006/relationships/hyperlink" Target="http://hawksey.info/tagsexplorer/arc.html?key=1juyIQsnL_T8tqzfzAVVjPctB4eqiafTghnL_xhvkrjk&amp;gid=400689247&amp;screenname=Tighnacoille" TargetMode="External"/><Relationship Id="rId1159" Type="http://schemas.openxmlformats.org/officeDocument/2006/relationships/hyperlink" Target="http://hawksey.info/tagsexplorer/arc.html?key=1juyIQsnL_T8tqzfzAVVjPctB4eqiafTghnL_xhvkrjk&amp;gid=400689247&amp;screenname=TimCR_Baker" TargetMode="External"/><Relationship Id="rId569" Type="http://schemas.openxmlformats.org/officeDocument/2006/relationships/hyperlink" Target="http://hawksey.info/tagsexplorer/arc.html?key=1juyIQsnL_T8tqzfzAVVjPctB4eqiafTghnL_xhvkrjk&amp;gid=400689247&amp;screenname=JanineMcNair" TargetMode="External"/><Relationship Id="rId568" Type="http://schemas.openxmlformats.org/officeDocument/2006/relationships/hyperlink" Target="http://hawksey.info/tagsexplorer/arc.html?key=1juyIQsnL_T8tqzfzAVVjPctB4eqiafTghnL_xhvkrjk&amp;gid=400689247&amp;screenname=Janec2011" TargetMode="External"/><Relationship Id="rId567" Type="http://schemas.openxmlformats.org/officeDocument/2006/relationships/hyperlink" Target="http://hawksey.info/tagsexplorer/arc.html?key=1juyIQsnL_T8tqzfzAVVjPctB4eqiafTghnL_xhvkrjk&amp;gid=400689247&amp;screenname=JaneTurner101" TargetMode="External"/><Relationship Id="rId566" Type="http://schemas.openxmlformats.org/officeDocument/2006/relationships/hyperlink" Target="http://hawksey.info/tagsexplorer/arc.html?key=1juyIQsnL_T8tqzfzAVVjPctB4eqiafTghnL_xhvkrjk&amp;gid=400689247&amp;screenname=JaneLockwood18" TargetMode="External"/><Relationship Id="rId561" Type="http://schemas.openxmlformats.org/officeDocument/2006/relationships/hyperlink" Target="http://hawksey.info/tagsexplorer/arc.html?key=1juyIQsnL_T8tqzfzAVVjPctB4eqiafTghnL_xhvkrjk&amp;gid=400689247&amp;screenname=Jackiem62275317" TargetMode="External"/><Relationship Id="rId1150" Type="http://schemas.openxmlformats.org/officeDocument/2006/relationships/hyperlink" Target="http://hawksey.info/tagsexplorer/arc.html?key=1juyIQsnL_T8tqzfzAVVjPctB4eqiafTghnL_xhvkrjk&amp;gid=400689247&amp;screenname=TheSirFin" TargetMode="External"/><Relationship Id="rId560" Type="http://schemas.openxmlformats.org/officeDocument/2006/relationships/hyperlink" Target="http://hawksey.info/tagsexplorer/arc.html?key=1juyIQsnL_T8tqzfzAVVjPctB4eqiafTghnL_xhvkrjk&amp;gid=400689247&amp;screenname=Jackcdawes" TargetMode="External"/><Relationship Id="rId1151" Type="http://schemas.openxmlformats.org/officeDocument/2006/relationships/hyperlink" Target="http://hawksey.info/tagsexplorer/arc.html?key=1juyIQsnL_T8tqzfzAVVjPctB4eqiafTghnL_xhvkrjk&amp;gid=400689247&amp;screenname=TheSocReview" TargetMode="External"/><Relationship Id="rId1152" Type="http://schemas.openxmlformats.org/officeDocument/2006/relationships/hyperlink" Target="http://hawksey.info/tagsexplorer/arc.html?key=1juyIQsnL_T8tqzfzAVVjPctB4eqiafTghnL_xhvkrjk&amp;gid=400689247&amp;screenname=TheStephenRalph" TargetMode="External"/><Relationship Id="rId1153" Type="http://schemas.openxmlformats.org/officeDocument/2006/relationships/hyperlink" Target="http://hawksey.info/tagsexplorer/arc.html?key=1juyIQsnL_T8tqzfzAVVjPctB4eqiafTghnL_xhvkrjk&amp;gid=400689247&amp;screenname=ThelmaMcNamara3" TargetMode="External"/><Relationship Id="rId565" Type="http://schemas.openxmlformats.org/officeDocument/2006/relationships/hyperlink" Target="http://hawksey.info/tagsexplorer/arc.html?key=1juyIQsnL_T8tqzfzAVVjPctB4eqiafTghnL_xhvkrjk&amp;gid=400689247&amp;screenname=Jan82276614" TargetMode="External"/><Relationship Id="rId1154" Type="http://schemas.openxmlformats.org/officeDocument/2006/relationships/hyperlink" Target="http://hawksey.info/tagsexplorer/arc.html?key=1juyIQsnL_T8tqzfzAVVjPctB4eqiafTghnL_xhvkrjk&amp;gid=400689247&amp;screenname=TheresaMayOTR" TargetMode="External"/><Relationship Id="rId564" Type="http://schemas.openxmlformats.org/officeDocument/2006/relationships/hyperlink" Target="http://hawksey.info/tagsexplorer/arc.html?key=1juyIQsnL_T8tqzfzAVVjPctB4eqiafTghnL_xhvkrjk&amp;gid=400689247&amp;screenname=James_C_Bond" TargetMode="External"/><Relationship Id="rId1155" Type="http://schemas.openxmlformats.org/officeDocument/2006/relationships/hyperlink" Target="http://hawksey.info/tagsexplorer/arc.html?key=1juyIQsnL_T8tqzfzAVVjPctB4eqiafTghnL_xhvkrjk&amp;gid=400689247&amp;screenname=Therese32449599" TargetMode="External"/><Relationship Id="rId563" Type="http://schemas.openxmlformats.org/officeDocument/2006/relationships/hyperlink" Target="http://hawksey.info/tagsexplorer/arc.html?key=1juyIQsnL_T8tqzfzAVVjPctB4eqiafTghnL_xhvkrjk&amp;gid=400689247&amp;screenname=Jackywacky51" TargetMode="External"/><Relationship Id="rId1156" Type="http://schemas.openxmlformats.org/officeDocument/2006/relationships/hyperlink" Target="http://hawksey.info/tagsexplorer/arc.html?key=1juyIQsnL_T8tqzfzAVVjPctB4eqiafTghnL_xhvkrjk&amp;gid=400689247&amp;screenname=ThomasF86612463" TargetMode="External"/><Relationship Id="rId562" Type="http://schemas.openxmlformats.org/officeDocument/2006/relationships/hyperlink" Target="http://hawksey.info/tagsexplorer/arc.html?key=1juyIQsnL_T8tqzfzAVVjPctB4eqiafTghnL_xhvkrjk&amp;gid=400689247&amp;screenname=JackyHilary" TargetMode="External"/><Relationship Id="rId1157" Type="http://schemas.openxmlformats.org/officeDocument/2006/relationships/hyperlink" Target="http://hawksey.info/tagsexplorer/arc.html?key=1juyIQsnL_T8tqzfzAVVjPctB4eqiafTghnL_xhvkrjk&amp;gid=400689247&amp;screenname=TigerLover161" TargetMode="External"/><Relationship Id="rId1147" Type="http://schemas.openxmlformats.org/officeDocument/2006/relationships/hyperlink" Target="http://hawksey.info/tagsexplorer/arc.html?key=1juyIQsnL_T8tqzfzAVVjPctB4eqiafTghnL_xhvkrjk&amp;gid=400689247&amp;screenname=TheManicBuddha" TargetMode="External"/><Relationship Id="rId1148" Type="http://schemas.openxmlformats.org/officeDocument/2006/relationships/hyperlink" Target="http://hawksey.info/tagsexplorer/arc.html?key=1juyIQsnL_T8tqzfzAVVjPctB4eqiafTghnL_xhvkrjk&amp;gid=400689247&amp;screenname=TheOlivr" TargetMode="External"/><Relationship Id="rId1149" Type="http://schemas.openxmlformats.org/officeDocument/2006/relationships/hyperlink" Target="http://hawksey.info/tagsexplorer/arc.html?key=1juyIQsnL_T8tqzfzAVVjPctB4eqiafTghnL_xhvkrjk&amp;gid=400689247&amp;screenname=TheScri76057990" TargetMode="External"/><Relationship Id="rId558" Type="http://schemas.openxmlformats.org/officeDocument/2006/relationships/hyperlink" Target="http://hawksey.info/tagsexplorer/arc.html?key=1juyIQsnL_T8tqzfzAVVjPctB4eqiafTghnL_xhvkrjk&amp;gid=400689247&amp;screenname=JackHen16271194" TargetMode="External"/><Relationship Id="rId557" Type="http://schemas.openxmlformats.org/officeDocument/2006/relationships/hyperlink" Target="http://hawksey.info/tagsexplorer/arc.html?key=1juyIQsnL_T8tqzfzAVVjPctB4eqiafTghnL_xhvkrjk&amp;gid=400689247&amp;screenname=J_Niteroi" TargetMode="External"/><Relationship Id="rId556" Type="http://schemas.openxmlformats.org/officeDocument/2006/relationships/hyperlink" Target="http://hawksey.info/tagsexplorer/arc.html?key=1juyIQsnL_T8tqzfzAVVjPctB4eqiafTghnL_xhvkrjk&amp;gid=400689247&amp;screenname=J_Andrew_Evans" TargetMode="External"/><Relationship Id="rId555" Type="http://schemas.openxmlformats.org/officeDocument/2006/relationships/hyperlink" Target="http://hawksey.info/tagsexplorer/arc.html?key=1juyIQsnL_T8tqzfzAVVjPctB4eqiafTghnL_xhvkrjk&amp;gid=400689247&amp;screenname=JWils60" TargetMode="External"/><Relationship Id="rId559" Type="http://schemas.openxmlformats.org/officeDocument/2006/relationships/hyperlink" Target="http://hawksey.info/tagsexplorer/arc.html?key=1juyIQsnL_T8tqzfzAVVjPctB4eqiafTghnL_xhvkrjk&amp;gid=400689247&amp;screenname=Jackbentwarner" TargetMode="External"/><Relationship Id="rId550" Type="http://schemas.openxmlformats.org/officeDocument/2006/relationships/hyperlink" Target="http://hawksey.info/tagsexplorer/arc.html?key=1juyIQsnL_T8tqzfzAVVjPctB4eqiafTghnL_xhvkrjk&amp;gid=400689247&amp;screenname=JL_998" TargetMode="External"/><Relationship Id="rId1140" Type="http://schemas.openxmlformats.org/officeDocument/2006/relationships/hyperlink" Target="http://hawksey.info/tagsexplorer/arc.html?key=1juyIQsnL_T8tqzfzAVVjPctB4eqiafTghnL_xhvkrjk&amp;gid=400689247&amp;screenname=TheCPDiary" TargetMode="External"/><Relationship Id="rId1141" Type="http://schemas.openxmlformats.org/officeDocument/2006/relationships/hyperlink" Target="http://hawksey.info/tagsexplorer/arc.html?key=1juyIQsnL_T8tqzfzAVVjPctB4eqiafTghnL_xhvkrjk&amp;gid=400689247&amp;screenname=TheFlexibleChef" TargetMode="External"/><Relationship Id="rId1142" Type="http://schemas.openxmlformats.org/officeDocument/2006/relationships/hyperlink" Target="http://hawksey.info/tagsexplorer/arc.html?key=1juyIQsnL_T8tqzfzAVVjPctB4eqiafTghnL_xhvkrjk&amp;gid=400689247&amp;screenname=TheFluffyViking" TargetMode="External"/><Relationship Id="rId554" Type="http://schemas.openxmlformats.org/officeDocument/2006/relationships/hyperlink" Target="http://hawksey.info/tagsexplorer/arc.html?key=1juyIQsnL_T8tqzfzAVVjPctB4eqiafTghnL_xhvkrjk&amp;gid=400689247&amp;screenname=JWGarratt" TargetMode="External"/><Relationship Id="rId1143" Type="http://schemas.openxmlformats.org/officeDocument/2006/relationships/hyperlink" Target="http://hawksey.info/tagsexplorer/arc.html?key=1juyIQsnL_T8tqzfzAVVjPctB4eqiafTghnL_xhvkrjk&amp;gid=400689247&amp;screenname=TheGilse" TargetMode="External"/><Relationship Id="rId553" Type="http://schemas.openxmlformats.org/officeDocument/2006/relationships/hyperlink" Target="http://hawksey.info/tagsexplorer/arc.html?key=1juyIQsnL_T8tqzfzAVVjPctB4eqiafTghnL_xhvkrjk&amp;gid=400689247&amp;screenname=JTempowski" TargetMode="External"/><Relationship Id="rId1144" Type="http://schemas.openxmlformats.org/officeDocument/2006/relationships/hyperlink" Target="http://hawksey.info/tagsexplorer/arc.html?key=1juyIQsnL_T8tqzfzAVVjPctB4eqiafTghnL_xhvkrjk&amp;gid=400689247&amp;screenname=TheGlobalSpring" TargetMode="External"/><Relationship Id="rId552" Type="http://schemas.openxmlformats.org/officeDocument/2006/relationships/hyperlink" Target="http://hawksey.info/tagsexplorer/arc.html?key=1juyIQsnL_T8tqzfzAVVjPctB4eqiafTghnL_xhvkrjk&amp;gid=400689247&amp;screenname=JPM06848080" TargetMode="External"/><Relationship Id="rId1145" Type="http://schemas.openxmlformats.org/officeDocument/2006/relationships/hyperlink" Target="http://hawksey.info/tagsexplorer/arc.html?key=1juyIQsnL_T8tqzfzAVVjPctB4eqiafTghnL_xhvkrjk&amp;gid=400689247&amp;screenname=TheLoganIndia" TargetMode="External"/><Relationship Id="rId551" Type="http://schemas.openxmlformats.org/officeDocument/2006/relationships/hyperlink" Target="http://hawksey.info/tagsexplorer/arc.html?key=1juyIQsnL_T8tqzfzAVVjPctB4eqiafTghnL_xhvkrjk&amp;gid=400689247&amp;screenname=JPLT59" TargetMode="External"/><Relationship Id="rId1146" Type="http://schemas.openxmlformats.org/officeDocument/2006/relationships/hyperlink" Target="http://hawksey.info/tagsexplorer/arc.html?key=1juyIQsnL_T8tqzfzAVVjPctB4eqiafTghnL_xhvkrjk&amp;gid=400689247&amp;screenname=TheLynch10" TargetMode="External"/><Relationship Id="rId495" Type="http://schemas.openxmlformats.org/officeDocument/2006/relationships/hyperlink" Target="http://hawksey.info/tagsexplorer/arc.html?key=1juyIQsnL_T8tqzfzAVVjPctB4eqiafTghnL_xhvkrjk&amp;gid=400689247&amp;screenname=HarleyEbe" TargetMode="External"/><Relationship Id="rId494" Type="http://schemas.openxmlformats.org/officeDocument/2006/relationships/hyperlink" Target="http://hawksey.info/tagsexplorer/arc.html?key=1juyIQsnL_T8tqzfzAVVjPctB4eqiafTghnL_xhvkrjk&amp;gid=400689247&amp;screenname=HargMac" TargetMode="External"/><Relationship Id="rId493" Type="http://schemas.openxmlformats.org/officeDocument/2006/relationships/hyperlink" Target="http://hawksey.info/tagsexplorer/arc.html?key=1juyIQsnL_T8tqzfzAVVjPctB4eqiafTghnL_xhvkrjk&amp;gid=400689247&amp;screenname=Happytoberight" TargetMode="External"/><Relationship Id="rId492" Type="http://schemas.openxmlformats.org/officeDocument/2006/relationships/hyperlink" Target="http://hawksey.info/tagsexplorer/arc.html?key=1juyIQsnL_T8tqzfzAVVjPctB4eqiafTghnL_xhvkrjk&amp;gid=400689247&amp;screenname=HalseyJane" TargetMode="External"/><Relationship Id="rId499" Type="http://schemas.openxmlformats.org/officeDocument/2006/relationships/hyperlink" Target="http://hawksey.info/tagsexplorer/arc.html?key=1juyIQsnL_T8tqzfzAVVjPctB4eqiafTghnL_xhvkrjk&amp;gid=400689247&amp;screenname=HelenLGateley" TargetMode="External"/><Relationship Id="rId498" Type="http://schemas.openxmlformats.org/officeDocument/2006/relationships/hyperlink" Target="http://hawksey.info/tagsexplorer/arc.html?key=1juyIQsnL_T8tqzfzAVVjPctB4eqiafTghnL_xhvkrjk&amp;gid=400689247&amp;screenname=HeatherMassey2" TargetMode="External"/><Relationship Id="rId497" Type="http://schemas.openxmlformats.org/officeDocument/2006/relationships/hyperlink" Target="http://hawksey.info/tagsexplorer/arc.html?key=1juyIQsnL_T8tqzfzAVVjPctB4eqiafTghnL_xhvkrjk&amp;gid=400689247&amp;screenname=HarryJamesBooks" TargetMode="External"/><Relationship Id="rId496" Type="http://schemas.openxmlformats.org/officeDocument/2006/relationships/hyperlink" Target="http://hawksey.info/tagsexplorer/arc.html?key=1juyIQsnL_T8tqzfzAVVjPctB4eqiafTghnL_xhvkrjk&amp;gid=400689247&amp;screenname=HarrisonJan" TargetMode="External"/><Relationship Id="rId1213" Type="http://schemas.openxmlformats.org/officeDocument/2006/relationships/hyperlink" Target="http://hawksey.info/tagsexplorer/arc.html?key=1juyIQsnL_T8tqzfzAVVjPctB4eqiafTghnL_xhvkrjk&amp;gid=400689247&amp;screenname=WairarapaJane" TargetMode="External"/><Relationship Id="rId1214" Type="http://schemas.openxmlformats.org/officeDocument/2006/relationships/hyperlink" Target="http://hawksey.info/tagsexplorer/arc.html?key=1juyIQsnL_T8tqzfzAVVjPctB4eqiafTghnL_xhvkrjk&amp;gid=400689247&amp;screenname=WakoJoel" TargetMode="External"/><Relationship Id="rId1215" Type="http://schemas.openxmlformats.org/officeDocument/2006/relationships/hyperlink" Target="http://hawksey.info/tagsexplorer/arc.html?key=1juyIQsnL_T8tqzfzAVVjPctB4eqiafTghnL_xhvkrjk&amp;gid=400689247&amp;screenname=Wallwin80" TargetMode="External"/><Relationship Id="rId1216" Type="http://schemas.openxmlformats.org/officeDocument/2006/relationships/hyperlink" Target="http://hawksey.info/tagsexplorer/arc.html?key=1juyIQsnL_T8tqzfzAVVjPctB4eqiafTghnL_xhvkrjk&amp;gid=400689247&amp;screenname=WalshC129" TargetMode="External"/><Relationship Id="rId1217" Type="http://schemas.openxmlformats.org/officeDocument/2006/relationships/hyperlink" Target="http://hawksey.info/tagsexplorer/arc.html?key=1juyIQsnL_T8tqzfzAVVjPctB4eqiafTghnL_xhvkrjk&amp;gid=400689247&amp;screenname=Walshy2521" TargetMode="External"/><Relationship Id="rId1218" Type="http://schemas.openxmlformats.org/officeDocument/2006/relationships/hyperlink" Target="http://hawksey.info/tagsexplorer/arc.html?key=1juyIQsnL_T8tqzfzAVVjPctB4eqiafTghnL_xhvkrjk&amp;gid=400689247&amp;screenname=WandaKloza" TargetMode="External"/><Relationship Id="rId1219" Type="http://schemas.openxmlformats.org/officeDocument/2006/relationships/hyperlink" Target="http://hawksey.info/tagsexplorer/arc.html?key=1juyIQsnL_T8tqzfzAVVjPctB4eqiafTghnL_xhvkrjk&amp;gid=400689247&amp;screenname=Wantage991" TargetMode="External"/><Relationship Id="rId1210" Type="http://schemas.openxmlformats.org/officeDocument/2006/relationships/hyperlink" Target="http://hawksey.info/tagsexplorer/arc.html?key=1juyIQsnL_T8tqzfzAVVjPctB4eqiafTghnL_xhvkrjk&amp;gid=400689247&amp;screenname=WH1959" TargetMode="External"/><Relationship Id="rId1211" Type="http://schemas.openxmlformats.org/officeDocument/2006/relationships/hyperlink" Target="http://hawksey.info/tagsexplorer/arc.html?key=1juyIQsnL_T8tqzfzAVVjPctB4eqiafTghnL_xhvkrjk&amp;gid=400689247&amp;screenname=WNB50" TargetMode="External"/><Relationship Id="rId1212" Type="http://schemas.openxmlformats.org/officeDocument/2006/relationships/hyperlink" Target="http://hawksey.info/tagsexplorer/arc.html?key=1juyIQsnL_T8tqzfzAVVjPctB4eqiafTghnL_xhvkrjk&amp;gid=400689247&amp;screenname=WNethercott" TargetMode="External"/><Relationship Id="rId1202" Type="http://schemas.openxmlformats.org/officeDocument/2006/relationships/hyperlink" Target="http://hawksey.info/tagsexplorer/arc.html?key=1juyIQsnL_T8tqzfzAVVjPctB4eqiafTghnL_xhvkrjk&amp;gid=400689247&amp;screenname=Vicktor1111" TargetMode="External"/><Relationship Id="rId1203" Type="http://schemas.openxmlformats.org/officeDocument/2006/relationships/hyperlink" Target="http://hawksey.info/tagsexplorer/arc.html?key=1juyIQsnL_T8tqzfzAVVjPctB4eqiafTghnL_xhvkrjk&amp;gid=400689247&amp;screenname=VinaigretteGirl" TargetMode="External"/><Relationship Id="rId1204" Type="http://schemas.openxmlformats.org/officeDocument/2006/relationships/hyperlink" Target="http://hawksey.info/tagsexplorer/arc.html?key=1juyIQsnL_T8tqzfzAVVjPctB4eqiafTghnL_xhvkrjk&amp;gid=400689247&amp;screenname=VincentCantrill" TargetMode="External"/><Relationship Id="rId1205" Type="http://schemas.openxmlformats.org/officeDocument/2006/relationships/hyperlink" Target="http://hawksey.info/tagsexplorer/arc.html?key=1juyIQsnL_T8tqzfzAVVjPctB4eqiafTghnL_xhvkrjk&amp;gid=400689247&amp;screenname=VincitOmniaVe18" TargetMode="External"/><Relationship Id="rId1206" Type="http://schemas.openxmlformats.org/officeDocument/2006/relationships/hyperlink" Target="http://hawksey.info/tagsexplorer/arc.html?key=1juyIQsnL_T8tqzfzAVVjPctB4eqiafTghnL_xhvkrjk&amp;gid=400689247&amp;screenname=VineyBernard" TargetMode="External"/><Relationship Id="rId1207" Type="http://schemas.openxmlformats.org/officeDocument/2006/relationships/hyperlink" Target="http://hawksey.info/tagsexplorer/arc.html?key=1juyIQsnL_T8tqzfzAVVjPctB4eqiafTghnL_xhvkrjk&amp;gid=400689247&amp;screenname=VishaPhullah" TargetMode="External"/><Relationship Id="rId1208" Type="http://schemas.openxmlformats.org/officeDocument/2006/relationships/hyperlink" Target="http://hawksey.info/tagsexplorer/arc.html?key=1juyIQsnL_T8tqzfzAVVjPctB4eqiafTghnL_xhvkrjk&amp;gid=400689247&amp;screenname=VogonScout" TargetMode="External"/><Relationship Id="rId1209" Type="http://schemas.openxmlformats.org/officeDocument/2006/relationships/hyperlink" Target="http://hawksey.info/tagsexplorer/arc.html?key=1juyIQsnL_T8tqzfzAVVjPctB4eqiafTghnL_xhvkrjk&amp;gid=400689247&amp;screenname=WCountryVoices" TargetMode="External"/><Relationship Id="rId1200" Type="http://schemas.openxmlformats.org/officeDocument/2006/relationships/hyperlink" Target="http://hawksey.info/tagsexplorer/arc.html?key=1juyIQsnL_T8tqzfzAVVjPctB4eqiafTghnL_xhvkrjk&amp;gid=400689247&amp;screenname=VeraVeritas3" TargetMode="External"/><Relationship Id="rId1201" Type="http://schemas.openxmlformats.org/officeDocument/2006/relationships/hyperlink" Target="http://hawksey.info/tagsexplorer/arc.html?key=1juyIQsnL_T8tqzfzAVVjPctB4eqiafTghnL_xhvkrjk&amp;gid=400689247&amp;screenname=VerityKalcev" TargetMode="External"/><Relationship Id="rId1235" Type="http://schemas.openxmlformats.org/officeDocument/2006/relationships/hyperlink" Target="http://hawksey.info/tagsexplorer/arc.html?key=1juyIQsnL_T8tqzfzAVVjPctB4eqiafTghnL_xhvkrjk&amp;gid=400689247&amp;screenname=WillParker1979" TargetMode="External"/><Relationship Id="rId1236" Type="http://schemas.openxmlformats.org/officeDocument/2006/relationships/hyperlink" Target="http://hawksey.info/tagsexplorer/arc.html?key=1juyIQsnL_T8tqzfzAVVjPctB4eqiafTghnL_xhvkrjk&amp;gid=400689247&amp;screenname=Will_Butts" TargetMode="External"/><Relationship Id="rId1237" Type="http://schemas.openxmlformats.org/officeDocument/2006/relationships/hyperlink" Target="http://hawksey.info/tagsexplorer/arc.html?key=1juyIQsnL_T8tqzfzAVVjPctB4eqiafTghnL_xhvkrjk&amp;gid=400689247&amp;screenname=WilliamMcGowa15" TargetMode="External"/><Relationship Id="rId1238" Type="http://schemas.openxmlformats.org/officeDocument/2006/relationships/hyperlink" Target="http://hawksey.info/tagsexplorer/arc.html?key=1juyIQsnL_T8tqzfzAVVjPctB4eqiafTghnL_xhvkrjk&amp;gid=400689247&amp;screenname=WizBish" TargetMode="External"/><Relationship Id="rId1239" Type="http://schemas.openxmlformats.org/officeDocument/2006/relationships/hyperlink" Target="http://hawksey.info/tagsexplorer/arc.html?key=1juyIQsnL_T8tqzfzAVVjPctB4eqiafTghnL_xhvkrjk&amp;gid=400689247&amp;screenname=Wmt131" TargetMode="External"/><Relationship Id="rId409" Type="http://schemas.openxmlformats.org/officeDocument/2006/relationships/hyperlink" Target="http://hawksey.info/tagsexplorer/arc.html?key=1juyIQsnL_T8tqzfzAVVjPctB4eqiafTghnL_xhvkrjk&amp;gid=400689247&amp;screenname=ExasperatedTory" TargetMode="External"/><Relationship Id="rId404" Type="http://schemas.openxmlformats.org/officeDocument/2006/relationships/hyperlink" Target="http://hawksey.info/tagsexplorer/arc.html?key=1juyIQsnL_T8tqzfzAVVjPctB4eqiafTghnL_xhvkrjk&amp;gid=400689247&amp;screenname=EveCollen" TargetMode="External"/><Relationship Id="rId403" Type="http://schemas.openxmlformats.org/officeDocument/2006/relationships/hyperlink" Target="http://hawksey.info/tagsexplorer/arc.html?key=1juyIQsnL_T8tqzfzAVVjPctB4eqiafTghnL_xhvkrjk&amp;gid=400689247&amp;screenname=EssiemfWilson" TargetMode="External"/><Relationship Id="rId402" Type="http://schemas.openxmlformats.org/officeDocument/2006/relationships/hyperlink" Target="http://hawksey.info/tagsexplorer/arc.html?key=1juyIQsnL_T8tqzfzAVVjPctB4eqiafTghnL_xhvkrjk&amp;gid=400689247&amp;screenname=Equilibria" TargetMode="External"/><Relationship Id="rId401" Type="http://schemas.openxmlformats.org/officeDocument/2006/relationships/hyperlink" Target="http://hawksey.info/tagsexplorer/arc.html?key=1juyIQsnL_T8tqzfzAVVjPctB4eqiafTghnL_xhvkrjk&amp;gid=400689247&amp;screenname=EnglishPablo" TargetMode="External"/><Relationship Id="rId408" Type="http://schemas.openxmlformats.org/officeDocument/2006/relationships/hyperlink" Target="http://hawksey.info/tagsexplorer/arc.html?key=1juyIQsnL_T8tqzfzAVVjPctB4eqiafTghnL_xhvkrjk&amp;gid=400689247&amp;screenname=Ewa70327182" TargetMode="External"/><Relationship Id="rId407" Type="http://schemas.openxmlformats.org/officeDocument/2006/relationships/hyperlink" Target="http://hawksey.info/tagsexplorer/arc.html?key=1juyIQsnL_T8tqzfzAVVjPctB4eqiafTghnL_xhvkrjk&amp;gid=400689247&amp;screenname=Evilgenius222" TargetMode="External"/><Relationship Id="rId406" Type="http://schemas.openxmlformats.org/officeDocument/2006/relationships/hyperlink" Target="http://hawksey.info/tagsexplorer/arc.html?key=1juyIQsnL_T8tqzfzAVVjPctB4eqiafTghnL_xhvkrjk&amp;gid=400689247&amp;screenname=EviePop2020" TargetMode="External"/><Relationship Id="rId405" Type="http://schemas.openxmlformats.org/officeDocument/2006/relationships/hyperlink" Target="http://hawksey.info/tagsexplorer/arc.html?key=1juyIQsnL_T8tqzfzAVVjPctB4eqiafTghnL_xhvkrjk&amp;gid=400689247&amp;screenname=EveryDayTaiChi" TargetMode="External"/><Relationship Id="rId1230" Type="http://schemas.openxmlformats.org/officeDocument/2006/relationships/hyperlink" Target="http://hawksey.info/tagsexplorer/arc.html?key=1juyIQsnL_T8tqzfzAVVjPctB4eqiafTghnL_xhvkrjk&amp;gid=400689247&amp;screenname=WhingingTeacher" TargetMode="External"/><Relationship Id="rId400" Type="http://schemas.openxmlformats.org/officeDocument/2006/relationships/hyperlink" Target="http://hawksey.info/tagsexplorer/arc.html?key=1juyIQsnL_T8tqzfzAVVjPctB4eqiafTghnL_xhvkrjk&amp;gid=400689247&amp;screenname=EnglishNRomania" TargetMode="External"/><Relationship Id="rId1231" Type="http://schemas.openxmlformats.org/officeDocument/2006/relationships/hyperlink" Target="http://hawksey.info/tagsexplorer/arc.html?key=1juyIQsnL_T8tqzfzAVVjPctB4eqiafTghnL_xhvkrjk&amp;gid=400689247&amp;screenname=White692742" TargetMode="External"/><Relationship Id="rId1232" Type="http://schemas.openxmlformats.org/officeDocument/2006/relationships/hyperlink" Target="http://hawksey.info/tagsexplorer/arc.html?key=1juyIQsnL_T8tqzfzAVVjPctB4eqiafTghnL_xhvkrjk&amp;gid=400689247&amp;screenname=Wibbers13" TargetMode="External"/><Relationship Id="rId1233" Type="http://schemas.openxmlformats.org/officeDocument/2006/relationships/hyperlink" Target="http://hawksey.info/tagsexplorer/arc.html?key=1juyIQsnL_T8tqzfzAVVjPctB4eqiafTghnL_xhvkrjk&amp;gid=400689247&amp;screenname=Wicksylax" TargetMode="External"/><Relationship Id="rId1234" Type="http://schemas.openxmlformats.org/officeDocument/2006/relationships/hyperlink" Target="http://hawksey.info/tagsexplorer/arc.html?key=1juyIQsnL_T8tqzfzAVVjPctB4eqiafTghnL_xhvkrjk&amp;gid=400689247&amp;screenname=WiddecombeB" TargetMode="External"/><Relationship Id="rId1224" Type="http://schemas.openxmlformats.org/officeDocument/2006/relationships/hyperlink" Target="http://hawksey.info/tagsexplorer/arc.html?key=1juyIQsnL_T8tqzfzAVVjPctB4eqiafTghnL_xhvkrjk&amp;gid=400689247&amp;screenname=Wearypundit" TargetMode="External"/><Relationship Id="rId1225" Type="http://schemas.openxmlformats.org/officeDocument/2006/relationships/hyperlink" Target="http://hawksey.info/tagsexplorer/arc.html?key=1juyIQsnL_T8tqzfzAVVjPctB4eqiafTghnL_xhvkrjk&amp;gid=400689247&amp;screenname=WelfordGeoff" TargetMode="External"/><Relationship Id="rId1226" Type="http://schemas.openxmlformats.org/officeDocument/2006/relationships/hyperlink" Target="http://hawksey.info/tagsexplorer/arc.html?key=1juyIQsnL_T8tqzfzAVVjPctB4eqiafTghnL_xhvkrjk&amp;gid=400689247&amp;screenname=WelshOfTheWest" TargetMode="External"/><Relationship Id="rId1227" Type="http://schemas.openxmlformats.org/officeDocument/2006/relationships/hyperlink" Target="http://hawksey.info/tagsexplorer/arc.html?key=1juyIQsnL_T8tqzfzAVVjPctB4eqiafTghnL_xhvkrjk&amp;gid=400689247&amp;screenname=WendyStringer17" TargetMode="External"/><Relationship Id="rId1228" Type="http://schemas.openxmlformats.org/officeDocument/2006/relationships/hyperlink" Target="http://hawksey.info/tagsexplorer/arc.html?key=1juyIQsnL_T8tqzfzAVVjPctB4eqiafTghnL_xhvkrjk&amp;gid=400689247&amp;screenname=WestonGrockle" TargetMode="External"/><Relationship Id="rId1229" Type="http://schemas.openxmlformats.org/officeDocument/2006/relationships/hyperlink" Target="http://hawksey.info/tagsexplorer/arc.html?key=1juyIQsnL_T8tqzfzAVVjPctB4eqiafTghnL_xhvkrjk&amp;gid=400689247&amp;screenname=Westward_Hook" TargetMode="External"/><Relationship Id="rId1220" Type="http://schemas.openxmlformats.org/officeDocument/2006/relationships/hyperlink" Target="http://hawksey.info/tagsexplorer/arc.html?key=1juyIQsnL_T8tqzfzAVVjPctB4eqiafTghnL_xhvkrjk&amp;gid=400689247&amp;screenname=Waringphilip" TargetMode="External"/><Relationship Id="rId1221" Type="http://schemas.openxmlformats.org/officeDocument/2006/relationships/hyperlink" Target="http://hawksey.info/tagsexplorer/arc.html?key=1juyIQsnL_T8tqzfzAVVjPctB4eqiafTghnL_xhvkrjk&amp;gid=400689247&amp;screenname=Warren1Point" TargetMode="External"/><Relationship Id="rId1222" Type="http://schemas.openxmlformats.org/officeDocument/2006/relationships/hyperlink" Target="http://hawksey.info/tagsexplorer/arc.html?key=1juyIQsnL_T8tqzfzAVVjPctB4eqiafTghnL_xhvkrjk&amp;gid=400689247&amp;screenname=Warzoid" TargetMode="External"/><Relationship Id="rId1223" Type="http://schemas.openxmlformats.org/officeDocument/2006/relationships/hyperlink" Target="http://hawksey.info/tagsexplorer/arc.html?key=1juyIQsnL_T8tqzfzAVVjPctB4eqiafTghnL_xhvkrjk&amp;gid=400689247&amp;screenname=WeRThe48Percent" TargetMode="External"/><Relationship Id="rId469" Type="http://schemas.openxmlformats.org/officeDocument/2006/relationships/hyperlink" Target="http://hawksey.info/tagsexplorer/arc.html?key=1juyIQsnL_T8tqzfzAVVjPctB4eqiafTghnL_xhvkrjk&amp;gid=400689247&amp;screenname=GlendaB46825298" TargetMode="External"/><Relationship Id="rId468" Type="http://schemas.openxmlformats.org/officeDocument/2006/relationships/hyperlink" Target="http://hawksey.info/tagsexplorer/arc.html?key=1juyIQsnL_T8tqzfzAVVjPctB4eqiafTghnL_xhvkrjk&amp;gid=400689247&amp;screenname=Glasgow_Watch" TargetMode="External"/><Relationship Id="rId467" Type="http://schemas.openxmlformats.org/officeDocument/2006/relationships/hyperlink" Target="http://hawksey.info/tagsexplorer/arc.html?key=1juyIQsnL_T8tqzfzAVVjPctB4eqiafTghnL_xhvkrjk&amp;gid=400689247&amp;screenname=Glaikitgit" TargetMode="External"/><Relationship Id="rId1290" Type="http://schemas.openxmlformats.org/officeDocument/2006/relationships/hyperlink" Target="http://hawksey.info/tagsexplorer/arc.html?key=1juyIQsnL_T8tqzfzAVVjPctB4eqiafTghnL_xhvkrjk&amp;gid=400689247&amp;screenname=alliebabe57" TargetMode="External"/><Relationship Id="rId1291" Type="http://schemas.openxmlformats.org/officeDocument/2006/relationships/hyperlink" Target="http://hawksey.info/tagsexplorer/arc.html?key=1juyIQsnL_T8tqzfzAVVjPctB4eqiafTghnL_xhvkrjk&amp;gid=400689247&amp;screenname=alpamea79" TargetMode="External"/><Relationship Id="rId1292" Type="http://schemas.openxmlformats.org/officeDocument/2006/relationships/hyperlink" Target="http://hawksey.info/tagsexplorer/arc.html?key=1juyIQsnL_T8tqzfzAVVjPctB4eqiafTghnL_xhvkrjk&amp;gid=400689247&amp;screenname=alphatucana" TargetMode="External"/><Relationship Id="rId462" Type="http://schemas.openxmlformats.org/officeDocument/2006/relationships/hyperlink" Target="http://hawksey.info/tagsexplorer/arc.html?key=1juyIQsnL_T8tqzfzAVVjPctB4eqiafTghnL_xhvkrjk&amp;gid=400689247&amp;screenname=Georgie_g_" TargetMode="External"/><Relationship Id="rId1293" Type="http://schemas.openxmlformats.org/officeDocument/2006/relationships/hyperlink" Target="http://hawksey.info/tagsexplorer/arc.html?key=1juyIQsnL_T8tqzfzAVVjPctB4eqiafTghnL_xhvkrjk&amp;gid=400689247&amp;screenname=amandajs11" TargetMode="External"/><Relationship Id="rId461" Type="http://schemas.openxmlformats.org/officeDocument/2006/relationships/hyperlink" Target="http://hawksey.info/tagsexplorer/arc.html?key=1juyIQsnL_T8tqzfzAVVjPctB4eqiafTghnL_xhvkrjk&amp;gid=400689247&amp;screenname=GeorgeH85808006" TargetMode="External"/><Relationship Id="rId1294" Type="http://schemas.openxmlformats.org/officeDocument/2006/relationships/hyperlink" Target="http://hawksey.info/tagsexplorer/arc.html?key=1juyIQsnL_T8tqzfzAVVjPctB4eqiafTghnL_xhvkrjk&amp;gid=400689247&amp;screenname=ammacj" TargetMode="External"/><Relationship Id="rId460" Type="http://schemas.openxmlformats.org/officeDocument/2006/relationships/hyperlink" Target="http://hawksey.info/tagsexplorer/arc.html?key=1juyIQsnL_T8tqzfzAVVjPctB4eqiafTghnL_xhvkrjk&amp;gid=400689247&amp;screenname=GeorgeBaynard" TargetMode="External"/><Relationship Id="rId1295" Type="http://schemas.openxmlformats.org/officeDocument/2006/relationships/hyperlink" Target="http://hawksey.info/tagsexplorer/arc.html?key=1juyIQsnL_T8tqzfzAVVjPctB4eqiafTghnL_xhvkrjk&amp;gid=400689247&amp;screenname=andrewducker" TargetMode="External"/><Relationship Id="rId1296" Type="http://schemas.openxmlformats.org/officeDocument/2006/relationships/hyperlink" Target="http://hawksey.info/tagsexplorer/arc.html?key=1juyIQsnL_T8tqzfzAVVjPctB4eqiafTghnL_xhvkrjk&amp;gid=400689247&amp;screenname=andrisiggporson" TargetMode="External"/><Relationship Id="rId466" Type="http://schemas.openxmlformats.org/officeDocument/2006/relationships/hyperlink" Target="http://hawksey.info/tagsexplorer/arc.html?key=1juyIQsnL_T8tqzfzAVVjPctB4eqiafTghnL_xhvkrjk&amp;gid=400689247&amp;screenname=GladstoneMarian" TargetMode="External"/><Relationship Id="rId1297" Type="http://schemas.openxmlformats.org/officeDocument/2006/relationships/hyperlink" Target="http://hawksey.info/tagsexplorer/arc.html?key=1juyIQsnL_T8tqzfzAVVjPctB4eqiafTghnL_xhvkrjk&amp;gid=400689247&amp;screenname=andshoal" TargetMode="External"/><Relationship Id="rId465" Type="http://schemas.openxmlformats.org/officeDocument/2006/relationships/hyperlink" Target="http://hawksey.info/tagsexplorer/arc.html?key=1juyIQsnL_T8tqzfzAVVjPctB4eqiafTghnL_xhvkrjk&amp;gid=400689247&amp;screenname=GillyCombe" TargetMode="External"/><Relationship Id="rId1298" Type="http://schemas.openxmlformats.org/officeDocument/2006/relationships/hyperlink" Target="http://hawksey.info/tagsexplorer/arc.html?key=1juyIQsnL_T8tqzfzAVVjPctB4eqiafTghnL_xhvkrjk&amp;gid=400689247&amp;screenname=andy9962" TargetMode="External"/><Relationship Id="rId464" Type="http://schemas.openxmlformats.org/officeDocument/2006/relationships/hyperlink" Target="http://hawksey.info/tagsexplorer/arc.html?key=1juyIQsnL_T8tqzfzAVVjPctB4eqiafTghnL_xhvkrjk&amp;gid=400689247&amp;screenname=GilhamColin" TargetMode="External"/><Relationship Id="rId1299" Type="http://schemas.openxmlformats.org/officeDocument/2006/relationships/hyperlink" Target="http://hawksey.info/tagsexplorer/arc.html?key=1juyIQsnL_T8tqzfzAVVjPctB4eqiafTghnL_xhvkrjk&amp;gid=400689247&amp;screenname=andybwhittle" TargetMode="External"/><Relationship Id="rId463" Type="http://schemas.openxmlformats.org/officeDocument/2006/relationships/hyperlink" Target="http://hawksey.info/tagsexplorer/arc.html?key=1juyIQsnL_T8tqzfzAVVjPctB4eqiafTghnL_xhvkrjk&amp;gid=400689247&amp;screenname=GigiPrim21" TargetMode="External"/><Relationship Id="rId459" Type="http://schemas.openxmlformats.org/officeDocument/2006/relationships/hyperlink" Target="http://hawksey.info/tagsexplorer/arc.html?key=1juyIQsnL_T8tqzfzAVVjPctB4eqiafTghnL_xhvkrjk&amp;gid=400689247&amp;screenname=Geoffreytsmith" TargetMode="External"/><Relationship Id="rId458" Type="http://schemas.openxmlformats.org/officeDocument/2006/relationships/hyperlink" Target="http://hawksey.info/tagsexplorer/arc.html?key=1juyIQsnL_T8tqzfzAVVjPctB4eqiafTghnL_xhvkrjk&amp;gid=400689247&amp;screenname=GeoffKPayne" TargetMode="External"/><Relationship Id="rId457" Type="http://schemas.openxmlformats.org/officeDocument/2006/relationships/hyperlink" Target="http://hawksey.info/tagsexplorer/arc.html?key=1juyIQsnL_T8tqzfzAVVjPctB4eqiafTghnL_xhvkrjk&amp;gid=400689247&amp;screenname=GeoffBrewer" TargetMode="External"/><Relationship Id="rId456" Type="http://schemas.openxmlformats.org/officeDocument/2006/relationships/hyperlink" Target="http://hawksey.info/tagsexplorer/arc.html?key=1juyIQsnL_T8tqzfzAVVjPctB4eqiafTghnL_xhvkrjk&amp;gid=400689247&amp;screenname=GemmaBee9" TargetMode="External"/><Relationship Id="rId1280" Type="http://schemas.openxmlformats.org/officeDocument/2006/relationships/hyperlink" Target="http://hawksey.info/tagsexplorer/arc.html?key=1juyIQsnL_T8tqzfzAVVjPctB4eqiafTghnL_xhvkrjk&amp;gid=400689247&amp;screenname=alecsalt" TargetMode="External"/><Relationship Id="rId1281" Type="http://schemas.openxmlformats.org/officeDocument/2006/relationships/hyperlink" Target="http://hawksey.info/tagsexplorer/arc.html?key=1juyIQsnL_T8tqzfzAVVjPctB4eqiafTghnL_xhvkrjk&amp;gid=400689247&amp;screenname=alex_kovaleski" TargetMode="External"/><Relationship Id="rId451" Type="http://schemas.openxmlformats.org/officeDocument/2006/relationships/hyperlink" Target="http://hawksey.info/tagsexplorer/arc.html?key=1juyIQsnL_T8tqzfzAVVjPctB4eqiafTghnL_xhvkrjk&amp;gid=400689247&amp;screenname=GarySenior1" TargetMode="External"/><Relationship Id="rId1282" Type="http://schemas.openxmlformats.org/officeDocument/2006/relationships/hyperlink" Target="http://hawksey.info/tagsexplorer/arc.html?key=1juyIQsnL_T8tqzfzAVVjPctB4eqiafTghnL_xhvkrjk&amp;gid=400689247&amp;screenname=alexbellars" TargetMode="External"/><Relationship Id="rId450" Type="http://schemas.openxmlformats.org/officeDocument/2006/relationships/hyperlink" Target="http://hawksey.info/tagsexplorer/arc.html?key=1juyIQsnL_T8tqzfzAVVjPctB4eqiafTghnL_xhvkrjk&amp;gid=400689247&amp;screenname=GailGailtranter" TargetMode="External"/><Relationship Id="rId1283" Type="http://schemas.openxmlformats.org/officeDocument/2006/relationships/hyperlink" Target="http://hawksey.info/tagsexplorer/arc.html?key=1juyIQsnL_T8tqzfzAVVjPctB4eqiafTghnL_xhvkrjk&amp;gid=400689247&amp;screenname=alexcburrows" TargetMode="External"/><Relationship Id="rId1284" Type="http://schemas.openxmlformats.org/officeDocument/2006/relationships/hyperlink" Target="http://hawksey.info/tagsexplorer/arc.html?key=1juyIQsnL_T8tqzfzAVVjPctB4eqiafTghnL_xhvkrjk&amp;gid=400689247&amp;screenname=alextonemusic" TargetMode="External"/><Relationship Id="rId1285" Type="http://schemas.openxmlformats.org/officeDocument/2006/relationships/hyperlink" Target="http://hawksey.info/tagsexplorer/arc.html?key=1juyIQsnL_T8tqzfzAVVjPctB4eqiafTghnL_xhvkrjk&amp;gid=400689247&amp;screenname=alison_born" TargetMode="External"/><Relationship Id="rId455" Type="http://schemas.openxmlformats.org/officeDocument/2006/relationships/hyperlink" Target="http://hawksey.info/tagsexplorer/arc.html?key=1juyIQsnL_T8tqzfzAVVjPctB4eqiafTghnL_xhvkrjk&amp;gid=400689247&amp;screenname=Geenimetsuri" TargetMode="External"/><Relationship Id="rId1286" Type="http://schemas.openxmlformats.org/officeDocument/2006/relationships/hyperlink" Target="http://hawksey.info/tagsexplorer/arc.html?key=1juyIQsnL_T8tqzfzAVVjPctB4eqiafTghnL_xhvkrjk&amp;gid=400689247&amp;screenname=alisonrphillips" TargetMode="External"/><Relationship Id="rId454" Type="http://schemas.openxmlformats.org/officeDocument/2006/relationships/hyperlink" Target="http://hawksey.info/tagsexplorer/arc.html?key=1juyIQsnL_T8tqzfzAVVjPctB4eqiafTghnL_xhvkrjk&amp;gid=400689247&amp;screenname=Gcw25Wood" TargetMode="External"/><Relationship Id="rId1287" Type="http://schemas.openxmlformats.org/officeDocument/2006/relationships/hyperlink" Target="http://hawksey.info/tagsexplorer/arc.html?key=1juyIQsnL_T8tqzfzAVVjPctB4eqiafTghnL_xhvkrjk&amp;gid=400689247&amp;screenname=allanukscotland" TargetMode="External"/><Relationship Id="rId453" Type="http://schemas.openxmlformats.org/officeDocument/2006/relationships/hyperlink" Target="http://hawksey.info/tagsexplorer/arc.html?key=1juyIQsnL_T8tqzfzAVVjPctB4eqiafTghnL_xhvkrjk&amp;gid=400689247&amp;screenname=GavinKMurray" TargetMode="External"/><Relationship Id="rId1288" Type="http://schemas.openxmlformats.org/officeDocument/2006/relationships/hyperlink" Target="http://hawksey.info/tagsexplorer/arc.html?key=1juyIQsnL_T8tqzfzAVVjPctB4eqiafTghnL_xhvkrjk&amp;gid=400689247&amp;screenname=allanwales2" TargetMode="External"/><Relationship Id="rId452" Type="http://schemas.openxmlformats.org/officeDocument/2006/relationships/hyperlink" Target="http://hawksey.info/tagsexplorer/arc.html?key=1juyIQsnL_T8tqzfzAVVjPctB4eqiafTghnL_xhvkrjk&amp;gid=400689247&amp;screenname=Gary_antiPC_Vet" TargetMode="External"/><Relationship Id="rId1289" Type="http://schemas.openxmlformats.org/officeDocument/2006/relationships/hyperlink" Target="http://hawksey.info/tagsexplorer/arc.html?key=1juyIQsnL_T8tqzfzAVVjPctB4eqiafTghnL_xhvkrjk&amp;gid=400689247&amp;screenname=allbonjeff16" TargetMode="External"/><Relationship Id="rId491" Type="http://schemas.openxmlformats.org/officeDocument/2006/relationships/hyperlink" Target="http://hawksey.info/tagsexplorer/arc.html?key=1juyIQsnL_T8tqzfzAVVjPctB4eqiafTghnL_xhvkrjk&amp;gid=400689247&amp;screenname=HackettTom" TargetMode="External"/><Relationship Id="rId490" Type="http://schemas.openxmlformats.org/officeDocument/2006/relationships/hyperlink" Target="http://hawksey.info/tagsexplorer/arc.html?key=1juyIQsnL_T8tqzfzAVVjPctB4eqiafTghnL_xhvkrjk&amp;gid=400689247&amp;screenname=HSillitto" TargetMode="External"/><Relationship Id="rId489" Type="http://schemas.openxmlformats.org/officeDocument/2006/relationships/hyperlink" Target="http://hawksey.info/tagsexplorer/arc.html?key=1juyIQsnL_T8tqzfzAVVjPctB4eqiafTghnL_xhvkrjk&amp;gid=400689247&amp;screenname=Gwentforeurope" TargetMode="External"/><Relationship Id="rId484" Type="http://schemas.openxmlformats.org/officeDocument/2006/relationships/hyperlink" Target="http://hawksey.info/tagsexplorer/arc.html?key=1juyIQsnL_T8tqzfzAVVjPctB4eqiafTghnL_xhvkrjk&amp;gid=400689247&amp;screenname=Greyman49" TargetMode="External"/><Relationship Id="rId483" Type="http://schemas.openxmlformats.org/officeDocument/2006/relationships/hyperlink" Target="http://hawksey.info/tagsexplorer/arc.html?key=1juyIQsnL_T8tqzfzAVVjPctB4eqiafTghnL_xhvkrjk&amp;gid=400689247&amp;screenname=Grey_Folded" TargetMode="External"/><Relationship Id="rId482" Type="http://schemas.openxmlformats.org/officeDocument/2006/relationships/hyperlink" Target="http://hawksey.info/tagsexplorer/arc.html?key=1juyIQsnL_T8tqzfzAVVjPctB4eqiafTghnL_xhvkrjk&amp;gid=400689247&amp;screenname=GreenKnight60" TargetMode="External"/><Relationship Id="rId481" Type="http://schemas.openxmlformats.org/officeDocument/2006/relationships/hyperlink" Target="http://hawksey.info/tagsexplorer/arc.html?key=1juyIQsnL_T8tqzfzAVVjPctB4eqiafTghnL_xhvkrjk&amp;gid=400689247&amp;screenname=Green2020Tweet" TargetMode="External"/><Relationship Id="rId488" Type="http://schemas.openxmlformats.org/officeDocument/2006/relationships/hyperlink" Target="http://hawksey.info/tagsexplorer/arc.html?key=1juyIQsnL_T8tqzfzAVVjPctB4eqiafTghnL_xhvkrjk&amp;gid=400689247&amp;screenname=GwenGatesParke1" TargetMode="External"/><Relationship Id="rId487" Type="http://schemas.openxmlformats.org/officeDocument/2006/relationships/hyperlink" Target="http://hawksey.info/tagsexplorer/arc.html?key=1juyIQsnL_T8tqzfzAVVjPctB4eqiafTghnL_xhvkrjk&amp;gid=400689247&amp;screenname=GwalaniSonali" TargetMode="External"/><Relationship Id="rId486" Type="http://schemas.openxmlformats.org/officeDocument/2006/relationships/hyperlink" Target="http://hawksey.info/tagsexplorer/arc.html?key=1juyIQsnL_T8tqzfzAVVjPctB4eqiafTghnL_xhvkrjk&amp;gid=400689247&amp;screenname=GusLogic" TargetMode="External"/><Relationship Id="rId485" Type="http://schemas.openxmlformats.org/officeDocument/2006/relationships/hyperlink" Target="http://hawksey.info/tagsexplorer/arc.html?key=1juyIQsnL_T8tqzfzAVVjPctB4eqiafTghnL_xhvkrjk&amp;gid=400689247&amp;screenname=GroupeID_FR" TargetMode="External"/><Relationship Id="rId480" Type="http://schemas.openxmlformats.org/officeDocument/2006/relationships/hyperlink" Target="http://hawksey.info/tagsexplorer/arc.html?key=1juyIQsnL_T8tqzfzAVVjPctB4eqiafTghnL_xhvkrjk&amp;gid=400689247&amp;screenname=GreatBearJumps" TargetMode="External"/><Relationship Id="rId479" Type="http://schemas.openxmlformats.org/officeDocument/2006/relationships/hyperlink" Target="http://hawksey.info/tagsexplorer/arc.html?key=1juyIQsnL_T8tqzfzAVVjPctB4eqiafTghnL_xhvkrjk&amp;gid=400689247&amp;screenname=GranataLLC" TargetMode="External"/><Relationship Id="rId478" Type="http://schemas.openxmlformats.org/officeDocument/2006/relationships/hyperlink" Target="http://hawksey.info/tagsexplorer/arc.html?key=1juyIQsnL_T8tqzfzAVVjPctB4eqiafTghnL_xhvkrjk&amp;gid=400689247&amp;screenname=GrahamBright10" TargetMode="External"/><Relationship Id="rId473" Type="http://schemas.openxmlformats.org/officeDocument/2006/relationships/hyperlink" Target="http://hawksey.info/tagsexplorer/arc.html?key=1juyIQsnL_T8tqzfzAVVjPctB4eqiafTghnL_xhvkrjk&amp;gid=400689247&amp;screenname=GmfisherU" TargetMode="External"/><Relationship Id="rId472" Type="http://schemas.openxmlformats.org/officeDocument/2006/relationships/hyperlink" Target="http://hawksey.info/tagsexplorer/arc.html?key=1juyIQsnL_T8tqzfzAVVjPctB4eqiafTghnL_xhvkrjk&amp;gid=400689247&amp;screenname=Gmcswineyyy" TargetMode="External"/><Relationship Id="rId471" Type="http://schemas.openxmlformats.org/officeDocument/2006/relationships/hyperlink" Target="http://hawksey.info/tagsexplorer/arc.html?key=1juyIQsnL_T8tqzfzAVVjPctB4eqiafTghnL_xhvkrjk&amp;gid=400689247&amp;screenname=GlukVanstone" TargetMode="External"/><Relationship Id="rId470" Type="http://schemas.openxmlformats.org/officeDocument/2006/relationships/hyperlink" Target="http://hawksey.info/tagsexplorer/arc.html?key=1juyIQsnL_T8tqzfzAVVjPctB4eqiafTghnL_xhvkrjk&amp;gid=400689247&amp;screenname=Global_Policy" TargetMode="External"/><Relationship Id="rId477" Type="http://schemas.openxmlformats.org/officeDocument/2006/relationships/hyperlink" Target="http://hawksey.info/tagsexplorer/arc.html?key=1juyIQsnL_T8tqzfzAVVjPctB4eqiafTghnL_xhvkrjk&amp;gid=400689247&amp;screenname=GraceMurphy2" TargetMode="External"/><Relationship Id="rId476" Type="http://schemas.openxmlformats.org/officeDocument/2006/relationships/hyperlink" Target="http://hawksey.info/tagsexplorer/arc.html?key=1juyIQsnL_T8tqzfzAVVjPctB4eqiafTghnL_xhvkrjk&amp;gid=400689247&amp;screenname=Gosia73686703" TargetMode="External"/><Relationship Id="rId475" Type="http://schemas.openxmlformats.org/officeDocument/2006/relationships/hyperlink" Target="http://hawksey.info/tagsexplorer/arc.html?key=1juyIQsnL_T8tqzfzAVVjPctB4eqiafTghnL_xhvkrjk&amp;gid=400689247&amp;screenname=GonnyGlass" TargetMode="External"/><Relationship Id="rId474" Type="http://schemas.openxmlformats.org/officeDocument/2006/relationships/hyperlink" Target="http://hawksey.info/tagsexplorer/arc.html?key=1juyIQsnL_T8tqzfzAVVjPctB4eqiafTghnL_xhvkrjk&amp;gid=400689247&amp;screenname=Goldtwatter" TargetMode="External"/><Relationship Id="rId1257" Type="http://schemas.openxmlformats.org/officeDocument/2006/relationships/hyperlink" Target="http://hawksey.info/tagsexplorer/arc.html?key=1juyIQsnL_T8tqzfzAVVjPctB4eqiafTghnL_xhvkrjk&amp;gid=400689247&amp;screenname=ZebraQueen1969" TargetMode="External"/><Relationship Id="rId1258" Type="http://schemas.openxmlformats.org/officeDocument/2006/relationships/hyperlink" Target="http://hawksey.info/tagsexplorer/arc.html?key=1juyIQsnL_T8tqzfzAVVjPctB4eqiafTghnL_xhvkrjk&amp;gid=400689247&amp;screenname=Zlitniya" TargetMode="External"/><Relationship Id="rId1259" Type="http://schemas.openxmlformats.org/officeDocument/2006/relationships/hyperlink" Target="http://hawksey.info/tagsexplorer/arc.html?key=1juyIQsnL_T8tqzfzAVVjPctB4eqiafTghnL_xhvkrjk&amp;gid=400689247&amp;screenname=_AndyHemming" TargetMode="External"/><Relationship Id="rId426" Type="http://schemas.openxmlformats.org/officeDocument/2006/relationships/hyperlink" Target="http://hawksey.info/tagsexplorer/arc.html?key=1juyIQsnL_T8tqzfzAVVjPctB4eqiafTghnL_xhvkrjk&amp;gid=400689247&amp;screenname=Fionawinters6" TargetMode="External"/><Relationship Id="rId425" Type="http://schemas.openxmlformats.org/officeDocument/2006/relationships/hyperlink" Target="http://hawksey.info/tagsexplorer/arc.html?key=1juyIQsnL_T8tqzfzAVVjPctB4eqiafTghnL_xhvkrjk&amp;gid=400689247&amp;screenname=FionaMc90085949" TargetMode="External"/><Relationship Id="rId424" Type="http://schemas.openxmlformats.org/officeDocument/2006/relationships/hyperlink" Target="http://hawksey.info/tagsexplorer/arc.html?key=1juyIQsnL_T8tqzfzAVVjPctB4eqiafTghnL_xhvkrjk&amp;gid=400689247&amp;screenname=FionaGreenfield" TargetMode="External"/><Relationship Id="rId423" Type="http://schemas.openxmlformats.org/officeDocument/2006/relationships/hyperlink" Target="http://hawksey.info/tagsexplorer/arc.html?key=1juyIQsnL_T8tqzfzAVVjPctB4eqiafTghnL_xhvkrjk&amp;gid=400689247&amp;screenname=Fifilefluffter" TargetMode="External"/><Relationship Id="rId429" Type="http://schemas.openxmlformats.org/officeDocument/2006/relationships/hyperlink" Target="http://hawksey.info/tagsexplorer/arc.html?key=1juyIQsnL_T8tqzfzAVVjPctB4eqiafTghnL_xhvkrjk&amp;gid=400689247&amp;screenname=Fishion1" TargetMode="External"/><Relationship Id="rId428" Type="http://schemas.openxmlformats.org/officeDocument/2006/relationships/hyperlink" Target="http://hawksey.info/tagsexplorer/arc.html?key=1juyIQsnL_T8tqzfzAVVjPctB4eqiafTghnL_xhvkrjk&amp;gid=400689247&amp;screenname=FirstLa14340074" TargetMode="External"/><Relationship Id="rId427" Type="http://schemas.openxmlformats.org/officeDocument/2006/relationships/hyperlink" Target="http://hawksey.info/tagsexplorer/arc.html?key=1juyIQsnL_T8tqzfzAVVjPctB4eqiafTghnL_xhvkrjk&amp;gid=400689247&amp;screenname=Fionna6669" TargetMode="External"/><Relationship Id="rId1250" Type="http://schemas.openxmlformats.org/officeDocument/2006/relationships/hyperlink" Target="http://hawksey.info/tagsexplorer/arc.html?key=1juyIQsnL_T8tqzfzAVVjPctB4eqiafTghnL_xhvkrjk&amp;gid=400689247&amp;screenname=Yasmin22867421" TargetMode="External"/><Relationship Id="rId1251" Type="http://schemas.openxmlformats.org/officeDocument/2006/relationships/hyperlink" Target="http://hawksey.info/tagsexplorer/arc.html?key=1juyIQsnL_T8tqzfzAVVjPctB4eqiafTghnL_xhvkrjk&amp;gid=400689247&amp;screenname=YonkoSenior" TargetMode="External"/><Relationship Id="rId1252" Type="http://schemas.openxmlformats.org/officeDocument/2006/relationships/hyperlink" Target="http://hawksey.info/tagsexplorer/arc.html?key=1juyIQsnL_T8tqzfzAVVjPctB4eqiafTghnL_xhvkrjk&amp;gid=400689247&amp;screenname=YusufMoosajee" TargetMode="External"/><Relationship Id="rId422" Type="http://schemas.openxmlformats.org/officeDocument/2006/relationships/hyperlink" Target="http://hawksey.info/tagsexplorer/arc.html?key=1juyIQsnL_T8tqzfzAVVjPctB4eqiafTghnL_xhvkrjk&amp;gid=400689247&amp;screenname=FerriereMaryse" TargetMode="External"/><Relationship Id="rId1253" Type="http://schemas.openxmlformats.org/officeDocument/2006/relationships/hyperlink" Target="http://hawksey.info/tagsexplorer/arc.html?key=1juyIQsnL_T8tqzfzAVVjPctB4eqiafTghnL_xhvkrjk&amp;gid=400689247&amp;screenname=YvetteHenson" TargetMode="External"/><Relationship Id="rId421" Type="http://schemas.openxmlformats.org/officeDocument/2006/relationships/hyperlink" Target="http://hawksey.info/tagsexplorer/arc.html?key=1juyIQsnL_T8tqzfzAVVjPctB4eqiafTghnL_xhvkrjk&amp;gid=400689247&amp;screenname=FergusNolan2000" TargetMode="External"/><Relationship Id="rId1254" Type="http://schemas.openxmlformats.org/officeDocument/2006/relationships/hyperlink" Target="http://hawksey.info/tagsexplorer/arc.html?key=1juyIQsnL_T8tqzfzAVVjPctB4eqiafTghnL_xhvkrjk&amp;gid=400689247&amp;screenname=Yvonne49788239" TargetMode="External"/><Relationship Id="rId420" Type="http://schemas.openxmlformats.org/officeDocument/2006/relationships/hyperlink" Target="http://hawksey.info/tagsexplorer/arc.html?key=1juyIQsnL_T8tqzfzAVVjPctB4eqiafTghnL_xhvkrjk&amp;gid=400689247&amp;screenname=FbpePiste" TargetMode="External"/><Relationship Id="rId1255" Type="http://schemas.openxmlformats.org/officeDocument/2006/relationships/hyperlink" Target="http://hawksey.info/tagsexplorer/arc.html?key=1juyIQsnL_T8tqzfzAVVjPctB4eqiafTghnL_xhvkrjk&amp;gid=400689247&amp;screenname=YvonnecWhelan" TargetMode="External"/><Relationship Id="rId1256" Type="http://schemas.openxmlformats.org/officeDocument/2006/relationships/hyperlink" Target="http://hawksey.info/tagsexplorer/arc.html?key=1juyIQsnL_T8tqzfzAVVjPctB4eqiafTghnL_xhvkrjk&amp;gid=400689247&amp;screenname=ZaraFanRav1" TargetMode="External"/><Relationship Id="rId1246" Type="http://schemas.openxmlformats.org/officeDocument/2006/relationships/hyperlink" Target="http://hawksey.info/tagsexplorer/arc.html?key=1juyIQsnL_T8tqzfzAVVjPctB4eqiafTghnL_xhvkrjk&amp;gid=400689247&amp;screenname=XXX1946" TargetMode="External"/><Relationship Id="rId1247" Type="http://schemas.openxmlformats.org/officeDocument/2006/relationships/hyperlink" Target="http://hawksey.info/tagsexplorer/arc.html?key=1juyIQsnL_T8tqzfzAVVjPctB4eqiafTghnL_xhvkrjk&amp;gid=400689247&amp;screenname=XaviPortales" TargetMode="External"/><Relationship Id="rId1248" Type="http://schemas.openxmlformats.org/officeDocument/2006/relationships/hyperlink" Target="http://hawksey.info/tagsexplorer/arc.html?key=1juyIQsnL_T8tqzfzAVVjPctB4eqiafTghnL_xhvkrjk&amp;gid=400689247&amp;screenname=YBrexiteer" TargetMode="External"/><Relationship Id="rId1249" Type="http://schemas.openxmlformats.org/officeDocument/2006/relationships/hyperlink" Target="http://hawksey.info/tagsexplorer/arc.html?key=1juyIQsnL_T8tqzfzAVVjPctB4eqiafTghnL_xhvkrjk&amp;gid=400689247&amp;screenname=YYvnn" TargetMode="External"/><Relationship Id="rId415" Type="http://schemas.openxmlformats.org/officeDocument/2006/relationships/hyperlink" Target="http://hawksey.info/tagsexplorer/arc.html?key=1juyIQsnL_T8tqzfzAVVjPctB4eqiafTghnL_xhvkrjk&amp;gid=400689247&amp;screenname=Factanonverba73" TargetMode="External"/><Relationship Id="rId414" Type="http://schemas.openxmlformats.org/officeDocument/2006/relationships/hyperlink" Target="http://hawksey.info/tagsexplorer/arc.html?key=1juyIQsnL_T8tqzfzAVVjPctB4eqiafTghnL_xhvkrjk&amp;gid=400689247&amp;screenname=FXstreetNews" TargetMode="External"/><Relationship Id="rId413" Type="http://schemas.openxmlformats.org/officeDocument/2006/relationships/hyperlink" Target="http://hawksey.info/tagsexplorer/arc.html?key=1juyIQsnL_T8tqzfzAVVjPctB4eqiafTghnL_xhvkrjk&amp;gid=400689247&amp;screenname=FXspacetrader" TargetMode="External"/><Relationship Id="rId412" Type="http://schemas.openxmlformats.org/officeDocument/2006/relationships/hyperlink" Target="http://hawksey.info/tagsexplorer/arc.html?key=1juyIQsnL_T8tqzfzAVVjPctB4eqiafTghnL_xhvkrjk&amp;gid=400689247&amp;screenname=FJ731" TargetMode="External"/><Relationship Id="rId419" Type="http://schemas.openxmlformats.org/officeDocument/2006/relationships/hyperlink" Target="http://hawksey.info/tagsexplorer/arc.html?key=1juyIQsnL_T8tqzfzAVVjPctB4eqiafTghnL_xhvkrjk&amp;gid=400689247&amp;screenname=FatimaDuerden" TargetMode="External"/><Relationship Id="rId418" Type="http://schemas.openxmlformats.org/officeDocument/2006/relationships/hyperlink" Target="http://hawksey.info/tagsexplorer/arc.html?key=1juyIQsnL_T8tqzfzAVVjPctB4eqiafTghnL_xhvkrjk&amp;gid=400689247&amp;screenname=Familist" TargetMode="External"/><Relationship Id="rId417" Type="http://schemas.openxmlformats.org/officeDocument/2006/relationships/hyperlink" Target="http://hawksey.info/tagsexplorer/arc.html?key=1juyIQsnL_T8tqzfzAVVjPctB4eqiafTghnL_xhvkrjk&amp;gid=400689247&amp;screenname=FalcoScuderia" TargetMode="External"/><Relationship Id="rId416" Type="http://schemas.openxmlformats.org/officeDocument/2006/relationships/hyperlink" Target="http://hawksey.info/tagsexplorer/arc.html?key=1juyIQsnL_T8tqzfzAVVjPctB4eqiafTghnL_xhvkrjk&amp;gid=400689247&amp;screenname=Facts4euOrg" TargetMode="External"/><Relationship Id="rId1240" Type="http://schemas.openxmlformats.org/officeDocument/2006/relationships/hyperlink" Target="http://hawksey.info/tagsexplorer/arc.html?key=1juyIQsnL_T8tqzfzAVVjPctB4eqiafTghnL_xhvkrjk&amp;gid=400689247&amp;screenname=Wombat120mm" TargetMode="External"/><Relationship Id="rId1241" Type="http://schemas.openxmlformats.org/officeDocument/2006/relationships/hyperlink" Target="http://hawksey.info/tagsexplorer/arc.html?key=1juyIQsnL_T8tqzfzAVVjPctB4eqiafTghnL_xhvkrjk&amp;gid=400689247&amp;screenname=WoodlouseHouse" TargetMode="External"/><Relationship Id="rId411" Type="http://schemas.openxmlformats.org/officeDocument/2006/relationships/hyperlink" Target="http://hawksey.info/tagsexplorer/arc.html?key=1juyIQsnL_T8tqzfzAVVjPctB4eqiafTghnL_xhvkrjk&amp;gid=400689247&amp;screenname=FBM_MidStaffs" TargetMode="External"/><Relationship Id="rId1242" Type="http://schemas.openxmlformats.org/officeDocument/2006/relationships/hyperlink" Target="http://hawksey.info/tagsexplorer/arc.html?key=1juyIQsnL_T8tqzfzAVVjPctB4eqiafTghnL_xhvkrjk&amp;gid=400689247&amp;screenname=WriterMich9" TargetMode="External"/><Relationship Id="rId410" Type="http://schemas.openxmlformats.org/officeDocument/2006/relationships/hyperlink" Target="http://hawksey.info/tagsexplorer/arc.html?key=1juyIQsnL_T8tqzfzAVVjPctB4eqiafTghnL_xhvkrjk&amp;gid=400689247&amp;screenname=Exiled_B" TargetMode="External"/><Relationship Id="rId1243" Type="http://schemas.openxmlformats.org/officeDocument/2006/relationships/hyperlink" Target="http://hawksey.info/tagsexplorer/arc.html?key=1juyIQsnL_T8tqzfzAVVjPctB4eqiafTghnL_xhvkrjk&amp;gid=400689247&amp;screenname=Wspock" TargetMode="External"/><Relationship Id="rId1244" Type="http://schemas.openxmlformats.org/officeDocument/2006/relationships/hyperlink" Target="http://hawksey.info/tagsexplorer/arc.html?key=1juyIQsnL_T8tqzfzAVVjPctB4eqiafTghnL_xhvkrjk&amp;gid=400689247&amp;screenname=WstephenWatson" TargetMode="External"/><Relationship Id="rId1245" Type="http://schemas.openxmlformats.org/officeDocument/2006/relationships/hyperlink" Target="http://hawksey.info/tagsexplorer/arc.html?key=1juyIQsnL_T8tqzfzAVVjPctB4eqiafTghnL_xhvkrjk&amp;gid=400689247&amp;screenname=WynEdwards" TargetMode="External"/><Relationship Id="rId1279" Type="http://schemas.openxmlformats.org/officeDocument/2006/relationships/hyperlink" Target="http://hawksey.info/tagsexplorer/arc.html?key=1juyIQsnL_T8tqzfzAVVjPctB4eqiafTghnL_xhvkrjk&amp;gid=400689247&amp;screenname=alba6363" TargetMode="External"/><Relationship Id="rId448" Type="http://schemas.openxmlformats.org/officeDocument/2006/relationships/hyperlink" Target="http://hawksey.info/tagsexplorer/arc.html?key=1juyIQsnL_T8tqzfzAVVjPctB4eqiafTghnL_xhvkrjk&amp;gid=400689247&amp;screenname=GM_RayKeene" TargetMode="External"/><Relationship Id="rId447" Type="http://schemas.openxmlformats.org/officeDocument/2006/relationships/hyperlink" Target="http://hawksey.info/tagsexplorer/arc.html?key=1juyIQsnL_T8tqzfzAVVjPctB4eqiafTghnL_xhvkrjk&amp;gid=400689247&amp;screenname=GIMAV_Italia" TargetMode="External"/><Relationship Id="rId446" Type="http://schemas.openxmlformats.org/officeDocument/2006/relationships/hyperlink" Target="http://hawksey.info/tagsexplorer/arc.html?key=1juyIQsnL_T8tqzfzAVVjPctB4eqiafTghnL_xhvkrjk&amp;gid=400689247&amp;screenname=G123Kenny" TargetMode="External"/><Relationship Id="rId445" Type="http://schemas.openxmlformats.org/officeDocument/2006/relationships/hyperlink" Target="http://hawksey.info/tagsexplorer/arc.html?key=1juyIQsnL_T8tqzfzAVVjPctB4eqiafTghnL_xhvkrjk&amp;gid=400689247&amp;screenname=FunnyPeculiarF5" TargetMode="External"/><Relationship Id="rId449" Type="http://schemas.openxmlformats.org/officeDocument/2006/relationships/hyperlink" Target="http://hawksey.info/tagsexplorer/arc.html?key=1juyIQsnL_T8tqzfzAVVjPctB4eqiafTghnL_xhvkrjk&amp;gid=400689247&amp;screenname=GThepeakes" TargetMode="External"/><Relationship Id="rId1270" Type="http://schemas.openxmlformats.org/officeDocument/2006/relationships/hyperlink" Target="http://hawksey.info/tagsexplorer/arc.html?key=1juyIQsnL_T8tqzfzAVVjPctB4eqiafTghnL_xhvkrjk&amp;gid=400689247&amp;screenname=ade_firth" TargetMode="External"/><Relationship Id="rId440" Type="http://schemas.openxmlformats.org/officeDocument/2006/relationships/hyperlink" Target="http://hawksey.info/tagsexplorer/arc.html?key=1juyIQsnL_T8tqzfzAVVjPctB4eqiafTghnL_xhvkrjk&amp;gid=400689247&amp;screenname=FrannyHP" TargetMode="External"/><Relationship Id="rId1271" Type="http://schemas.openxmlformats.org/officeDocument/2006/relationships/hyperlink" Target="http://hawksey.info/tagsexplorer/arc.html?key=1juyIQsnL_T8tqzfzAVVjPctB4eqiafTghnL_xhvkrjk&amp;gid=400689247&amp;screenname=aev1609" TargetMode="External"/><Relationship Id="rId1272" Type="http://schemas.openxmlformats.org/officeDocument/2006/relationships/hyperlink" Target="http://hawksey.info/tagsexplorer/arc.html?key=1juyIQsnL_T8tqzfzAVVjPctB4eqiafTghnL_xhvkrjk&amp;gid=400689247&amp;screenname=afsanalachaux" TargetMode="External"/><Relationship Id="rId1273" Type="http://schemas.openxmlformats.org/officeDocument/2006/relationships/hyperlink" Target="http://hawksey.info/tagsexplorer/arc.html?key=1juyIQsnL_T8tqzfzAVVjPctB4eqiafTghnL_xhvkrjk&amp;gid=400689247&amp;screenname=agatha_bobb" TargetMode="External"/><Relationship Id="rId1274" Type="http://schemas.openxmlformats.org/officeDocument/2006/relationships/hyperlink" Target="http://hawksey.info/tagsexplorer/arc.html?key=1juyIQsnL_T8tqzfzAVVjPctB4eqiafTghnL_xhvkrjk&amp;gid=400689247&amp;screenname=agnesmurray32" TargetMode="External"/><Relationship Id="rId444" Type="http://schemas.openxmlformats.org/officeDocument/2006/relationships/hyperlink" Target="http://hawksey.info/tagsexplorer/arc.html?key=1juyIQsnL_T8tqzfzAVVjPctB4eqiafTghnL_xhvkrjk&amp;gid=400689247&amp;screenname=FsmDog" TargetMode="External"/><Relationship Id="rId1275" Type="http://schemas.openxmlformats.org/officeDocument/2006/relationships/hyperlink" Target="http://hawksey.info/tagsexplorer/arc.html?key=1juyIQsnL_T8tqzfzAVVjPctB4eqiafTghnL_xhvkrjk&amp;gid=400689247&amp;screenname=ah_issa" TargetMode="External"/><Relationship Id="rId443" Type="http://schemas.openxmlformats.org/officeDocument/2006/relationships/hyperlink" Target="http://hawksey.info/tagsexplorer/arc.html?key=1juyIQsnL_T8tqzfzAVVjPctB4eqiafTghnL_xhvkrjk&amp;gid=400689247&amp;screenname=FreeBritain" TargetMode="External"/><Relationship Id="rId1276" Type="http://schemas.openxmlformats.org/officeDocument/2006/relationships/hyperlink" Target="http://hawksey.info/tagsexplorer/arc.html?key=1juyIQsnL_T8tqzfzAVVjPctB4eqiafTghnL_xhvkrjk&amp;gid=400689247&amp;screenname=ajgreen62" TargetMode="External"/><Relationship Id="rId442" Type="http://schemas.openxmlformats.org/officeDocument/2006/relationships/hyperlink" Target="http://hawksey.info/tagsexplorer/arc.html?key=1juyIQsnL_T8tqzfzAVVjPctB4eqiafTghnL_xhvkrjk&amp;gid=400689247&amp;screenname=Frederi00431818" TargetMode="External"/><Relationship Id="rId1277" Type="http://schemas.openxmlformats.org/officeDocument/2006/relationships/hyperlink" Target="http://hawksey.info/tagsexplorer/arc.html?key=1juyIQsnL_T8tqzfzAVVjPctB4eqiafTghnL_xhvkrjk&amp;gid=400689247&amp;screenname=ajhellyer52" TargetMode="External"/><Relationship Id="rId441" Type="http://schemas.openxmlformats.org/officeDocument/2006/relationships/hyperlink" Target="http://hawksey.info/tagsexplorer/arc.html?key=1juyIQsnL_T8tqzfzAVVjPctB4eqiafTghnL_xhvkrjk&amp;gid=400689247&amp;screenname=Frasier67Blank" TargetMode="External"/><Relationship Id="rId1278" Type="http://schemas.openxmlformats.org/officeDocument/2006/relationships/hyperlink" Target="http://hawksey.info/tagsexplorer/arc.html?key=1juyIQsnL_T8tqzfzAVVjPctB4eqiafTghnL_xhvkrjk&amp;gid=400689247&amp;screenname=alastairdick" TargetMode="External"/><Relationship Id="rId1268" Type="http://schemas.openxmlformats.org/officeDocument/2006/relationships/hyperlink" Target="http://hawksey.info/tagsexplorer/arc.html?key=1juyIQsnL_T8tqzfzAVVjPctB4eqiafTghnL_xhvkrjk&amp;gid=400689247&amp;screenname=abigail_energy" TargetMode="External"/><Relationship Id="rId1269" Type="http://schemas.openxmlformats.org/officeDocument/2006/relationships/hyperlink" Target="http://hawksey.info/tagsexplorer/arc.html?key=1juyIQsnL_T8tqzfzAVVjPctB4eqiafTghnL_xhvkrjk&amp;gid=400689247&amp;screenname=adcp4" TargetMode="External"/><Relationship Id="rId437" Type="http://schemas.openxmlformats.org/officeDocument/2006/relationships/hyperlink" Target="http://hawksey.info/tagsexplorer/arc.html?key=1juyIQsnL_T8tqzfzAVVjPctB4eqiafTghnL_xhvkrjk&amp;gid=400689247&amp;screenname=Francis72035738" TargetMode="External"/><Relationship Id="rId436" Type="http://schemas.openxmlformats.org/officeDocument/2006/relationships/hyperlink" Target="http://hawksey.info/tagsexplorer/arc.html?key=1juyIQsnL_T8tqzfzAVVjPctB4eqiafTghnL_xhvkrjk&amp;gid=400689247&amp;screenname=FranannigansD" TargetMode="External"/><Relationship Id="rId435" Type="http://schemas.openxmlformats.org/officeDocument/2006/relationships/hyperlink" Target="http://hawksey.info/tagsexplorer/arc.html?key=1juyIQsnL_T8tqzfzAVVjPctB4eqiafTghnL_xhvkrjk&amp;gid=400689247&amp;screenname=FranNantongwe" TargetMode="External"/><Relationship Id="rId434" Type="http://schemas.openxmlformats.org/officeDocument/2006/relationships/hyperlink" Target="http://hawksey.info/tagsexplorer/arc.html?key=1juyIQsnL_T8tqzfzAVVjPctB4eqiafTghnL_xhvkrjk&amp;gid=400689247&amp;screenname=FoxonFrancoise" TargetMode="External"/><Relationship Id="rId439" Type="http://schemas.openxmlformats.org/officeDocument/2006/relationships/hyperlink" Target="http://hawksey.info/tagsexplorer/arc.html?key=1juyIQsnL_T8tqzfzAVVjPctB4eqiafTghnL_xhvkrjk&amp;gid=400689247&amp;screenname=FrankSt34499711" TargetMode="External"/><Relationship Id="rId438" Type="http://schemas.openxmlformats.org/officeDocument/2006/relationships/hyperlink" Target="http://hawksey.info/tagsexplorer/arc.html?key=1juyIQsnL_T8tqzfzAVVjPctB4eqiafTghnL_xhvkrjk&amp;gid=400689247&amp;screenname=FrancisMArtUK" TargetMode="External"/><Relationship Id="rId1260" Type="http://schemas.openxmlformats.org/officeDocument/2006/relationships/hyperlink" Target="http://hawksey.info/tagsexplorer/arc.html?key=1juyIQsnL_T8tqzfzAVVjPctB4eqiafTghnL_xhvkrjk&amp;gid=400689247&amp;screenname=_Angry_Engineer" TargetMode="External"/><Relationship Id="rId1261" Type="http://schemas.openxmlformats.org/officeDocument/2006/relationships/hyperlink" Target="http://hawksey.info/tagsexplorer/arc.html?key=1juyIQsnL_T8tqzfzAVVjPctB4eqiafTghnL_xhvkrjk&amp;gid=400689247&amp;screenname=___angelheart__" TargetMode="External"/><Relationship Id="rId1262" Type="http://schemas.openxmlformats.org/officeDocument/2006/relationships/hyperlink" Target="http://hawksey.info/tagsexplorer/arc.html?key=1juyIQsnL_T8tqzfzAVVjPctB4eqiafTghnL_xhvkrjk&amp;gid=400689247&amp;screenname=_andrewsmall" TargetMode="External"/><Relationship Id="rId1263" Type="http://schemas.openxmlformats.org/officeDocument/2006/relationships/hyperlink" Target="http://hawksey.info/tagsexplorer/arc.html?key=1juyIQsnL_T8tqzfzAVVjPctB4eqiafTghnL_xhvkrjk&amp;gid=400689247&amp;screenname=aSweetEspresso" TargetMode="External"/><Relationship Id="rId433" Type="http://schemas.openxmlformats.org/officeDocument/2006/relationships/hyperlink" Target="http://hawksey.info/tagsexplorer/arc.html?key=1juyIQsnL_T8tqzfzAVVjPctB4eqiafTghnL_xhvkrjk&amp;gid=400689247&amp;screenname=FoxeGuido" TargetMode="External"/><Relationship Id="rId1264" Type="http://schemas.openxmlformats.org/officeDocument/2006/relationships/hyperlink" Target="http://hawksey.info/tagsexplorer/arc.html?key=1juyIQsnL_T8tqzfzAVVjPctB4eqiafTghnL_xhvkrjk&amp;gid=400689247&amp;screenname=a__cubed" TargetMode="External"/><Relationship Id="rId432" Type="http://schemas.openxmlformats.org/officeDocument/2006/relationships/hyperlink" Target="http://hawksey.info/tagsexplorer/arc.html?key=1juyIQsnL_T8tqzfzAVVjPctB4eqiafTghnL_xhvkrjk&amp;gid=400689247&amp;screenname=FloGallien" TargetMode="External"/><Relationship Id="rId1265" Type="http://schemas.openxmlformats.org/officeDocument/2006/relationships/hyperlink" Target="http://hawksey.info/tagsexplorer/arc.html?key=1juyIQsnL_T8tqzfzAVVjPctB4eqiafTghnL_xhvkrjk&amp;gid=400689247&amp;screenname=a_protheroe" TargetMode="External"/><Relationship Id="rId431" Type="http://schemas.openxmlformats.org/officeDocument/2006/relationships/hyperlink" Target="http://hawksey.info/tagsexplorer/arc.html?key=1juyIQsnL_T8tqzfzAVVjPctB4eqiafTghnL_xhvkrjk&amp;gid=400689247&amp;screenname=FitzioJ" TargetMode="External"/><Relationship Id="rId1266" Type="http://schemas.openxmlformats.org/officeDocument/2006/relationships/hyperlink" Target="http://hawksey.info/tagsexplorer/arc.html?key=1juyIQsnL_T8tqzfzAVVjPctB4eqiafTghnL_xhvkrjk&amp;gid=400689247&amp;screenname=abbyaug" TargetMode="External"/><Relationship Id="rId430" Type="http://schemas.openxmlformats.org/officeDocument/2006/relationships/hyperlink" Target="http://hawksey.info/tagsexplorer/arc.html?key=1juyIQsnL_T8tqzfzAVVjPctB4eqiafTghnL_xhvkrjk&amp;gid=400689247&amp;screenname=Fitness4London" TargetMode="External"/><Relationship Id="rId1267" Type="http://schemas.openxmlformats.org/officeDocument/2006/relationships/hyperlink" Target="http://hawksey.info/tagsexplorer/arc.html?key=1juyIQsnL_T8tqzfzAVVjPctB4eqiafTghnL_xhvkrjk&amp;gid=400689247&amp;screenname=abi1005" TargetMode="External"/><Relationship Id="rId1" Type="http://schemas.openxmlformats.org/officeDocument/2006/relationships/hyperlink" Target="http://hawksey.info/tagsexplorer/arc.html?key=1juyIQsnL_T8tqzfzAVVjPctB4eqiafTghnL_xhvkrjk&amp;gid=400689247&amp;screenname=100_maincove" TargetMode="External"/><Relationship Id="rId2" Type="http://schemas.openxmlformats.org/officeDocument/2006/relationships/hyperlink" Target="http://hawksey.info/tagsexplorer/arc.html?key=1juyIQsnL_T8tqzfzAVVjPctB4eqiafTghnL_xhvkrjk&amp;gid=400689247&amp;screenname=100pctcocoa" TargetMode="External"/><Relationship Id="rId3" Type="http://schemas.openxmlformats.org/officeDocument/2006/relationships/hyperlink" Target="http://hawksey.info/tagsexplorer/arc.html?key=1juyIQsnL_T8tqzfzAVVjPctB4eqiafTghnL_xhvkrjk&amp;gid=400689247&amp;screenname=1066cariad" TargetMode="External"/><Relationship Id="rId4" Type="http://schemas.openxmlformats.org/officeDocument/2006/relationships/hyperlink" Target="http://hawksey.info/tagsexplorer/arc.html?key=1juyIQsnL_T8tqzfzAVVjPctB4eqiafTghnL_xhvkrjk&amp;gid=400689247&amp;screenname=10_000BC" TargetMode="External"/><Relationship Id="rId9" Type="http://schemas.openxmlformats.org/officeDocument/2006/relationships/hyperlink" Target="http://hawksey.info/tagsexplorer/arc.html?key=1juyIQsnL_T8tqzfzAVVjPctB4eqiafTghnL_xhvkrjk&amp;gid=400689247&amp;screenname=2busy2bhere" TargetMode="External"/><Relationship Id="rId5" Type="http://schemas.openxmlformats.org/officeDocument/2006/relationships/hyperlink" Target="http://hawksey.info/tagsexplorer/arc.html?key=1juyIQsnL_T8tqzfzAVVjPctB4eqiafTghnL_xhvkrjk&amp;gid=400689247&amp;screenname=16Sharkey" TargetMode="External"/><Relationship Id="rId6" Type="http://schemas.openxmlformats.org/officeDocument/2006/relationships/hyperlink" Target="http://hawksey.info/tagsexplorer/arc.html?key=1juyIQsnL_T8tqzfzAVVjPctB4eqiafTghnL_xhvkrjk&amp;gid=400689247&amp;screenname=1949jack" TargetMode="External"/><Relationship Id="rId7" Type="http://schemas.openxmlformats.org/officeDocument/2006/relationships/hyperlink" Target="http://hawksey.info/tagsexplorer/arc.html?key=1juyIQsnL_T8tqzfzAVVjPctB4eqiafTghnL_xhvkrjk&amp;gid=400689247&amp;screenname=1973GJWEcon" TargetMode="External"/><Relationship Id="rId8" Type="http://schemas.openxmlformats.org/officeDocument/2006/relationships/hyperlink" Target="http://hawksey.info/tagsexplorer/arc.html?key=1juyIQsnL_T8tqzfzAVVjPctB4eqiafTghnL_xhvkrjk&amp;gid=400689247&amp;screenname=1karenannwalker" TargetMode="External"/><Relationship Id="rId808" Type="http://schemas.openxmlformats.org/officeDocument/2006/relationships/hyperlink" Target="http://hawksey.info/tagsexplorer/arc.html?key=1juyIQsnL_T8tqzfzAVVjPctB4eqiafTghnL_xhvkrjk&amp;gid=400689247&amp;screenname=Mitsawokett_UK" TargetMode="External"/><Relationship Id="rId807" Type="http://schemas.openxmlformats.org/officeDocument/2006/relationships/hyperlink" Target="http://hawksey.info/tagsexplorer/arc.html?key=1juyIQsnL_T8tqzfzAVVjPctB4eqiafTghnL_xhvkrjk&amp;gid=400689247&amp;screenname=Mistywoman1" TargetMode="External"/><Relationship Id="rId806" Type="http://schemas.openxmlformats.org/officeDocument/2006/relationships/hyperlink" Target="http://hawksey.info/tagsexplorer/arc.html?key=1juyIQsnL_T8tqzfzAVVjPctB4eqiafTghnL_xhvkrjk&amp;gid=400689247&amp;screenname=MissPopperama" TargetMode="External"/><Relationship Id="rId805" Type="http://schemas.openxmlformats.org/officeDocument/2006/relationships/hyperlink" Target="http://hawksey.info/tagsexplorer/arc.html?key=1juyIQsnL_T8tqzfzAVVjPctB4eqiafTghnL_xhvkrjk&amp;gid=400689247&amp;screenname=MissLed20" TargetMode="External"/><Relationship Id="rId809" Type="http://schemas.openxmlformats.org/officeDocument/2006/relationships/hyperlink" Target="http://hawksey.info/tagsexplorer/arc.html?key=1juyIQsnL_T8tqzfzAVVjPctB4eqiafTghnL_xhvkrjk&amp;gid=400689247&amp;screenname=MiuWasHere" TargetMode="External"/><Relationship Id="rId800" Type="http://schemas.openxmlformats.org/officeDocument/2006/relationships/hyperlink" Target="http://hawksey.info/tagsexplorer/arc.html?key=1juyIQsnL_T8tqzfzAVVjPctB4eqiafTghnL_xhvkrjk&amp;gid=400689247&amp;screenname=MimiJ9" TargetMode="External"/><Relationship Id="rId804" Type="http://schemas.openxmlformats.org/officeDocument/2006/relationships/hyperlink" Target="http://hawksey.info/tagsexplorer/arc.html?key=1juyIQsnL_T8tqzfzAVVjPctB4eqiafTghnL_xhvkrjk&amp;gid=400689247&amp;screenname=Mischiefrules" TargetMode="External"/><Relationship Id="rId803" Type="http://schemas.openxmlformats.org/officeDocument/2006/relationships/hyperlink" Target="http://hawksey.info/tagsexplorer/arc.html?key=1juyIQsnL_T8tqzfzAVVjPctB4eqiafTghnL_xhvkrjk&amp;gid=400689247&amp;screenname=MirandaWhiting" TargetMode="External"/><Relationship Id="rId802" Type="http://schemas.openxmlformats.org/officeDocument/2006/relationships/hyperlink" Target="http://hawksey.info/tagsexplorer/arc.html?key=1juyIQsnL_T8tqzfzAVVjPctB4eqiafTghnL_xhvkrjk&amp;gid=400689247&amp;screenname=MirandaPinch" TargetMode="External"/><Relationship Id="rId801" Type="http://schemas.openxmlformats.org/officeDocument/2006/relationships/hyperlink" Target="http://hawksey.info/tagsexplorer/arc.html?key=1juyIQsnL_T8tqzfzAVVjPctB4eqiafTghnL_xhvkrjk&amp;gid=400689247&amp;screenname=MinzylikesJazz" TargetMode="External"/><Relationship Id="rId1334" Type="http://schemas.openxmlformats.org/officeDocument/2006/relationships/hyperlink" Target="http://hawksey.info/tagsexplorer/arc.html?key=1juyIQsnL_T8tqzfzAVVjPctB4eqiafTghnL_xhvkrjk&amp;gid=400689247&amp;screenname=bedfordyid" TargetMode="External"/><Relationship Id="rId1335" Type="http://schemas.openxmlformats.org/officeDocument/2006/relationships/hyperlink" Target="http://hawksey.info/tagsexplorer/arc.html?key=1juyIQsnL_T8tqzfzAVVjPctB4eqiafTghnL_xhvkrjk&amp;gid=400689247&amp;screenname=beech78" TargetMode="External"/><Relationship Id="rId1336" Type="http://schemas.openxmlformats.org/officeDocument/2006/relationships/hyperlink" Target="http://hawksey.info/tagsexplorer/arc.html?key=1juyIQsnL_T8tqzfzAVVjPctB4eqiafTghnL_xhvkrjk&amp;gid=400689247&amp;screenname=beith123" TargetMode="External"/><Relationship Id="rId1337" Type="http://schemas.openxmlformats.org/officeDocument/2006/relationships/hyperlink" Target="http://hawksey.info/tagsexplorer/arc.html?key=1juyIQsnL_T8tqzfzAVVjPctB4eqiafTghnL_xhvkrjk&amp;gid=400689247&amp;screenname=bellabean2" TargetMode="External"/><Relationship Id="rId1338" Type="http://schemas.openxmlformats.org/officeDocument/2006/relationships/hyperlink" Target="http://hawksey.info/tagsexplorer/arc.html?key=1juyIQsnL_T8tqzfzAVVjPctB4eqiafTghnL_xhvkrjk&amp;gid=400689247&amp;screenname=bellesareblue" TargetMode="External"/><Relationship Id="rId1339" Type="http://schemas.openxmlformats.org/officeDocument/2006/relationships/hyperlink" Target="http://hawksey.info/tagsexplorer/arc.html?key=1juyIQsnL_T8tqzfzAVVjPctB4eqiafTghnL_xhvkrjk&amp;gid=400689247&amp;screenname=bendevon2" TargetMode="External"/><Relationship Id="rId745" Type="http://schemas.openxmlformats.org/officeDocument/2006/relationships/hyperlink" Target="http://hawksey.info/tagsexplorer/arc.html?key=1juyIQsnL_T8tqzfzAVVjPctB4eqiafTghnL_xhvkrjk&amp;gid=400689247&amp;screenname=MWFertileMinds" TargetMode="External"/><Relationship Id="rId744" Type="http://schemas.openxmlformats.org/officeDocument/2006/relationships/hyperlink" Target="http://hawksey.info/tagsexplorer/arc.html?key=1juyIQsnL_T8tqzfzAVVjPctB4eqiafTghnL_xhvkrjk&amp;gid=400689247&amp;screenname=MUvonBulow" TargetMode="External"/><Relationship Id="rId743" Type="http://schemas.openxmlformats.org/officeDocument/2006/relationships/hyperlink" Target="http://hawksey.info/tagsexplorer/arc.html?key=1juyIQsnL_T8tqzfzAVVjPctB4eqiafTghnL_xhvkrjk&amp;gid=400689247&amp;screenname=MTG_Illustrates" TargetMode="External"/><Relationship Id="rId742" Type="http://schemas.openxmlformats.org/officeDocument/2006/relationships/hyperlink" Target="http://hawksey.info/tagsexplorer/arc.html?key=1juyIQsnL_T8tqzfzAVVjPctB4eqiafTghnL_xhvkrjk&amp;gid=400689247&amp;screenname=MMRBoyce" TargetMode="External"/><Relationship Id="rId749" Type="http://schemas.openxmlformats.org/officeDocument/2006/relationships/hyperlink" Target="http://hawksey.info/tagsexplorer/arc.html?key=1juyIQsnL_T8tqzfzAVVjPctB4eqiafTghnL_xhvkrjk&amp;gid=400689247&amp;screenname=Maerdydd" TargetMode="External"/><Relationship Id="rId748" Type="http://schemas.openxmlformats.org/officeDocument/2006/relationships/hyperlink" Target="http://hawksey.info/tagsexplorer/arc.html?key=1juyIQsnL_T8tqzfzAVVjPctB4eqiafTghnL_xhvkrjk&amp;gid=400689247&amp;screenname=MaddestMa" TargetMode="External"/><Relationship Id="rId747" Type="http://schemas.openxmlformats.org/officeDocument/2006/relationships/hyperlink" Target="http://hawksey.info/tagsexplorer/arc.html?key=1juyIQsnL_T8tqzfzAVVjPctB4eqiafTghnL_xhvkrjk&amp;gid=400689247&amp;screenname=Macheath1" TargetMode="External"/><Relationship Id="rId746" Type="http://schemas.openxmlformats.org/officeDocument/2006/relationships/hyperlink" Target="http://hawksey.info/tagsexplorer/arc.html?key=1juyIQsnL_T8tqzfzAVVjPctB4eqiafTghnL_xhvkrjk&amp;gid=400689247&amp;screenname=M_Tibbles" TargetMode="External"/><Relationship Id="rId741" Type="http://schemas.openxmlformats.org/officeDocument/2006/relationships/hyperlink" Target="http://hawksey.info/tagsexplorer/arc.html?key=1juyIQsnL_T8tqzfzAVVjPctB4eqiafTghnL_xhvkrjk&amp;gid=400689247&amp;screenname=MJJSeagull" TargetMode="External"/><Relationship Id="rId1330" Type="http://schemas.openxmlformats.org/officeDocument/2006/relationships/hyperlink" Target="http://hawksey.info/tagsexplorer/arc.html?key=1juyIQsnL_T8tqzfzAVVjPctB4eqiafTghnL_xhvkrjk&amp;gid=400689247&amp;screenname=bardofely" TargetMode="External"/><Relationship Id="rId740" Type="http://schemas.openxmlformats.org/officeDocument/2006/relationships/hyperlink" Target="http://hawksey.info/tagsexplorer/arc.html?key=1juyIQsnL_T8tqzfzAVVjPctB4eqiafTghnL_xhvkrjk&amp;gid=400689247&amp;screenname=MJBr00ks58" TargetMode="External"/><Relationship Id="rId1331" Type="http://schemas.openxmlformats.org/officeDocument/2006/relationships/hyperlink" Target="http://hawksey.info/tagsexplorer/arc.html?key=1juyIQsnL_T8tqzfzAVVjPctB4eqiafTghnL_xhvkrjk&amp;gid=400689247&amp;screenname=barlaventoexp" TargetMode="External"/><Relationship Id="rId1332" Type="http://schemas.openxmlformats.org/officeDocument/2006/relationships/hyperlink" Target="http://hawksey.info/tagsexplorer/arc.html?key=1juyIQsnL_T8tqzfzAVVjPctB4eqiafTghnL_xhvkrjk&amp;gid=400689247&amp;screenname=barry_gabjack" TargetMode="External"/><Relationship Id="rId1333" Type="http://schemas.openxmlformats.org/officeDocument/2006/relationships/hyperlink" Target="http://hawksey.info/tagsexplorer/arc.html?key=1juyIQsnL_T8tqzfzAVVjPctB4eqiafTghnL_xhvkrjk&amp;gid=400689247&amp;screenname=bear_risa" TargetMode="External"/><Relationship Id="rId1323" Type="http://schemas.openxmlformats.org/officeDocument/2006/relationships/hyperlink" Target="http://hawksey.info/tagsexplorer/arc.html?key=1juyIQsnL_T8tqzfzAVVjPctB4eqiafTghnL_xhvkrjk&amp;gid=400689247&amp;screenname=astro_trader" TargetMode="External"/><Relationship Id="rId1324" Type="http://schemas.openxmlformats.org/officeDocument/2006/relationships/hyperlink" Target="http://hawksey.info/tagsexplorer/arc.html?key=1juyIQsnL_T8tqzfzAVVjPctB4eqiafTghnL_xhvkrjk&amp;gid=400689247&amp;screenname=attractaub" TargetMode="External"/><Relationship Id="rId1325" Type="http://schemas.openxmlformats.org/officeDocument/2006/relationships/hyperlink" Target="http://hawksey.info/tagsexplorer/arc.html?key=1juyIQsnL_T8tqzfzAVVjPctB4eqiafTghnL_xhvkrjk&amp;gid=400689247&amp;screenname=audouin1b" TargetMode="External"/><Relationship Id="rId1326" Type="http://schemas.openxmlformats.org/officeDocument/2006/relationships/hyperlink" Target="http://hawksey.info/tagsexplorer/arc.html?key=1juyIQsnL_T8tqzfzAVVjPctB4eqiafTghnL_xhvkrjk&amp;gid=400689247&amp;screenname=avocet41" TargetMode="External"/><Relationship Id="rId1327" Type="http://schemas.openxmlformats.org/officeDocument/2006/relationships/hyperlink" Target="http://hawksey.info/tagsexplorer/arc.html?key=1juyIQsnL_T8tqzfzAVVjPctB4eqiafTghnL_xhvkrjk&amp;gid=400689247&amp;screenname=b4ngali" TargetMode="External"/><Relationship Id="rId1328" Type="http://schemas.openxmlformats.org/officeDocument/2006/relationships/hyperlink" Target="http://hawksey.info/tagsexplorer/arc.html?key=1juyIQsnL_T8tqzfzAVVjPctB4eqiafTghnL_xhvkrjk&amp;gid=400689247&amp;screenname=barbara_farneti" TargetMode="External"/><Relationship Id="rId1329" Type="http://schemas.openxmlformats.org/officeDocument/2006/relationships/hyperlink" Target="http://hawksey.info/tagsexplorer/arc.html?key=1juyIQsnL_T8tqzfzAVVjPctB4eqiafTghnL_xhvkrjk&amp;gid=400689247&amp;screenname=barbaraburdon" TargetMode="External"/><Relationship Id="rId739" Type="http://schemas.openxmlformats.org/officeDocument/2006/relationships/hyperlink" Target="http://hawksey.info/tagsexplorer/arc.html?key=1juyIQsnL_T8tqzfzAVVjPctB4eqiafTghnL_xhvkrjk&amp;gid=400689247&amp;screenname=MHartleyJones" TargetMode="External"/><Relationship Id="rId734" Type="http://schemas.openxmlformats.org/officeDocument/2006/relationships/hyperlink" Target="http://hawksey.info/tagsexplorer/arc.html?key=1juyIQsnL_T8tqzfzAVVjPctB4eqiafTghnL_xhvkrjk&amp;gid=400689247&amp;screenname=LukeWar73493682" TargetMode="External"/><Relationship Id="rId733" Type="http://schemas.openxmlformats.org/officeDocument/2006/relationships/hyperlink" Target="http://hawksey.info/tagsexplorer/arc.html?key=1juyIQsnL_T8tqzfzAVVjPctB4eqiafTghnL_xhvkrjk&amp;gid=400689247&amp;screenname=LucyW67" TargetMode="External"/><Relationship Id="rId732" Type="http://schemas.openxmlformats.org/officeDocument/2006/relationships/hyperlink" Target="http://hawksey.info/tagsexplorer/arc.html?key=1juyIQsnL_T8tqzfzAVVjPctB4eqiafTghnL_xhvkrjk&amp;gid=400689247&amp;screenname=LucyBauduin" TargetMode="External"/><Relationship Id="rId731" Type="http://schemas.openxmlformats.org/officeDocument/2006/relationships/hyperlink" Target="http://hawksey.info/tagsexplorer/arc.html?key=1juyIQsnL_T8tqzfzAVVjPctB4eqiafTghnL_xhvkrjk&amp;gid=400689247&amp;screenname=LucaTon42167012" TargetMode="External"/><Relationship Id="rId738" Type="http://schemas.openxmlformats.org/officeDocument/2006/relationships/hyperlink" Target="http://hawksey.info/tagsexplorer/arc.html?key=1juyIQsnL_T8tqzfzAVVjPctB4eqiafTghnL_xhvkrjk&amp;gid=400689247&amp;screenname=MEHMiller2" TargetMode="External"/><Relationship Id="rId737" Type="http://schemas.openxmlformats.org/officeDocument/2006/relationships/hyperlink" Target="http://hawksey.info/tagsexplorer/arc.html?key=1juyIQsnL_T8tqzfzAVVjPctB4eqiafTghnL_xhvkrjk&amp;gid=400689247&amp;screenname=M1JSS" TargetMode="External"/><Relationship Id="rId736" Type="http://schemas.openxmlformats.org/officeDocument/2006/relationships/hyperlink" Target="http://hawksey.info/tagsexplorer/arc.html?key=1juyIQsnL_T8tqzfzAVVjPctB4eqiafTghnL_xhvkrjk&amp;gid=400689247&amp;screenname=LupacchiottoDog" TargetMode="External"/><Relationship Id="rId735" Type="http://schemas.openxmlformats.org/officeDocument/2006/relationships/hyperlink" Target="http://hawksey.info/tagsexplorer/arc.html?key=1juyIQsnL_T8tqzfzAVVjPctB4eqiafTghnL_xhvkrjk&amp;gid=400689247&amp;screenname=Lukecm68" TargetMode="External"/><Relationship Id="rId730" Type="http://schemas.openxmlformats.org/officeDocument/2006/relationships/hyperlink" Target="http://hawksey.info/tagsexplorer/arc.html?key=1juyIQsnL_T8tqzfzAVVjPctB4eqiafTghnL_xhvkrjk&amp;gid=400689247&amp;screenname=LozzB59" TargetMode="External"/><Relationship Id="rId1320" Type="http://schemas.openxmlformats.org/officeDocument/2006/relationships/hyperlink" Target="http://hawksey.info/tagsexplorer/arc.html?key=1juyIQsnL_T8tqzfzAVVjPctB4eqiafTghnL_xhvkrjk&amp;gid=400689247&amp;screenname=arnold_loz" TargetMode="External"/><Relationship Id="rId1321" Type="http://schemas.openxmlformats.org/officeDocument/2006/relationships/hyperlink" Target="http://hawksey.info/tagsexplorer/arc.html?key=1juyIQsnL_T8tqzfzAVVjPctB4eqiafTghnL_xhvkrjk&amp;gid=400689247&amp;screenname=art__bart" TargetMode="External"/><Relationship Id="rId1322" Type="http://schemas.openxmlformats.org/officeDocument/2006/relationships/hyperlink" Target="http://hawksey.info/tagsexplorer/arc.html?key=1juyIQsnL_T8tqzfzAVVjPctB4eqiafTghnL_xhvkrjk&amp;gid=400689247&amp;screenname=art_iculate" TargetMode="External"/><Relationship Id="rId1356" Type="http://schemas.openxmlformats.org/officeDocument/2006/relationships/hyperlink" Target="http://hawksey.info/tagsexplorer/arc.html?key=1juyIQsnL_T8tqzfzAVVjPctB4eqiafTghnL_xhvkrjk&amp;gid=400689247&amp;screenname=bneintellinews" TargetMode="External"/><Relationship Id="rId1357" Type="http://schemas.openxmlformats.org/officeDocument/2006/relationships/hyperlink" Target="http://hawksey.info/tagsexplorer/arc.html?key=1juyIQsnL_T8tqzfzAVVjPctB4eqiafTghnL_xhvkrjk&amp;gid=400689247&amp;screenname=bobirving_green" TargetMode="External"/><Relationship Id="rId1358" Type="http://schemas.openxmlformats.org/officeDocument/2006/relationships/hyperlink" Target="http://hawksey.info/tagsexplorer/arc.html?key=1juyIQsnL_T8tqzfzAVVjPctB4eqiafTghnL_xhvkrjk&amp;gid=400689247&amp;screenname=boblister_poole" TargetMode="External"/><Relationship Id="rId1359" Type="http://schemas.openxmlformats.org/officeDocument/2006/relationships/hyperlink" Target="http://hawksey.info/tagsexplorer/arc.html?key=1juyIQsnL_T8tqzfzAVVjPctB4eqiafTghnL_xhvkrjk&amp;gid=400689247&amp;screenname=bobreeduk" TargetMode="External"/><Relationship Id="rId767" Type="http://schemas.openxmlformats.org/officeDocument/2006/relationships/hyperlink" Target="http://hawksey.info/tagsexplorer/arc.html?key=1juyIQsnL_T8tqzfzAVVjPctB4eqiafTghnL_xhvkrjk&amp;gid=400689247&amp;screenname=MarkC33548991" TargetMode="External"/><Relationship Id="rId766" Type="http://schemas.openxmlformats.org/officeDocument/2006/relationships/hyperlink" Target="http://hawksey.info/tagsexplorer/arc.html?key=1juyIQsnL_T8tqzfzAVVjPctB4eqiafTghnL_xhvkrjk&amp;gid=400689247&amp;screenname=Mariebe10098426" TargetMode="External"/><Relationship Id="rId765" Type="http://schemas.openxmlformats.org/officeDocument/2006/relationships/hyperlink" Target="http://hawksey.info/tagsexplorer/arc.html?key=1juyIQsnL_T8tqzfzAVVjPctB4eqiafTghnL_xhvkrjk&amp;gid=400689247&amp;screenname=Mariannebuzz" TargetMode="External"/><Relationship Id="rId764" Type="http://schemas.openxmlformats.org/officeDocument/2006/relationships/hyperlink" Target="http://hawksey.info/tagsexplorer/arc.html?key=1juyIQsnL_T8tqzfzAVVjPctB4eqiafTghnL_xhvkrjk&amp;gid=400689247&amp;screenname=Marianna___S" TargetMode="External"/><Relationship Id="rId769" Type="http://schemas.openxmlformats.org/officeDocument/2006/relationships/hyperlink" Target="http://hawksey.info/tagsexplorer/arc.html?key=1juyIQsnL_T8tqzfzAVVjPctB4eqiafTghnL_xhvkrjk&amp;gid=400689247&amp;screenname=MarkHazard2020" TargetMode="External"/><Relationship Id="rId768" Type="http://schemas.openxmlformats.org/officeDocument/2006/relationships/hyperlink" Target="http://hawksey.info/tagsexplorer/arc.html?key=1juyIQsnL_T8tqzfzAVVjPctB4eqiafTghnL_xhvkrjk&amp;gid=400689247&amp;screenname=MarkDSimmons" TargetMode="External"/><Relationship Id="rId1350" Type="http://schemas.openxmlformats.org/officeDocument/2006/relationships/hyperlink" Target="http://hawksey.info/tagsexplorer/arc.html?key=1juyIQsnL_T8tqzfzAVVjPctB4eqiafTghnL_xhvkrjk&amp;gid=400689247&amp;screenname=blandine_renou" TargetMode="External"/><Relationship Id="rId1351" Type="http://schemas.openxmlformats.org/officeDocument/2006/relationships/hyperlink" Target="http://hawksey.info/tagsexplorer/arc.html?key=1juyIQsnL_T8tqzfzAVVjPctB4eqiafTghnL_xhvkrjk&amp;gid=400689247&amp;screenname=bloggerheads" TargetMode="External"/><Relationship Id="rId763" Type="http://schemas.openxmlformats.org/officeDocument/2006/relationships/hyperlink" Target="http://hawksey.info/tagsexplorer/arc.html?key=1juyIQsnL_T8tqzfzAVVjPctB4eqiafTghnL_xhvkrjk&amp;gid=400689247&amp;screenname=MariaMo32975161" TargetMode="External"/><Relationship Id="rId1352" Type="http://schemas.openxmlformats.org/officeDocument/2006/relationships/hyperlink" Target="http://hawksey.info/tagsexplorer/arc.html?key=1juyIQsnL_T8tqzfzAVVjPctB4eqiafTghnL_xhvkrjk&amp;gid=400689247&amp;screenname=blucienwilliams" TargetMode="External"/><Relationship Id="rId762" Type="http://schemas.openxmlformats.org/officeDocument/2006/relationships/hyperlink" Target="http://hawksey.info/tagsexplorer/arc.html?key=1juyIQsnL_T8tqzfzAVVjPctB4eqiafTghnL_xhvkrjk&amp;gid=400689247&amp;screenname=MariaDelGreco1" TargetMode="External"/><Relationship Id="rId1353" Type="http://schemas.openxmlformats.org/officeDocument/2006/relationships/hyperlink" Target="http://hawksey.info/tagsexplorer/arc.html?key=1juyIQsnL_T8tqzfzAVVjPctB4eqiafTghnL_xhvkrjk&amp;gid=400689247&amp;screenname=bly_mon" TargetMode="External"/><Relationship Id="rId761" Type="http://schemas.openxmlformats.org/officeDocument/2006/relationships/hyperlink" Target="http://hawksey.info/tagsexplorer/arc.html?key=1juyIQsnL_T8tqzfzAVVjPctB4eqiafTghnL_xhvkrjk&amp;gid=400689247&amp;screenname=MargaretCarman1" TargetMode="External"/><Relationship Id="rId1354" Type="http://schemas.openxmlformats.org/officeDocument/2006/relationships/hyperlink" Target="http://hawksey.info/tagsexplorer/arc.html?key=1juyIQsnL_T8tqzfzAVVjPctB4eqiafTghnL_xhvkrjk&amp;gid=400689247&amp;screenname=bmetwit" TargetMode="External"/><Relationship Id="rId760" Type="http://schemas.openxmlformats.org/officeDocument/2006/relationships/hyperlink" Target="http://hawksey.info/tagsexplorer/arc.html?key=1juyIQsnL_T8tqzfzAVVjPctB4eqiafTghnL_xhvkrjk&amp;gid=400689247&amp;screenname=Margare55035539" TargetMode="External"/><Relationship Id="rId1355" Type="http://schemas.openxmlformats.org/officeDocument/2006/relationships/hyperlink" Target="http://hawksey.info/tagsexplorer/arc.html?key=1juyIQsnL_T8tqzfzAVVjPctB4eqiafTghnL_xhvkrjk&amp;gid=400689247&amp;screenname=bmf1g10" TargetMode="External"/><Relationship Id="rId1345" Type="http://schemas.openxmlformats.org/officeDocument/2006/relationships/hyperlink" Target="http://hawksey.info/tagsexplorer/arc.html?key=1juyIQsnL_T8tqzfzAVVjPctB4eqiafTghnL_xhvkrjk&amp;gid=400689247&amp;screenname=bigtrembles" TargetMode="External"/><Relationship Id="rId1346" Type="http://schemas.openxmlformats.org/officeDocument/2006/relationships/hyperlink" Target="http://hawksey.info/tagsexplorer/arc.html?key=1juyIQsnL_T8tqzfzAVVjPctB4eqiafTghnL_xhvkrjk&amp;gid=400689247&amp;screenname=bill11uk" TargetMode="External"/><Relationship Id="rId1347" Type="http://schemas.openxmlformats.org/officeDocument/2006/relationships/hyperlink" Target="http://hawksey.info/tagsexplorer/arc.html?key=1juyIQsnL_T8tqzfzAVVjPctB4eqiafTghnL_xhvkrjk&amp;gid=400689247&amp;screenname=billsimpson16" TargetMode="External"/><Relationship Id="rId1348" Type="http://schemas.openxmlformats.org/officeDocument/2006/relationships/hyperlink" Target="http://hawksey.info/tagsexplorer/arc.html?key=1juyIQsnL_T8tqzfzAVVjPctB4eqiafTghnL_xhvkrjk&amp;gid=400689247&amp;screenname=bionic_dread" TargetMode="External"/><Relationship Id="rId1349" Type="http://schemas.openxmlformats.org/officeDocument/2006/relationships/hyperlink" Target="http://hawksey.info/tagsexplorer/arc.html?key=1juyIQsnL_T8tqzfzAVVjPctB4eqiafTghnL_xhvkrjk&amp;gid=400689247&amp;screenname=blackalicious61" TargetMode="External"/><Relationship Id="rId756" Type="http://schemas.openxmlformats.org/officeDocument/2006/relationships/hyperlink" Target="http://hawksey.info/tagsexplorer/arc.html?key=1juyIQsnL_T8tqzfzAVVjPctB4eqiafTghnL_xhvkrjk&amp;gid=400689247&amp;screenname=ManleyAjmanley" TargetMode="External"/><Relationship Id="rId755" Type="http://schemas.openxmlformats.org/officeDocument/2006/relationships/hyperlink" Target="http://hawksey.info/tagsexplorer/arc.html?key=1juyIQsnL_T8tqzfzAVVjPctB4eqiafTghnL_xhvkrjk&amp;gid=400689247&amp;screenname=Mand80434891" TargetMode="External"/><Relationship Id="rId754" Type="http://schemas.openxmlformats.org/officeDocument/2006/relationships/hyperlink" Target="http://hawksey.info/tagsexplorer/arc.html?key=1juyIQsnL_T8tqzfzAVVjPctB4eqiafTghnL_xhvkrjk&amp;gid=400689247&amp;screenname=MancCoin" TargetMode="External"/><Relationship Id="rId753" Type="http://schemas.openxmlformats.org/officeDocument/2006/relationships/hyperlink" Target="http://hawksey.info/tagsexplorer/arc.html?key=1juyIQsnL_T8tqzfzAVVjPctB4eqiafTghnL_xhvkrjk&amp;gid=400689247&amp;screenname=MalkyC01" TargetMode="External"/><Relationship Id="rId759" Type="http://schemas.openxmlformats.org/officeDocument/2006/relationships/hyperlink" Target="http://hawksey.info/tagsexplorer/arc.html?key=1juyIQsnL_T8tqzfzAVVjPctB4eqiafTghnL_xhvkrjk&amp;gid=400689247&amp;screenname=Margare27402360" TargetMode="External"/><Relationship Id="rId758" Type="http://schemas.openxmlformats.org/officeDocument/2006/relationships/hyperlink" Target="http://hawksey.info/tagsexplorer/arc.html?key=1juyIQsnL_T8tqzfzAVVjPctB4eqiafTghnL_xhvkrjk&amp;gid=400689247&amp;screenname=Marcho451" TargetMode="External"/><Relationship Id="rId757" Type="http://schemas.openxmlformats.org/officeDocument/2006/relationships/hyperlink" Target="http://hawksey.info/tagsexplorer/arc.html?key=1juyIQsnL_T8tqzfzAVVjPctB4eqiafTghnL_xhvkrjk&amp;gid=400689247&amp;screenname=Mapdisk" TargetMode="External"/><Relationship Id="rId1340" Type="http://schemas.openxmlformats.org/officeDocument/2006/relationships/hyperlink" Target="http://hawksey.info/tagsexplorer/arc.html?key=1juyIQsnL_T8tqzfzAVVjPctB4eqiafTghnL_xhvkrjk&amp;gid=400689247&amp;screenname=bernielhannon" TargetMode="External"/><Relationship Id="rId752" Type="http://schemas.openxmlformats.org/officeDocument/2006/relationships/hyperlink" Target="http://hawksey.info/tagsexplorer/arc.html?key=1juyIQsnL_T8tqzfzAVVjPctB4eqiafTghnL_xhvkrjk&amp;gid=400689247&amp;screenname=MaiOpine" TargetMode="External"/><Relationship Id="rId1341" Type="http://schemas.openxmlformats.org/officeDocument/2006/relationships/hyperlink" Target="http://hawksey.info/tagsexplorer/arc.html?key=1juyIQsnL_T8tqzfzAVVjPctB4eqiafTghnL_xhvkrjk&amp;gid=400689247&amp;screenname=bestgrandma56" TargetMode="External"/><Relationship Id="rId751" Type="http://schemas.openxmlformats.org/officeDocument/2006/relationships/hyperlink" Target="http://hawksey.info/tagsexplorer/arc.html?key=1juyIQsnL_T8tqzfzAVVjPctB4eqiafTghnL_xhvkrjk&amp;gid=400689247&amp;screenname=Mags12180076" TargetMode="External"/><Relationship Id="rId1342" Type="http://schemas.openxmlformats.org/officeDocument/2006/relationships/hyperlink" Target="http://hawksey.info/tagsexplorer/arc.html?key=1juyIQsnL_T8tqzfzAVVjPctB4eqiafTghnL_xhvkrjk&amp;gid=400689247&amp;screenname=bethgwen" TargetMode="External"/><Relationship Id="rId750" Type="http://schemas.openxmlformats.org/officeDocument/2006/relationships/hyperlink" Target="http://hawksey.info/tagsexplorer/arc.html?key=1juyIQsnL_T8tqzfzAVVjPctB4eqiafTghnL_xhvkrjk&amp;gid=400689247&amp;screenname=MagicSybille" TargetMode="External"/><Relationship Id="rId1343" Type="http://schemas.openxmlformats.org/officeDocument/2006/relationships/hyperlink" Target="http://hawksey.info/tagsexplorer/arc.html?key=1juyIQsnL_T8tqzfzAVVjPctB4eqiafTghnL_xhvkrjk&amp;gid=400689247&amp;screenname=bglynn500" TargetMode="External"/><Relationship Id="rId1344" Type="http://schemas.openxmlformats.org/officeDocument/2006/relationships/hyperlink" Target="http://hawksey.info/tagsexplorer/arc.html?key=1juyIQsnL_T8tqzfzAVVjPctB4eqiafTghnL_xhvkrjk&amp;gid=400689247&amp;screenname=bhuddagosa" TargetMode="External"/><Relationship Id="rId709" Type="http://schemas.openxmlformats.org/officeDocument/2006/relationships/hyperlink" Target="http://hawksey.info/tagsexplorer/arc.html?key=1juyIQsnL_T8tqzfzAVVjPctB4eqiafTghnL_xhvkrjk&amp;gid=400689247&amp;screenname=LindsayStronaba" TargetMode="External"/><Relationship Id="rId708" Type="http://schemas.openxmlformats.org/officeDocument/2006/relationships/hyperlink" Target="http://hawksey.info/tagsexplorer/arc.html?key=1juyIQsnL_T8tqzfzAVVjPctB4eqiafTghnL_xhvkrjk&amp;gid=400689247&amp;screenname=LindaStewart3" TargetMode="External"/><Relationship Id="rId707" Type="http://schemas.openxmlformats.org/officeDocument/2006/relationships/hyperlink" Target="http://hawksey.info/tagsexplorer/arc.html?key=1juyIQsnL_T8tqzfzAVVjPctB4eqiafTghnL_xhvkrjk&amp;gid=400689247&amp;screenname=LindaRo79230017" TargetMode="External"/><Relationship Id="rId706" Type="http://schemas.openxmlformats.org/officeDocument/2006/relationships/hyperlink" Target="http://hawksey.info/tagsexplorer/arc.html?key=1juyIQsnL_T8tqzfzAVVjPctB4eqiafTghnL_xhvkrjk&amp;gid=400689247&amp;screenname=LindaPe65733897" TargetMode="External"/><Relationship Id="rId701" Type="http://schemas.openxmlformats.org/officeDocument/2006/relationships/hyperlink" Target="http://hawksey.info/tagsexplorer/arc.html?key=1juyIQsnL_T8tqzfzAVVjPctB4eqiafTghnL_xhvkrjk&amp;gid=400689247&amp;screenname=Letnapark" TargetMode="External"/><Relationship Id="rId700" Type="http://schemas.openxmlformats.org/officeDocument/2006/relationships/hyperlink" Target="http://hawksey.info/tagsexplorer/arc.html?key=1juyIQsnL_T8tqzfzAVVjPctB4eqiafTghnL_xhvkrjk&amp;gid=400689247&amp;screenname=LeniNicholls" TargetMode="External"/><Relationship Id="rId705" Type="http://schemas.openxmlformats.org/officeDocument/2006/relationships/hyperlink" Target="http://hawksey.info/tagsexplorer/arc.html?key=1juyIQsnL_T8tqzfzAVVjPctB4eqiafTghnL_xhvkrjk&amp;gid=400689247&amp;screenname=LindaMa32012495" TargetMode="External"/><Relationship Id="rId704" Type="http://schemas.openxmlformats.org/officeDocument/2006/relationships/hyperlink" Target="http://hawksey.info/tagsexplorer/arc.html?key=1juyIQsnL_T8tqzfzAVVjPctB4eqiafTghnL_xhvkrjk&amp;gid=400689247&amp;screenname=Lifelandlady" TargetMode="External"/><Relationship Id="rId703" Type="http://schemas.openxmlformats.org/officeDocument/2006/relationships/hyperlink" Target="http://hawksey.info/tagsexplorer/arc.html?key=1juyIQsnL_T8tqzfzAVVjPctB4eqiafTghnL_xhvkrjk&amp;gid=400689247&amp;screenname=LibbyKerensky" TargetMode="External"/><Relationship Id="rId702" Type="http://schemas.openxmlformats.org/officeDocument/2006/relationships/hyperlink" Target="http://hawksey.info/tagsexplorer/arc.html?key=1juyIQsnL_T8tqzfzAVVjPctB4eqiafTghnL_xhvkrjk&amp;gid=400689247&amp;screenname=LewesEUnity" TargetMode="External"/><Relationship Id="rId1312" Type="http://schemas.openxmlformats.org/officeDocument/2006/relationships/hyperlink" Target="http://hawksey.info/tagsexplorer/arc.html?key=1juyIQsnL_T8tqzfzAVVjPctB4eqiafTghnL_xhvkrjk&amp;gid=400689247&amp;screenname=anonHaak" TargetMode="External"/><Relationship Id="rId1313" Type="http://schemas.openxmlformats.org/officeDocument/2006/relationships/hyperlink" Target="http://hawksey.info/tagsexplorer/arc.html?key=1juyIQsnL_T8tqzfzAVVjPctB4eqiafTghnL_xhvkrjk&amp;gid=400689247&amp;screenname=anparry" TargetMode="External"/><Relationship Id="rId1314" Type="http://schemas.openxmlformats.org/officeDocument/2006/relationships/hyperlink" Target="http://hawksey.info/tagsexplorer/arc.html?key=1juyIQsnL_T8tqzfzAVVjPctB4eqiafTghnL_xhvkrjk&amp;gid=400689247&amp;screenname=antisyzygy" TargetMode="External"/><Relationship Id="rId1315" Type="http://schemas.openxmlformats.org/officeDocument/2006/relationships/hyperlink" Target="http://hawksey.info/tagsexplorer/arc.html?key=1juyIQsnL_T8tqzfzAVVjPctB4eqiafTghnL_xhvkrjk&amp;gid=400689247&amp;screenname=antrim_coaster" TargetMode="External"/><Relationship Id="rId1316" Type="http://schemas.openxmlformats.org/officeDocument/2006/relationships/hyperlink" Target="http://hawksey.info/tagsexplorer/arc.html?key=1juyIQsnL_T8tqzfzAVVjPctB4eqiafTghnL_xhvkrjk&amp;gid=400689247&amp;screenname=aopearl" TargetMode="External"/><Relationship Id="rId1317" Type="http://schemas.openxmlformats.org/officeDocument/2006/relationships/hyperlink" Target="http://hawksey.info/tagsexplorer/arc.html?key=1juyIQsnL_T8tqzfzAVVjPctB4eqiafTghnL_xhvkrjk&amp;gid=400689247&amp;screenname=apaulding" TargetMode="External"/><Relationship Id="rId1318" Type="http://schemas.openxmlformats.org/officeDocument/2006/relationships/hyperlink" Target="http://hawksey.info/tagsexplorer/arc.html?key=1juyIQsnL_T8tqzfzAVVjPctB4eqiafTghnL_xhvkrjk&amp;gid=400689247&amp;screenname=apcousins" TargetMode="External"/><Relationship Id="rId1319" Type="http://schemas.openxmlformats.org/officeDocument/2006/relationships/hyperlink" Target="http://hawksey.info/tagsexplorer/arc.html?key=1juyIQsnL_T8tqzfzAVVjPctB4eqiafTghnL_xhvkrjk&amp;gid=400689247&amp;screenname=aristotle29" TargetMode="External"/><Relationship Id="rId729" Type="http://schemas.openxmlformats.org/officeDocument/2006/relationships/hyperlink" Target="http://hawksey.info/tagsexplorer/arc.html?key=1juyIQsnL_T8tqzfzAVVjPctB4eqiafTghnL_xhvkrjk&amp;gid=400689247&amp;screenname=LoziCamp" TargetMode="External"/><Relationship Id="rId728" Type="http://schemas.openxmlformats.org/officeDocument/2006/relationships/hyperlink" Target="http://hawksey.info/tagsexplorer/arc.html?key=1juyIQsnL_T8tqzfzAVVjPctB4eqiafTghnL_xhvkrjk&amp;gid=400689247&amp;screenname=LoveLife_UK" TargetMode="External"/><Relationship Id="rId723" Type="http://schemas.openxmlformats.org/officeDocument/2006/relationships/hyperlink" Target="http://hawksey.info/tagsexplorer/arc.html?key=1juyIQsnL_T8tqzfzAVVjPctB4eqiafTghnL_xhvkrjk&amp;gid=400689247&amp;screenname=Lorrainemorich2" TargetMode="External"/><Relationship Id="rId722" Type="http://schemas.openxmlformats.org/officeDocument/2006/relationships/hyperlink" Target="http://hawksey.info/tagsexplorer/arc.html?key=1juyIQsnL_T8tqzfzAVVjPctB4eqiafTghnL_xhvkrjk&amp;gid=400689247&amp;screenname=LorraineRogerso" TargetMode="External"/><Relationship Id="rId721" Type="http://schemas.openxmlformats.org/officeDocument/2006/relationships/hyperlink" Target="http://hawksey.info/tagsexplorer/arc.html?key=1juyIQsnL_T8tqzfzAVVjPctB4eqiafTghnL_xhvkrjk&amp;gid=400689247&amp;screenname=Lorelei3113" TargetMode="External"/><Relationship Id="rId720" Type="http://schemas.openxmlformats.org/officeDocument/2006/relationships/hyperlink" Target="http://hawksey.info/tagsexplorer/arc.html?key=1juyIQsnL_T8tqzfzAVVjPctB4eqiafTghnL_xhvkrjk&amp;gid=400689247&amp;screenname=Lordwessenden12" TargetMode="External"/><Relationship Id="rId727" Type="http://schemas.openxmlformats.org/officeDocument/2006/relationships/hyperlink" Target="http://hawksey.info/tagsexplorer/arc.html?key=1juyIQsnL_T8tqzfzAVVjPctB4eqiafTghnL_xhvkrjk&amp;gid=400689247&amp;screenname=Louisamcdonal12" TargetMode="External"/><Relationship Id="rId726" Type="http://schemas.openxmlformats.org/officeDocument/2006/relationships/hyperlink" Target="http://hawksey.info/tagsexplorer/arc.html?key=1juyIQsnL_T8tqzfzAVVjPctB4eqiafTghnL_xhvkrjk&amp;gid=400689247&amp;screenname=LostinLauzerte" TargetMode="External"/><Relationship Id="rId725" Type="http://schemas.openxmlformats.org/officeDocument/2006/relationships/hyperlink" Target="http://hawksey.info/tagsexplorer/arc.html?key=1juyIQsnL_T8tqzfzAVVjPctB4eqiafTghnL_xhvkrjk&amp;gid=400689247&amp;screenname=Lost_Tribe" TargetMode="External"/><Relationship Id="rId724" Type="http://schemas.openxmlformats.org/officeDocument/2006/relationships/hyperlink" Target="http://hawksey.info/tagsexplorer/arc.html?key=1juyIQsnL_T8tqzfzAVVjPctB4eqiafTghnL_xhvkrjk&amp;gid=400689247&amp;screenname=Losing_Streak42" TargetMode="External"/><Relationship Id="rId1310" Type="http://schemas.openxmlformats.org/officeDocument/2006/relationships/hyperlink" Target="http://hawksey.info/tagsexplorer/arc.html?key=1juyIQsnL_T8tqzfzAVVjPctB4eqiafTghnL_xhvkrjk&amp;gid=400689247&amp;screenname=annehadet1" TargetMode="External"/><Relationship Id="rId1311" Type="http://schemas.openxmlformats.org/officeDocument/2006/relationships/hyperlink" Target="http://hawksey.info/tagsexplorer/arc.html?key=1juyIQsnL_T8tqzfzAVVjPctB4eqiafTghnL_xhvkrjk&amp;gid=400689247&amp;screenname=annyarej" TargetMode="External"/><Relationship Id="rId1301" Type="http://schemas.openxmlformats.org/officeDocument/2006/relationships/hyperlink" Target="http://hawksey.info/tagsexplorer/arc.html?key=1juyIQsnL_T8tqzfzAVVjPctB4eqiafTghnL_xhvkrjk&amp;gid=400689247&amp;screenname=andypic" TargetMode="External"/><Relationship Id="rId1302" Type="http://schemas.openxmlformats.org/officeDocument/2006/relationships/hyperlink" Target="http://hawksey.info/tagsexplorer/arc.html?key=1juyIQsnL_T8tqzfzAVVjPctB4eqiafTghnL_xhvkrjk&amp;gid=400689247&amp;screenname=andysloane5" TargetMode="External"/><Relationship Id="rId1303" Type="http://schemas.openxmlformats.org/officeDocument/2006/relationships/hyperlink" Target="http://hawksey.info/tagsexplorer/arc.html?key=1juyIQsnL_T8tqzfzAVVjPctB4eqiafTghnL_xhvkrjk&amp;gid=400689247&amp;screenname=angela28279009" TargetMode="External"/><Relationship Id="rId1304" Type="http://schemas.openxmlformats.org/officeDocument/2006/relationships/hyperlink" Target="http://hawksey.info/tagsexplorer/arc.html?key=1juyIQsnL_T8tqzfzAVVjPctB4eqiafTghnL_xhvkrjk&amp;gid=400689247&amp;screenname=angela44610707" TargetMode="External"/><Relationship Id="rId1305" Type="http://schemas.openxmlformats.org/officeDocument/2006/relationships/hyperlink" Target="http://hawksey.info/tagsexplorer/arc.html?key=1juyIQsnL_T8tqzfzAVVjPctB4eqiafTghnL_xhvkrjk&amp;gid=400689247&amp;screenname=angela_pardoe" TargetMode="External"/><Relationship Id="rId1306" Type="http://schemas.openxmlformats.org/officeDocument/2006/relationships/hyperlink" Target="http://hawksey.info/tagsexplorer/arc.html?key=1juyIQsnL_T8tqzfzAVVjPctB4eqiafTghnL_xhvkrjk&amp;gid=400689247&amp;screenname=angelah47098965" TargetMode="External"/><Relationship Id="rId1307" Type="http://schemas.openxmlformats.org/officeDocument/2006/relationships/hyperlink" Target="http://hawksey.info/tagsexplorer/arc.html?key=1juyIQsnL_T8tqzfzAVVjPctB4eqiafTghnL_xhvkrjk&amp;gid=400689247&amp;screenname=angryEuphemist" TargetMode="External"/><Relationship Id="rId1308" Type="http://schemas.openxmlformats.org/officeDocument/2006/relationships/hyperlink" Target="http://hawksey.info/tagsexplorer/arc.html?key=1juyIQsnL_T8tqzfzAVVjPctB4eqiafTghnL_xhvkrjk&amp;gid=400689247&amp;screenname=annacandr" TargetMode="External"/><Relationship Id="rId1309" Type="http://schemas.openxmlformats.org/officeDocument/2006/relationships/hyperlink" Target="http://hawksey.info/tagsexplorer/arc.html?key=1juyIQsnL_T8tqzfzAVVjPctB4eqiafTghnL_xhvkrjk&amp;gid=400689247&amp;screenname=annadevine66" TargetMode="External"/><Relationship Id="rId719" Type="http://schemas.openxmlformats.org/officeDocument/2006/relationships/hyperlink" Target="http://hawksey.info/tagsexplorer/arc.html?key=1juyIQsnL_T8tqzfzAVVjPctB4eqiafTghnL_xhvkrjk&amp;gid=400689247&amp;screenname=LordOfTheNacho" TargetMode="External"/><Relationship Id="rId718" Type="http://schemas.openxmlformats.org/officeDocument/2006/relationships/hyperlink" Target="http://hawksey.info/tagsexplorer/arc.html?key=1juyIQsnL_T8tqzfzAVVjPctB4eqiafTghnL_xhvkrjk&amp;gid=400689247&amp;screenname=LordFluffon" TargetMode="External"/><Relationship Id="rId717" Type="http://schemas.openxmlformats.org/officeDocument/2006/relationships/hyperlink" Target="http://hawksey.info/tagsexplorer/arc.html?key=1juyIQsnL_T8tqzfzAVVjPctB4eqiafTghnL_xhvkrjk&amp;gid=400689247&amp;screenname=Loofah57060" TargetMode="External"/><Relationship Id="rId712" Type="http://schemas.openxmlformats.org/officeDocument/2006/relationships/hyperlink" Target="http://hawksey.info/tagsexplorer/arc.html?key=1juyIQsnL_T8tqzfzAVVjPctB4eqiafTghnL_xhvkrjk&amp;gid=400689247&amp;screenname=LizaAntrim" TargetMode="External"/><Relationship Id="rId711" Type="http://schemas.openxmlformats.org/officeDocument/2006/relationships/hyperlink" Target="http://hawksey.info/tagsexplorer/arc.html?key=1juyIQsnL_T8tqzfzAVVjPctB4eqiafTghnL_xhvkrjk&amp;gid=400689247&amp;screenname=LizWebsterLD" TargetMode="External"/><Relationship Id="rId710" Type="http://schemas.openxmlformats.org/officeDocument/2006/relationships/hyperlink" Target="http://hawksey.info/tagsexplorer/arc.html?key=1juyIQsnL_T8tqzfzAVVjPctB4eqiafTghnL_xhvkrjk&amp;gid=400689247&amp;screenname=LittleGravitas" TargetMode="External"/><Relationship Id="rId716" Type="http://schemas.openxmlformats.org/officeDocument/2006/relationships/hyperlink" Target="http://hawksey.info/tagsexplorer/arc.html?key=1juyIQsnL_T8tqzfzAVVjPctB4eqiafTghnL_xhvkrjk&amp;gid=400689247&amp;screenname=LondonEconomic" TargetMode="External"/><Relationship Id="rId715" Type="http://schemas.openxmlformats.org/officeDocument/2006/relationships/hyperlink" Target="http://hawksey.info/tagsexplorer/arc.html?key=1juyIQsnL_T8tqzfzAVVjPctB4eqiafTghnL_xhvkrjk&amp;gid=400689247&amp;screenname=LolaGilray" TargetMode="External"/><Relationship Id="rId714" Type="http://schemas.openxmlformats.org/officeDocument/2006/relationships/hyperlink" Target="http://hawksey.info/tagsexplorer/arc.html?key=1juyIQsnL_T8tqzfzAVVjPctB4eqiafTghnL_xhvkrjk&amp;gid=400689247&amp;screenname=LochlainnNic" TargetMode="External"/><Relationship Id="rId713" Type="http://schemas.openxmlformats.org/officeDocument/2006/relationships/hyperlink" Target="http://hawksey.info/tagsexplorer/arc.html?key=1juyIQsnL_T8tqzfzAVVjPctB4eqiafTghnL_xhvkrjk&amp;gid=400689247&amp;screenname=Lizziea73815526" TargetMode="External"/><Relationship Id="rId1300" Type="http://schemas.openxmlformats.org/officeDocument/2006/relationships/hyperlink" Target="http://hawksey.info/tagsexplorer/arc.html?key=1juyIQsnL_T8tqzfzAVVjPctB4eqiafTghnL_xhvkrjk&amp;gid=400689247&amp;screenname=andycymro" TargetMode="External"/><Relationship Id="rId1378" Type="http://schemas.openxmlformats.org/officeDocument/2006/relationships/hyperlink" Target="http://hawksey.info/tagsexplorer/arc.html?key=1juyIQsnL_T8tqzfzAVVjPctB4eqiafTghnL_xhvkrjk&amp;gid=400689247&amp;screenname=buy1_best" TargetMode="External"/><Relationship Id="rId1379" Type="http://schemas.openxmlformats.org/officeDocument/2006/relationships/hyperlink" Target="http://hawksey.info/tagsexplorer/arc.html?key=1juyIQsnL_T8tqzfzAVVjPctB4eqiafTghnL_xhvkrjk&amp;gid=400689247&amp;screenname=bwmoles" TargetMode="External"/><Relationship Id="rId789" Type="http://schemas.openxmlformats.org/officeDocument/2006/relationships/hyperlink" Target="http://hawksey.info/tagsexplorer/arc.html?key=1juyIQsnL_T8tqzfzAVVjPctB4eqiafTghnL_xhvkrjk&amp;gid=400689247&amp;screenname=MhlopheP" TargetMode="External"/><Relationship Id="rId788" Type="http://schemas.openxmlformats.org/officeDocument/2006/relationships/hyperlink" Target="http://hawksey.info/tagsexplorer/arc.html?key=1juyIQsnL_T8tqzfzAVVjPctB4eqiafTghnL_xhvkrjk&amp;gid=400689247&amp;screenname=Merlin54977538" TargetMode="External"/><Relationship Id="rId787" Type="http://schemas.openxmlformats.org/officeDocument/2006/relationships/hyperlink" Target="http://hawksey.info/tagsexplorer/arc.html?key=1juyIQsnL_T8tqzfzAVVjPctB4eqiafTghnL_xhvkrjk&amp;gid=400689247&amp;screenname=Meltarps75Mel" TargetMode="External"/><Relationship Id="rId786" Type="http://schemas.openxmlformats.org/officeDocument/2006/relationships/hyperlink" Target="http://hawksey.info/tagsexplorer/arc.html?key=1juyIQsnL_T8tqzfzAVVjPctB4eqiafTghnL_xhvkrjk&amp;gid=400689247&amp;screenname=Mehdi_sh2020" TargetMode="External"/><Relationship Id="rId781" Type="http://schemas.openxmlformats.org/officeDocument/2006/relationships/hyperlink" Target="http://hawksey.info/tagsexplorer/arc.html?key=1juyIQsnL_T8tqzfzAVVjPctB4eqiafTghnL_xhvkrjk&amp;gid=400689247&amp;screenname=MatthewJJenkins" TargetMode="External"/><Relationship Id="rId1370" Type="http://schemas.openxmlformats.org/officeDocument/2006/relationships/hyperlink" Target="http://hawksey.info/tagsexplorer/arc.html?key=1juyIQsnL_T8tqzfzAVVjPctB4eqiafTghnL_xhvkrjk&amp;gid=400689247&amp;screenname=brightonianmiss" TargetMode="External"/><Relationship Id="rId780" Type="http://schemas.openxmlformats.org/officeDocument/2006/relationships/hyperlink" Target="http://hawksey.info/tagsexplorer/arc.html?key=1juyIQsnL_T8tqzfzAVVjPctB4eqiafTghnL_xhvkrjk&amp;gid=400689247&amp;screenname=MatthewBaker8" TargetMode="External"/><Relationship Id="rId1371" Type="http://schemas.openxmlformats.org/officeDocument/2006/relationships/hyperlink" Target="http://hawksey.info/tagsexplorer/arc.html?key=1juyIQsnL_T8tqzfzAVVjPctB4eqiafTghnL_xhvkrjk&amp;gid=400689247&amp;screenname=brightonwarren" TargetMode="External"/><Relationship Id="rId1372" Type="http://schemas.openxmlformats.org/officeDocument/2006/relationships/hyperlink" Target="http://hawksey.info/tagsexplorer/arc.html?key=1juyIQsnL_T8tqzfzAVVjPctB4eqiafTghnL_xhvkrjk&amp;gid=400689247&amp;screenname=bronwen_brown1" TargetMode="External"/><Relationship Id="rId1373" Type="http://schemas.openxmlformats.org/officeDocument/2006/relationships/hyperlink" Target="http://hawksey.info/tagsexplorer/arc.html?key=1juyIQsnL_T8tqzfzAVVjPctB4eqiafTghnL_xhvkrjk&amp;gid=400689247&amp;screenname=bronwengwriter" TargetMode="External"/><Relationship Id="rId785" Type="http://schemas.openxmlformats.org/officeDocument/2006/relationships/hyperlink" Target="http://hawksey.info/tagsexplorer/arc.html?key=1juyIQsnL_T8tqzfzAVVjPctB4eqiafTghnL_xhvkrjk&amp;gid=400689247&amp;screenname=McParlinStephen" TargetMode="External"/><Relationship Id="rId1374" Type="http://schemas.openxmlformats.org/officeDocument/2006/relationships/hyperlink" Target="http://hawksey.info/tagsexplorer/arc.html?key=1juyIQsnL_T8tqzfzAVVjPctB4eqiafTghnL_xhvkrjk&amp;gid=400689247&amp;screenname=bronzearethusa" TargetMode="External"/><Relationship Id="rId784" Type="http://schemas.openxmlformats.org/officeDocument/2006/relationships/hyperlink" Target="http://hawksey.info/tagsexplorer/arc.html?key=1juyIQsnL_T8tqzfzAVVjPctB4eqiafTghnL_xhvkrjk&amp;gid=400689247&amp;screenname=McCallum_Smith" TargetMode="External"/><Relationship Id="rId1375" Type="http://schemas.openxmlformats.org/officeDocument/2006/relationships/hyperlink" Target="http://hawksey.info/tagsexplorer/arc.html?key=1juyIQsnL_T8tqzfzAVVjPctB4eqiafTghnL_xhvkrjk&amp;gid=400689247&amp;screenname=brotherguerilla" TargetMode="External"/><Relationship Id="rId783" Type="http://schemas.openxmlformats.org/officeDocument/2006/relationships/hyperlink" Target="http://hawksey.info/tagsexplorer/arc.html?key=1juyIQsnL_T8tqzfzAVVjPctB4eqiafTghnL_xhvkrjk&amp;gid=400689247&amp;screenname=MatthewWimpenny" TargetMode="External"/><Relationship Id="rId1376" Type="http://schemas.openxmlformats.org/officeDocument/2006/relationships/hyperlink" Target="http://hawksey.info/tagsexplorer/arc.html?key=1juyIQsnL_T8tqzfzAVVjPctB4eqiafTghnL_xhvkrjk&amp;gid=400689247&amp;screenname=burdish" TargetMode="External"/><Relationship Id="rId782" Type="http://schemas.openxmlformats.org/officeDocument/2006/relationships/hyperlink" Target="http://hawksey.info/tagsexplorer/arc.html?key=1juyIQsnL_T8tqzfzAVVjPctB4eqiafTghnL_xhvkrjk&amp;gid=400689247&amp;screenname=MatthewLBishop" TargetMode="External"/><Relationship Id="rId1377" Type="http://schemas.openxmlformats.org/officeDocument/2006/relationships/hyperlink" Target="http://hawksey.info/tagsexplorer/arc.html?key=1juyIQsnL_T8tqzfzAVVjPctB4eqiafTghnL_xhvkrjk&amp;gid=400689247&amp;screenname=busby_lilian" TargetMode="External"/><Relationship Id="rId1367" Type="http://schemas.openxmlformats.org/officeDocument/2006/relationships/hyperlink" Target="http://hawksey.info/tagsexplorer/arc.html?key=1juyIQsnL_T8tqzfzAVVjPctB4eqiafTghnL_xhvkrjk&amp;gid=400689247&amp;screenname=brendanno3" TargetMode="External"/><Relationship Id="rId1368" Type="http://schemas.openxmlformats.org/officeDocument/2006/relationships/hyperlink" Target="http://hawksey.info/tagsexplorer/arc.html?key=1juyIQsnL_T8tqzfzAVVjPctB4eqiafTghnL_xhvkrjk&amp;gid=400689247&amp;screenname=brennig" TargetMode="External"/><Relationship Id="rId1369" Type="http://schemas.openxmlformats.org/officeDocument/2006/relationships/hyperlink" Target="http://hawksey.info/tagsexplorer/arc.html?key=1juyIQsnL_T8tqzfzAVVjPctB4eqiafTghnL_xhvkrjk&amp;gid=400689247&amp;screenname=bridgetwilcox" TargetMode="External"/><Relationship Id="rId778" Type="http://schemas.openxmlformats.org/officeDocument/2006/relationships/hyperlink" Target="http://hawksey.info/tagsexplorer/arc.html?key=1juyIQsnL_T8tqzfzAVVjPctB4eqiafTghnL_xhvkrjk&amp;gid=400689247&amp;screenname=MaryKHarringto2" TargetMode="External"/><Relationship Id="rId777" Type="http://schemas.openxmlformats.org/officeDocument/2006/relationships/hyperlink" Target="http://hawksey.info/tagsexplorer/arc.html?key=1juyIQsnL_T8tqzfzAVVjPctB4eqiafTghnL_xhvkrjk&amp;gid=400689247&amp;screenname=MaryDoo12255144" TargetMode="External"/><Relationship Id="rId776" Type="http://schemas.openxmlformats.org/officeDocument/2006/relationships/hyperlink" Target="http://hawksey.info/tagsexplorer/arc.html?key=1juyIQsnL_T8tqzfzAVVjPctB4eqiafTghnL_xhvkrjk&amp;gid=400689247&amp;screenname=Martynmartynjf" TargetMode="External"/><Relationship Id="rId775" Type="http://schemas.openxmlformats.org/officeDocument/2006/relationships/hyperlink" Target="http://hawksey.info/tagsexplorer/arc.html?key=1juyIQsnL_T8tqzfzAVVjPctB4eqiafTghnL_xhvkrjk&amp;gid=400689247&amp;screenname=MartinHarper62" TargetMode="External"/><Relationship Id="rId779" Type="http://schemas.openxmlformats.org/officeDocument/2006/relationships/hyperlink" Target="http://hawksey.info/tagsexplorer/arc.html?key=1juyIQsnL_T8tqzfzAVVjPctB4eqiafTghnL_xhvkrjk&amp;gid=400689247&amp;screenname=MattProops" TargetMode="External"/><Relationship Id="rId770" Type="http://schemas.openxmlformats.org/officeDocument/2006/relationships/hyperlink" Target="http://hawksey.info/tagsexplorer/arc.html?key=1juyIQsnL_T8tqzfzAVVjPctB4eqiafTghnL_xhvkrjk&amp;gid=400689247&amp;screenname=MarkInNorthWest" TargetMode="External"/><Relationship Id="rId1360" Type="http://schemas.openxmlformats.org/officeDocument/2006/relationships/hyperlink" Target="http://hawksey.info/tagsexplorer/arc.html?key=1juyIQsnL_T8tqzfzAVVjPctB4eqiafTghnL_xhvkrjk&amp;gid=400689247&amp;screenname=bobyoungs6" TargetMode="External"/><Relationship Id="rId1361" Type="http://schemas.openxmlformats.org/officeDocument/2006/relationships/hyperlink" Target="http://hawksey.info/tagsexplorer/arc.html?key=1juyIQsnL_T8tqzfzAVVjPctB4eqiafTghnL_xhvkrjk&amp;gid=400689247&amp;screenname=bootleian" TargetMode="External"/><Relationship Id="rId1362" Type="http://schemas.openxmlformats.org/officeDocument/2006/relationships/hyperlink" Target="http://hawksey.info/tagsexplorer/arc.html?key=1juyIQsnL_T8tqzfzAVVjPctB4eqiafTghnL_xhvkrjk&amp;gid=400689247&amp;screenname=botanic_my" TargetMode="External"/><Relationship Id="rId774" Type="http://schemas.openxmlformats.org/officeDocument/2006/relationships/hyperlink" Target="http://hawksey.info/tagsexplorer/arc.html?key=1juyIQsnL_T8tqzfzAVVjPctB4eqiafTghnL_xhvkrjk&amp;gid=400689247&amp;screenname=MartinDochert12" TargetMode="External"/><Relationship Id="rId1363" Type="http://schemas.openxmlformats.org/officeDocument/2006/relationships/hyperlink" Target="http://hawksey.info/tagsexplorer/arc.html?key=1juyIQsnL_T8tqzfzAVVjPctB4eqiafTghnL_xhvkrjk&amp;gid=400689247&amp;screenname=botbaitclick" TargetMode="External"/><Relationship Id="rId773" Type="http://schemas.openxmlformats.org/officeDocument/2006/relationships/hyperlink" Target="http://hawksey.info/tagsexplorer/arc.html?key=1juyIQsnL_T8tqzfzAVVjPctB4eqiafTghnL_xhvkrjk&amp;gid=400689247&amp;screenname=Markll_revive" TargetMode="External"/><Relationship Id="rId1364" Type="http://schemas.openxmlformats.org/officeDocument/2006/relationships/hyperlink" Target="http://hawksey.info/tagsexplorer/arc.html?key=1juyIQsnL_T8tqzfzAVVjPctB4eqiafTghnL_xhvkrjk&amp;gid=400689247&amp;screenname=bowrog" TargetMode="External"/><Relationship Id="rId772" Type="http://schemas.openxmlformats.org/officeDocument/2006/relationships/hyperlink" Target="http://hawksey.info/tagsexplorer/arc.html?key=1juyIQsnL_T8tqzfzAVVjPctB4eqiafTghnL_xhvkrjk&amp;gid=400689247&amp;screenname=Markkocpfc" TargetMode="External"/><Relationship Id="rId1365" Type="http://schemas.openxmlformats.org/officeDocument/2006/relationships/hyperlink" Target="http://hawksey.info/tagsexplorer/arc.html?key=1juyIQsnL_T8tqzfzAVVjPctB4eqiafTghnL_xhvkrjk&amp;gid=400689247&amp;screenname=boxoffrogsmadas" TargetMode="External"/><Relationship Id="rId771" Type="http://schemas.openxmlformats.org/officeDocument/2006/relationships/hyperlink" Target="http://hawksey.info/tagsexplorer/arc.html?key=1juyIQsnL_T8tqzfzAVVjPctB4eqiafTghnL_xhvkrjk&amp;gid=400689247&amp;screenname=Mark_Bloomfield" TargetMode="External"/><Relationship Id="rId1366" Type="http://schemas.openxmlformats.org/officeDocument/2006/relationships/hyperlink" Target="http://hawksey.info/tagsexplorer/arc.html?key=1juyIQsnL_T8tqzfzAVVjPctB4eqiafTghnL_xhvkrjk&amp;gid=400689247&amp;screenname=bozenaduba" TargetMode="External"/><Relationship Id="rId1390" Type="http://schemas.openxmlformats.org/officeDocument/2006/relationships/hyperlink" Target="http://hawksey.info/tagsexplorer/arc.html?key=1juyIQsnL_T8tqzfzAVVjPctB4eqiafTghnL_xhvkrjk&amp;gid=400689247&amp;screenname=catherinemc40" TargetMode="External"/><Relationship Id="rId1391" Type="http://schemas.openxmlformats.org/officeDocument/2006/relationships/hyperlink" Target="http://hawksey.info/tagsexplorer/arc.html?key=1juyIQsnL_T8tqzfzAVVjPctB4eqiafTghnL_xhvkrjk&amp;gid=400689247&amp;screenname=cathie_wood" TargetMode="External"/><Relationship Id="rId1392" Type="http://schemas.openxmlformats.org/officeDocument/2006/relationships/hyperlink" Target="http://hawksey.info/tagsexplorer/arc.html?key=1juyIQsnL_T8tqzfzAVVjPctB4eqiafTghnL_xhvkrjk&amp;gid=400689247&amp;screenname=cathybertram" TargetMode="External"/><Relationship Id="rId1393" Type="http://schemas.openxmlformats.org/officeDocument/2006/relationships/hyperlink" Target="http://hawksey.info/tagsexplorer/arc.html?key=1juyIQsnL_T8tqzfzAVVjPctB4eqiafTghnL_xhvkrjk&amp;gid=400689247&amp;screenname=catwoman1979" TargetMode="External"/><Relationship Id="rId1394" Type="http://schemas.openxmlformats.org/officeDocument/2006/relationships/hyperlink" Target="http://hawksey.info/tagsexplorer/arc.html?key=1juyIQsnL_T8tqzfzAVVjPctB4eqiafTghnL_xhvkrjk&amp;gid=400689247&amp;screenname=caz5697" TargetMode="External"/><Relationship Id="rId1395" Type="http://schemas.openxmlformats.org/officeDocument/2006/relationships/hyperlink" Target="http://hawksey.info/tagsexplorer/arc.html?key=1juyIQsnL_T8tqzfzAVVjPctB4eqiafTghnL_xhvkrjk&amp;gid=400689247&amp;screenname=cbjhunter" TargetMode="External"/><Relationship Id="rId1396" Type="http://schemas.openxmlformats.org/officeDocument/2006/relationships/hyperlink" Target="http://hawksey.info/tagsexplorer/arc.html?key=1juyIQsnL_T8tqzfzAVVjPctB4eqiafTghnL_xhvkrjk&amp;gid=400689247&amp;screenname=cbreretonartist" TargetMode="External"/><Relationship Id="rId1397" Type="http://schemas.openxmlformats.org/officeDocument/2006/relationships/hyperlink" Target="http://hawksey.info/tagsexplorer/arc.html?key=1juyIQsnL_T8tqzfzAVVjPctB4eqiafTghnL_xhvkrjk&amp;gid=400689247&amp;screenname=cedge_mbe" TargetMode="External"/><Relationship Id="rId1398" Type="http://schemas.openxmlformats.org/officeDocument/2006/relationships/hyperlink" Target="http://hawksey.info/tagsexplorer/arc.html?key=1juyIQsnL_T8tqzfzAVVjPctB4eqiafTghnL_xhvkrjk&amp;gid=400689247&amp;screenname=chanavox" TargetMode="External"/><Relationship Id="rId1399" Type="http://schemas.openxmlformats.org/officeDocument/2006/relationships/hyperlink" Target="http://hawksey.info/tagsexplorer/arc.html?key=1juyIQsnL_T8tqzfzAVVjPctB4eqiafTghnL_xhvkrjk&amp;gid=400689247&amp;screenname=channstupot" TargetMode="External"/><Relationship Id="rId1389" Type="http://schemas.openxmlformats.org/officeDocument/2006/relationships/hyperlink" Target="http://hawksey.info/tagsexplorer/arc.html?key=1juyIQsnL_T8tqzfzAVVjPctB4eqiafTghnL_xhvkrjk&amp;gid=400689247&amp;screenname=cathcart3303" TargetMode="External"/><Relationship Id="rId799" Type="http://schemas.openxmlformats.org/officeDocument/2006/relationships/hyperlink" Target="http://hawksey.info/tagsexplorer/arc.html?key=1juyIQsnL_T8tqzfzAVVjPctB4eqiafTghnL_xhvkrjk&amp;gid=400689247&amp;screenname=MilsomGillian" TargetMode="External"/><Relationship Id="rId798" Type="http://schemas.openxmlformats.org/officeDocument/2006/relationships/hyperlink" Target="http://hawksey.info/tagsexplorer/arc.html?key=1juyIQsnL_T8tqzfzAVVjPctB4eqiafTghnL_xhvkrjk&amp;gid=400689247&amp;screenname=Mikey_T78" TargetMode="External"/><Relationship Id="rId797" Type="http://schemas.openxmlformats.org/officeDocument/2006/relationships/hyperlink" Target="http://hawksey.info/tagsexplorer/arc.html?key=1juyIQsnL_T8tqzfzAVVjPctB4eqiafTghnL_xhvkrjk&amp;gid=400689247&amp;screenname=Mike_k_Haden" TargetMode="External"/><Relationship Id="rId1380" Type="http://schemas.openxmlformats.org/officeDocument/2006/relationships/hyperlink" Target="http://hawksey.info/tagsexplorer/arc.html?key=1juyIQsnL_T8tqzfzAVVjPctB4eqiafTghnL_xhvkrjk&amp;gid=400689247&amp;screenname=bwrthesquirrel" TargetMode="External"/><Relationship Id="rId792" Type="http://schemas.openxmlformats.org/officeDocument/2006/relationships/hyperlink" Target="http://hawksey.info/tagsexplorer/arc.html?key=1juyIQsnL_T8tqzfzAVVjPctB4eqiafTghnL_xhvkrjk&amp;gid=400689247&amp;screenname=MichaelsMoss" TargetMode="External"/><Relationship Id="rId1381" Type="http://schemas.openxmlformats.org/officeDocument/2006/relationships/hyperlink" Target="http://hawksey.info/tagsexplorer/arc.html?key=1juyIQsnL_T8tqzfzAVVjPctB4eqiafTghnL_xhvkrjk&amp;gid=400689247&amp;screenname=cai43245335" TargetMode="External"/><Relationship Id="rId791" Type="http://schemas.openxmlformats.org/officeDocument/2006/relationships/hyperlink" Target="http://hawksey.info/tagsexplorer/arc.html?key=1juyIQsnL_T8tqzfzAVVjPctB4eqiafTghnL_xhvkrjk&amp;gid=400689247&amp;screenname=MichaelJGollop" TargetMode="External"/><Relationship Id="rId1382" Type="http://schemas.openxmlformats.org/officeDocument/2006/relationships/hyperlink" Target="http://hawksey.info/tagsexplorer/arc.html?key=1juyIQsnL_T8tqzfzAVVjPctB4eqiafTghnL_xhvkrjk&amp;gid=400689247&amp;screenname=cairnrobin" TargetMode="External"/><Relationship Id="rId790" Type="http://schemas.openxmlformats.org/officeDocument/2006/relationships/hyperlink" Target="http://hawksey.info/tagsexplorer/arc.html?key=1juyIQsnL_T8tqzfzAVVjPctB4eqiafTghnL_xhvkrjk&amp;gid=400689247&amp;screenname=Michael81202656" TargetMode="External"/><Relationship Id="rId1383" Type="http://schemas.openxmlformats.org/officeDocument/2006/relationships/hyperlink" Target="http://hawksey.info/tagsexplorer/arc.html?key=1juyIQsnL_T8tqzfzAVVjPctB4eqiafTghnL_xhvkrjk&amp;gid=400689247&amp;screenname=cardiff_martian" TargetMode="External"/><Relationship Id="rId1384" Type="http://schemas.openxmlformats.org/officeDocument/2006/relationships/hyperlink" Target="http://hawksey.info/tagsexplorer/arc.html?key=1juyIQsnL_T8tqzfzAVVjPctB4eqiafTghnL_xhvkrjk&amp;gid=400689247&amp;screenname=carol_falaki" TargetMode="External"/><Relationship Id="rId796" Type="http://schemas.openxmlformats.org/officeDocument/2006/relationships/hyperlink" Target="http://hawksey.info/tagsexplorer/arc.html?key=1juyIQsnL_T8tqzfzAVVjPctB4eqiafTghnL_xhvkrjk&amp;gid=400689247&amp;screenname=Mike_NE25" TargetMode="External"/><Relationship Id="rId1385" Type="http://schemas.openxmlformats.org/officeDocument/2006/relationships/hyperlink" Target="http://hawksey.info/tagsexplorer/arc.html?key=1juyIQsnL_T8tqzfzAVVjPctB4eqiafTghnL_xhvkrjk&amp;gid=400689247&amp;screenname=carolgately" TargetMode="External"/><Relationship Id="rId795" Type="http://schemas.openxmlformats.org/officeDocument/2006/relationships/hyperlink" Target="http://hawksey.info/tagsexplorer/arc.html?key=1juyIQsnL_T8tqzfzAVVjPctB4eqiafTghnL_xhvkrjk&amp;gid=400689247&amp;screenname=Mike_Fernandes_" TargetMode="External"/><Relationship Id="rId1386" Type="http://schemas.openxmlformats.org/officeDocument/2006/relationships/hyperlink" Target="http://hawksey.info/tagsexplorer/arc.html?key=1juyIQsnL_T8tqzfzAVVjPctB4eqiafTghnL_xhvkrjk&amp;gid=400689247&amp;screenname=carolyndare" TargetMode="External"/><Relationship Id="rId794" Type="http://schemas.openxmlformats.org/officeDocument/2006/relationships/hyperlink" Target="http://hawksey.info/tagsexplorer/arc.html?key=1juyIQsnL_T8tqzfzAVVjPctB4eqiafTghnL_xhvkrjk&amp;gid=400689247&amp;screenname=MickGreenhough" TargetMode="External"/><Relationship Id="rId1387" Type="http://schemas.openxmlformats.org/officeDocument/2006/relationships/hyperlink" Target="http://hawksey.info/tagsexplorer/arc.html?key=1juyIQsnL_T8tqzfzAVVjPctB4eqiafTghnL_xhvkrjk&amp;gid=400689247&amp;screenname=castervaria" TargetMode="External"/><Relationship Id="rId793" Type="http://schemas.openxmlformats.org/officeDocument/2006/relationships/hyperlink" Target="http://hawksey.info/tagsexplorer/arc.html?key=1juyIQsnL_T8tqzfzAVVjPctB4eqiafTghnL_xhvkrjk&amp;gid=400689247&amp;screenname=Michell37191856" TargetMode="External"/><Relationship Id="rId1388" Type="http://schemas.openxmlformats.org/officeDocument/2006/relationships/hyperlink" Target="http://hawksey.info/tagsexplorer/arc.html?key=1juyIQsnL_T8tqzfzAVVjPctB4eqiafTghnL_xhvkrjk&amp;gid=400689247&amp;screenname=cathandfearne" TargetMode="External"/><Relationship Id="rId1455" Type="http://schemas.openxmlformats.org/officeDocument/2006/relationships/hyperlink" Target="http://hawksey.info/tagsexplorer/arc.html?key=1juyIQsnL_T8tqzfzAVVjPctB4eqiafTghnL_xhvkrjk&amp;gid=400689247&amp;screenname=davee_evans" TargetMode="External"/><Relationship Id="rId1456" Type="http://schemas.openxmlformats.org/officeDocument/2006/relationships/hyperlink" Target="http://hawksey.info/tagsexplorer/arc.html?key=1juyIQsnL_T8tqzfzAVVjPctB4eqiafTghnL_xhvkrjk&amp;gid=400689247&amp;screenname=david_mcnab" TargetMode="External"/><Relationship Id="rId1457" Type="http://schemas.openxmlformats.org/officeDocument/2006/relationships/hyperlink" Target="http://hawksey.info/tagsexplorer/arc.html?key=1juyIQsnL_T8tqzfzAVVjPctB4eqiafTghnL_xhvkrjk&amp;gid=400689247&amp;screenname=davidagoodland" TargetMode="External"/><Relationship Id="rId1458" Type="http://schemas.openxmlformats.org/officeDocument/2006/relationships/hyperlink" Target="http://hawksey.info/tagsexplorer/arc.html?key=1juyIQsnL_T8tqzfzAVVjPctB4eqiafTghnL_xhvkrjk&amp;gid=400689247&amp;screenname=davidbo61210816" TargetMode="External"/><Relationship Id="rId1459" Type="http://schemas.openxmlformats.org/officeDocument/2006/relationships/hyperlink" Target="http://hawksey.info/tagsexplorer/arc.html?key=1juyIQsnL_T8tqzfzAVVjPctB4eqiafTghnL_xhvkrjk&amp;gid=400689247&amp;screenname=davideaton51" TargetMode="External"/><Relationship Id="rId629" Type="http://schemas.openxmlformats.org/officeDocument/2006/relationships/hyperlink" Target="http://hawksey.info/tagsexplorer/arc.html?key=1juyIQsnL_T8tqzfzAVVjPctB4eqiafTghnL_xhvkrjk&amp;gid=400689247&amp;screenname=JulesHobbs3" TargetMode="External"/><Relationship Id="rId624" Type="http://schemas.openxmlformats.org/officeDocument/2006/relationships/hyperlink" Target="http://hawksey.info/tagsexplorer/arc.html?key=1juyIQsnL_T8tqzfzAVVjPctB4eqiafTghnL_xhvkrjk&amp;gid=400689247&amp;screenname=JoyBrook1" TargetMode="External"/><Relationship Id="rId623" Type="http://schemas.openxmlformats.org/officeDocument/2006/relationships/hyperlink" Target="http://hawksey.info/tagsexplorer/arc.html?key=1juyIQsnL_T8tqzfzAVVjPctB4eqiafTghnL_xhvkrjk&amp;gid=400689247&amp;screenname=JosieParr1" TargetMode="External"/><Relationship Id="rId622" Type="http://schemas.openxmlformats.org/officeDocument/2006/relationships/hyperlink" Target="http://hawksey.info/tagsexplorer/arc.html?key=1juyIQsnL_T8tqzfzAVVjPctB4eqiafTghnL_xhvkrjk&amp;gid=400689247&amp;screenname=JonnyShiraz" TargetMode="External"/><Relationship Id="rId621" Type="http://schemas.openxmlformats.org/officeDocument/2006/relationships/hyperlink" Target="http://hawksey.info/tagsexplorer/arc.html?key=1juyIQsnL_T8tqzfzAVVjPctB4eqiafTghnL_xhvkrjk&amp;gid=400689247&amp;screenname=Jones_No6" TargetMode="External"/><Relationship Id="rId628" Type="http://schemas.openxmlformats.org/officeDocument/2006/relationships/hyperlink" Target="http://hawksey.info/tagsexplorer/arc.html?key=1juyIQsnL_T8tqzfzAVVjPctB4eqiafTghnL_xhvkrjk&amp;gid=400689247&amp;screenname=JuhaLemmetti" TargetMode="External"/><Relationship Id="rId627" Type="http://schemas.openxmlformats.org/officeDocument/2006/relationships/hyperlink" Target="http://hawksey.info/tagsexplorer/arc.html?key=1juyIQsnL_T8tqzfzAVVjPctB4eqiafTghnL_xhvkrjk&amp;gid=400689247&amp;screenname=JueChi1" TargetMode="External"/><Relationship Id="rId626" Type="http://schemas.openxmlformats.org/officeDocument/2006/relationships/hyperlink" Target="http://hawksey.info/tagsexplorer/arc.html?key=1juyIQsnL_T8tqzfzAVVjPctB4eqiafTghnL_xhvkrjk&amp;gid=400689247&amp;screenname=JudyAbel2" TargetMode="External"/><Relationship Id="rId625" Type="http://schemas.openxmlformats.org/officeDocument/2006/relationships/hyperlink" Target="http://hawksey.info/tagsexplorer/arc.html?key=1juyIQsnL_T8tqzfzAVVjPctB4eqiafTghnL_xhvkrjk&amp;gid=400689247&amp;screenname=Jrheyworth" TargetMode="External"/><Relationship Id="rId1450" Type="http://schemas.openxmlformats.org/officeDocument/2006/relationships/hyperlink" Target="http://hawksey.info/tagsexplorer/arc.html?key=1juyIQsnL_T8tqzfzAVVjPctB4eqiafTghnL_xhvkrjk&amp;gid=400689247&amp;screenname=darrenoutlaw1" TargetMode="External"/><Relationship Id="rId620" Type="http://schemas.openxmlformats.org/officeDocument/2006/relationships/hyperlink" Target="http://hawksey.info/tagsexplorer/arc.html?key=1juyIQsnL_T8tqzfzAVVjPctB4eqiafTghnL_xhvkrjk&amp;gid=400689247&amp;screenname=Jon_Fraser01" TargetMode="External"/><Relationship Id="rId1451" Type="http://schemas.openxmlformats.org/officeDocument/2006/relationships/hyperlink" Target="http://hawksey.info/tagsexplorer/arc.html?key=1juyIQsnL_T8tqzfzAVVjPctB4eqiafTghnL_xhvkrjk&amp;gid=400689247&amp;screenname=darwent_charles" TargetMode="External"/><Relationship Id="rId1452" Type="http://schemas.openxmlformats.org/officeDocument/2006/relationships/hyperlink" Target="http://hawksey.info/tagsexplorer/arc.html?key=1juyIQsnL_T8tqzfzAVVjPctB4eqiafTghnL_xhvkrjk&amp;gid=400689247&amp;screenname=datamanvt" TargetMode="External"/><Relationship Id="rId1453" Type="http://schemas.openxmlformats.org/officeDocument/2006/relationships/hyperlink" Target="http://hawksey.info/tagsexplorer/arc.html?key=1juyIQsnL_T8tqzfzAVVjPctB4eqiafTghnL_xhvkrjk&amp;gid=400689247&amp;screenname=dave161256" TargetMode="External"/><Relationship Id="rId1454" Type="http://schemas.openxmlformats.org/officeDocument/2006/relationships/hyperlink" Target="http://hawksey.info/tagsexplorer/arc.html?key=1juyIQsnL_T8tqzfzAVVjPctB4eqiafTghnL_xhvkrjk&amp;gid=400689247&amp;screenname=daveRessex" TargetMode="External"/><Relationship Id="rId1444" Type="http://schemas.openxmlformats.org/officeDocument/2006/relationships/hyperlink" Target="http://hawksey.info/tagsexplorer/arc.html?key=1juyIQsnL_T8tqzfzAVVjPctB4eqiafTghnL_xhvkrjk&amp;gid=400689247&amp;screenname=dammitjanice" TargetMode="External"/><Relationship Id="rId1445" Type="http://schemas.openxmlformats.org/officeDocument/2006/relationships/hyperlink" Target="http://hawksey.info/tagsexplorer/arc.html?key=1juyIQsnL_T8tqzfzAVVjPctB4eqiafTghnL_xhvkrjk&amp;gid=400689247&amp;screenname=dan_ist" TargetMode="External"/><Relationship Id="rId1446" Type="http://schemas.openxmlformats.org/officeDocument/2006/relationships/hyperlink" Target="http://hawksey.info/tagsexplorer/arc.html?key=1juyIQsnL_T8tqzfzAVVjPctB4eqiafTghnL_xhvkrjk&amp;gid=400689247&amp;screenname=dancelightning" TargetMode="External"/><Relationship Id="rId1447" Type="http://schemas.openxmlformats.org/officeDocument/2006/relationships/hyperlink" Target="http://hawksey.info/tagsexplorer/arc.html?key=1juyIQsnL_T8tqzfzAVVjPctB4eqiafTghnL_xhvkrjk&amp;gid=400689247&amp;screenname=danielRob001" TargetMode="External"/><Relationship Id="rId1448" Type="http://schemas.openxmlformats.org/officeDocument/2006/relationships/hyperlink" Target="http://hawksey.info/tagsexplorer/arc.html?key=1juyIQsnL_T8tqzfzAVVjPctB4eqiafTghnL_xhvkrjk&amp;gid=400689247&amp;screenname=danohagan" TargetMode="External"/><Relationship Id="rId1449" Type="http://schemas.openxmlformats.org/officeDocument/2006/relationships/hyperlink" Target="http://hawksey.info/tagsexplorer/arc.html?key=1juyIQsnL_T8tqzfzAVVjPctB4eqiafTghnL_xhvkrjk&amp;gid=400689247&amp;screenname=dark_f00t" TargetMode="External"/><Relationship Id="rId619" Type="http://schemas.openxmlformats.org/officeDocument/2006/relationships/hyperlink" Target="http://hawksey.info/tagsexplorer/arc.html?key=1juyIQsnL_T8tqzfzAVVjPctB4eqiafTghnL_xhvkrjk&amp;gid=400689247&amp;screenname=Jon_Danzig" TargetMode="External"/><Relationship Id="rId618" Type="http://schemas.openxmlformats.org/officeDocument/2006/relationships/hyperlink" Target="http://hawksey.info/tagsexplorer/arc.html?key=1juyIQsnL_T8tqzfzAVVjPctB4eqiafTghnL_xhvkrjk&amp;gid=400689247&amp;screenname=JonLegsby" TargetMode="External"/><Relationship Id="rId613" Type="http://schemas.openxmlformats.org/officeDocument/2006/relationships/hyperlink" Target="http://hawksey.info/tagsexplorer/arc.html?key=1juyIQsnL_T8tqzfzAVVjPctB4eqiafTghnL_xhvkrjk&amp;gid=400689247&amp;screenname=JohnWilkinspsyc" TargetMode="External"/><Relationship Id="rId612" Type="http://schemas.openxmlformats.org/officeDocument/2006/relationships/hyperlink" Target="http://hawksey.info/tagsexplorer/arc.html?key=1juyIQsnL_T8tqzfzAVVjPctB4eqiafTghnL_xhvkrjk&amp;gid=400689247&amp;screenname=JohnSin12439176" TargetMode="External"/><Relationship Id="rId611" Type="http://schemas.openxmlformats.org/officeDocument/2006/relationships/hyperlink" Target="http://hawksey.info/tagsexplorer/arc.html?key=1juyIQsnL_T8tqzfzAVVjPctB4eqiafTghnL_xhvkrjk&amp;gid=400689247&amp;screenname=JohnPBowenMusic" TargetMode="External"/><Relationship Id="rId610" Type="http://schemas.openxmlformats.org/officeDocument/2006/relationships/hyperlink" Target="http://hawksey.info/tagsexplorer/arc.html?key=1juyIQsnL_T8tqzfzAVVjPctB4eqiafTghnL_xhvkrjk&amp;gid=400689247&amp;screenname=JohnKLDN" TargetMode="External"/><Relationship Id="rId617" Type="http://schemas.openxmlformats.org/officeDocument/2006/relationships/hyperlink" Target="http://hawksey.info/tagsexplorer/arc.html?key=1juyIQsnL_T8tqzfzAVVjPctB4eqiafTghnL_xhvkrjk&amp;gid=400689247&amp;screenname=JonBF23" TargetMode="External"/><Relationship Id="rId616" Type="http://schemas.openxmlformats.org/officeDocument/2006/relationships/hyperlink" Target="http://hawksey.info/tagsexplorer/arc.html?key=1juyIQsnL_T8tqzfzAVVjPctB4eqiafTghnL_xhvkrjk&amp;gid=400689247&amp;screenname=JolandaGjoni" TargetMode="External"/><Relationship Id="rId615" Type="http://schemas.openxmlformats.org/officeDocument/2006/relationships/hyperlink" Target="http://hawksey.info/tagsexplorer/arc.html?key=1juyIQsnL_T8tqzfzAVVjPctB4eqiafTghnL_xhvkrjk&amp;gid=400689247&amp;screenname=Johnnyrelevant" TargetMode="External"/><Relationship Id="rId614" Type="http://schemas.openxmlformats.org/officeDocument/2006/relationships/hyperlink" Target="http://hawksey.info/tagsexplorer/arc.html?key=1juyIQsnL_T8tqzfzAVVjPctB4eqiafTghnL_xhvkrjk&amp;gid=400689247&amp;screenname=Johnmfitzp" TargetMode="External"/><Relationship Id="rId1440" Type="http://schemas.openxmlformats.org/officeDocument/2006/relationships/hyperlink" Target="http://hawksey.info/tagsexplorer/arc.html?key=1juyIQsnL_T8tqzfzAVVjPctB4eqiafTghnL_xhvkrjk&amp;gid=400689247&amp;screenname=dajrafa" TargetMode="External"/><Relationship Id="rId1441" Type="http://schemas.openxmlformats.org/officeDocument/2006/relationships/hyperlink" Target="http://hawksey.info/tagsexplorer/arc.html?key=1juyIQsnL_T8tqzfzAVVjPctB4eqiafTghnL_xhvkrjk&amp;gid=400689247&amp;screenname=damaumart1" TargetMode="External"/><Relationship Id="rId1442" Type="http://schemas.openxmlformats.org/officeDocument/2006/relationships/hyperlink" Target="http://hawksey.info/tagsexplorer/arc.html?key=1juyIQsnL_T8tqzfzAVVjPctB4eqiafTghnL_xhvkrjk&amp;gid=400689247&amp;screenname=damienburke1234" TargetMode="External"/><Relationship Id="rId1443" Type="http://schemas.openxmlformats.org/officeDocument/2006/relationships/hyperlink" Target="http://hawksey.info/tagsexplorer/arc.html?key=1juyIQsnL_T8tqzfzAVVjPctB4eqiafTghnL_xhvkrjk&amp;gid=400689247&amp;screenname=damienransome" TargetMode="External"/><Relationship Id="rId1477" Type="http://schemas.openxmlformats.org/officeDocument/2006/relationships/hyperlink" Target="http://hawksey.info/tagsexplorer/arc.html?key=1juyIQsnL_T8tqzfzAVVjPctB4eqiafTghnL_xhvkrjk&amp;gid=400689247&amp;screenname=desmonddolan" TargetMode="External"/><Relationship Id="rId1478" Type="http://schemas.openxmlformats.org/officeDocument/2006/relationships/hyperlink" Target="http://hawksey.info/tagsexplorer/arc.html?key=1juyIQsnL_T8tqzfzAVVjPctB4eqiafTghnL_xhvkrjk&amp;gid=400689247&amp;screenname=detemple" TargetMode="External"/><Relationship Id="rId1479" Type="http://schemas.openxmlformats.org/officeDocument/2006/relationships/hyperlink" Target="http://hawksey.info/tagsexplorer/arc.html?key=1juyIQsnL_T8tqzfzAVVjPctB4eqiafTghnL_xhvkrjk&amp;gid=400689247&amp;screenname=devonguy02" TargetMode="External"/><Relationship Id="rId646" Type="http://schemas.openxmlformats.org/officeDocument/2006/relationships/hyperlink" Target="http://hawksey.info/tagsexplorer/arc.html?key=1juyIQsnL_T8tqzfzAVVjPctB4eqiafTghnL_xhvkrjk&amp;gid=400689247&amp;screenname=KMarxette" TargetMode="External"/><Relationship Id="rId645" Type="http://schemas.openxmlformats.org/officeDocument/2006/relationships/hyperlink" Target="http://hawksey.info/tagsexplorer/arc.html?key=1juyIQsnL_T8tqzfzAVVjPctB4eqiafTghnL_xhvkrjk&amp;gid=400689247&amp;screenname=KKilcoyne" TargetMode="External"/><Relationship Id="rId644" Type="http://schemas.openxmlformats.org/officeDocument/2006/relationships/hyperlink" Target="http://hawksey.info/tagsexplorer/arc.html?key=1juyIQsnL_T8tqzfzAVVjPctB4eqiafTghnL_xhvkrjk&amp;gid=400689247&amp;screenname=JustineH0213" TargetMode="External"/><Relationship Id="rId643" Type="http://schemas.openxmlformats.org/officeDocument/2006/relationships/hyperlink" Target="http://hawksey.info/tagsexplorer/arc.html?key=1juyIQsnL_T8tqzfzAVVjPctB4eqiafTghnL_xhvkrjk&amp;gid=400689247&amp;screenname=June_Roche" TargetMode="External"/><Relationship Id="rId649" Type="http://schemas.openxmlformats.org/officeDocument/2006/relationships/hyperlink" Target="http://hawksey.info/tagsexplorer/arc.html?key=1juyIQsnL_T8tqzfzAVVjPctB4eqiafTghnL_xhvkrjk&amp;gid=400689247&amp;screenname=KaitDuerden" TargetMode="External"/><Relationship Id="rId648" Type="http://schemas.openxmlformats.org/officeDocument/2006/relationships/hyperlink" Target="http://hawksey.info/tagsexplorer/arc.html?key=1juyIQsnL_T8tqzfzAVVjPctB4eqiafTghnL_xhvkrjk&amp;gid=400689247&amp;screenname=KTCharlton" TargetMode="External"/><Relationship Id="rId647" Type="http://schemas.openxmlformats.org/officeDocument/2006/relationships/hyperlink" Target="http://hawksey.info/tagsexplorer/arc.html?key=1juyIQsnL_T8tqzfzAVVjPctB4eqiafTghnL_xhvkrjk&amp;gid=400689247&amp;screenname=KT7015" TargetMode="External"/><Relationship Id="rId1470" Type="http://schemas.openxmlformats.org/officeDocument/2006/relationships/hyperlink" Target="http://hawksey.info/tagsexplorer/arc.html?key=1juyIQsnL_T8tqzfzAVVjPctB4eqiafTghnL_xhvkrjk&amp;gid=400689247&amp;screenname=dazzapsj1" TargetMode="External"/><Relationship Id="rId1471" Type="http://schemas.openxmlformats.org/officeDocument/2006/relationships/hyperlink" Target="http://hawksey.info/tagsexplorer/arc.html?key=1juyIQsnL_T8tqzfzAVVjPctB4eqiafTghnL_xhvkrjk&amp;gid=400689247&amp;screenname=dbkell" TargetMode="External"/><Relationship Id="rId1472" Type="http://schemas.openxmlformats.org/officeDocument/2006/relationships/hyperlink" Target="http://hawksey.info/tagsexplorer/arc.html?key=1juyIQsnL_T8tqzfzAVVjPctB4eqiafTghnL_xhvkrjk&amp;gid=400689247&amp;screenname=dcpardoe" TargetMode="External"/><Relationship Id="rId642" Type="http://schemas.openxmlformats.org/officeDocument/2006/relationships/hyperlink" Target="http://hawksey.info/tagsexplorer/arc.html?key=1juyIQsnL_T8tqzfzAVVjPctB4eqiafTghnL_xhvkrjk&amp;gid=400689247&amp;screenname=JuneMcg05903673" TargetMode="External"/><Relationship Id="rId1473" Type="http://schemas.openxmlformats.org/officeDocument/2006/relationships/hyperlink" Target="http://hawksey.info/tagsexplorer/arc.html?key=1juyIQsnL_T8tqzfzAVVjPctB4eqiafTghnL_xhvkrjk&amp;gid=400689247&amp;screenname=deane258" TargetMode="External"/><Relationship Id="rId641" Type="http://schemas.openxmlformats.org/officeDocument/2006/relationships/hyperlink" Target="http://hawksey.info/tagsexplorer/arc.html?key=1juyIQsnL_T8tqzfzAVVjPctB4eqiafTghnL_xhvkrjk&amp;gid=400689247&amp;screenname=JumbleRates" TargetMode="External"/><Relationship Id="rId1474" Type="http://schemas.openxmlformats.org/officeDocument/2006/relationships/hyperlink" Target="http://hawksey.info/tagsexplorer/arc.html?key=1juyIQsnL_T8tqzfzAVVjPctB4eqiafTghnL_xhvkrjk&amp;gid=400689247&amp;screenname=decsernatony" TargetMode="External"/><Relationship Id="rId640" Type="http://schemas.openxmlformats.org/officeDocument/2006/relationships/hyperlink" Target="http://hawksey.info/tagsexplorer/arc.html?key=1juyIQsnL_T8tqzfzAVVjPctB4eqiafTghnL_xhvkrjk&amp;gid=400689247&amp;screenname=Julyon60" TargetMode="External"/><Relationship Id="rId1475" Type="http://schemas.openxmlformats.org/officeDocument/2006/relationships/hyperlink" Target="http://hawksey.info/tagsexplorer/arc.html?key=1juyIQsnL_T8tqzfzAVVjPctB4eqiafTghnL_xhvkrjk&amp;gid=400689247&amp;screenname=deescattered" TargetMode="External"/><Relationship Id="rId1476" Type="http://schemas.openxmlformats.org/officeDocument/2006/relationships/hyperlink" Target="http://hawksey.info/tagsexplorer/arc.html?key=1juyIQsnL_T8tqzfzAVVjPctB4eqiafTghnL_xhvkrjk&amp;gid=400689247&amp;screenname=dennbarr44" TargetMode="External"/><Relationship Id="rId1466" Type="http://schemas.openxmlformats.org/officeDocument/2006/relationships/hyperlink" Target="http://hawksey.info/tagsexplorer/arc.html?key=1juyIQsnL_T8tqzfzAVVjPctB4eqiafTghnL_xhvkrjk&amp;gid=400689247&amp;screenname=davidwaters79" TargetMode="External"/><Relationship Id="rId1467" Type="http://schemas.openxmlformats.org/officeDocument/2006/relationships/hyperlink" Target="http://hawksey.info/tagsexplorer/arc.html?key=1juyIQsnL_T8tqzfzAVVjPctB4eqiafTghnL_xhvkrjk&amp;gid=400689247&amp;screenname=davidwychwood" TargetMode="External"/><Relationship Id="rId1468" Type="http://schemas.openxmlformats.org/officeDocument/2006/relationships/hyperlink" Target="http://hawksey.info/tagsexplorer/arc.html?key=1juyIQsnL_T8tqzfzAVVjPctB4eqiafTghnL_xhvkrjk&amp;gid=400689247&amp;screenname=davie5456" TargetMode="External"/><Relationship Id="rId1469" Type="http://schemas.openxmlformats.org/officeDocument/2006/relationships/hyperlink" Target="http://hawksey.info/tagsexplorer/arc.html?key=1juyIQsnL_T8tqzfzAVVjPctB4eqiafTghnL_xhvkrjk&amp;gid=400689247&amp;screenname=dazf777" TargetMode="External"/><Relationship Id="rId635" Type="http://schemas.openxmlformats.org/officeDocument/2006/relationships/hyperlink" Target="http://hawksey.info/tagsexplorer/arc.html?key=1juyIQsnL_T8tqzfzAVVjPctB4eqiafTghnL_xhvkrjk&amp;gid=400689247&amp;screenname=JulieCuninghame" TargetMode="External"/><Relationship Id="rId634" Type="http://schemas.openxmlformats.org/officeDocument/2006/relationships/hyperlink" Target="http://hawksey.info/tagsexplorer/arc.html?key=1juyIQsnL_T8tqzfzAVVjPctB4eqiafTghnL_xhvkrjk&amp;gid=400689247&amp;screenname=JulieBJewellery" TargetMode="External"/><Relationship Id="rId633" Type="http://schemas.openxmlformats.org/officeDocument/2006/relationships/hyperlink" Target="http://hawksey.info/tagsexplorer/arc.html?key=1juyIQsnL_T8tqzfzAVVjPctB4eqiafTghnL_xhvkrjk&amp;gid=400689247&amp;screenname=Julie69019314" TargetMode="External"/><Relationship Id="rId632" Type="http://schemas.openxmlformats.org/officeDocument/2006/relationships/hyperlink" Target="http://hawksey.info/tagsexplorer/arc.html?key=1juyIQsnL_T8tqzfzAVVjPctB4eqiafTghnL_xhvkrjk&amp;gid=400689247&amp;screenname=JulianHarvey17" TargetMode="External"/><Relationship Id="rId639" Type="http://schemas.openxmlformats.org/officeDocument/2006/relationships/hyperlink" Target="http://hawksey.info/tagsexplorer/arc.html?key=1juyIQsnL_T8tqzfzAVVjPctB4eqiafTghnL_xhvkrjk&amp;gid=400689247&amp;screenname=July_Sv" TargetMode="External"/><Relationship Id="rId638" Type="http://schemas.openxmlformats.org/officeDocument/2006/relationships/hyperlink" Target="http://hawksey.info/tagsexplorer/arc.html?key=1juyIQsnL_T8tqzfzAVVjPctB4eqiafTghnL_xhvkrjk&amp;gid=400689247&amp;screenname=Julleht" TargetMode="External"/><Relationship Id="rId637" Type="http://schemas.openxmlformats.org/officeDocument/2006/relationships/hyperlink" Target="http://hawksey.info/tagsexplorer/arc.html?key=1juyIQsnL_T8tqzfzAVVjPctB4eqiafTghnL_xhvkrjk&amp;gid=400689247&amp;screenname=Juliefrazz" TargetMode="External"/><Relationship Id="rId636" Type="http://schemas.openxmlformats.org/officeDocument/2006/relationships/hyperlink" Target="http://hawksey.info/tagsexplorer/arc.html?key=1juyIQsnL_T8tqzfzAVVjPctB4eqiafTghnL_xhvkrjk&amp;gid=400689247&amp;screenname=JulieLesniarek" TargetMode="External"/><Relationship Id="rId1460" Type="http://schemas.openxmlformats.org/officeDocument/2006/relationships/hyperlink" Target="http://hawksey.info/tagsexplorer/arc.html?key=1juyIQsnL_T8tqzfzAVVjPctB4eqiafTghnL_xhvkrjk&amp;gid=400689247&amp;screenname=davidjmyershot2" TargetMode="External"/><Relationship Id="rId1461" Type="http://schemas.openxmlformats.org/officeDocument/2006/relationships/hyperlink" Target="http://hawksey.info/tagsexplorer/arc.html?key=1juyIQsnL_T8tqzfzAVVjPctB4eqiafTghnL_xhvkrjk&amp;gid=400689247&amp;screenname=davidmacdougall" TargetMode="External"/><Relationship Id="rId631" Type="http://schemas.openxmlformats.org/officeDocument/2006/relationships/hyperlink" Target="http://hawksey.info/tagsexplorer/arc.html?key=1juyIQsnL_T8tqzfzAVVjPctB4eqiafTghnL_xhvkrjk&amp;gid=400689247&amp;screenname=JulianC2412" TargetMode="External"/><Relationship Id="rId1462" Type="http://schemas.openxmlformats.org/officeDocument/2006/relationships/hyperlink" Target="http://hawksey.info/tagsexplorer/arc.html?key=1juyIQsnL_T8tqzfzAVVjPctB4eqiafTghnL_xhvkrjk&amp;gid=400689247&amp;screenname=davidmatterson" TargetMode="External"/><Relationship Id="rId630" Type="http://schemas.openxmlformats.org/officeDocument/2006/relationships/hyperlink" Target="http://hawksey.info/tagsexplorer/arc.html?key=1juyIQsnL_T8tqzfzAVVjPctB4eqiafTghnL_xhvkrjk&amp;gid=400689247&amp;screenname=JuliaHMuir" TargetMode="External"/><Relationship Id="rId1463" Type="http://schemas.openxmlformats.org/officeDocument/2006/relationships/hyperlink" Target="http://hawksey.info/tagsexplorer/arc.html?key=1juyIQsnL_T8tqzfzAVVjPctB4eqiafTghnL_xhvkrjk&amp;gid=400689247&amp;screenname=davidnoland71" TargetMode="External"/><Relationship Id="rId1464" Type="http://schemas.openxmlformats.org/officeDocument/2006/relationships/hyperlink" Target="http://hawksey.info/tagsexplorer/arc.html?key=1juyIQsnL_T8tqzfzAVVjPctB4eqiafTghnL_xhvkrjk&amp;gid=400689247&amp;screenname=davidsugars" TargetMode="External"/><Relationship Id="rId1465" Type="http://schemas.openxmlformats.org/officeDocument/2006/relationships/hyperlink" Target="http://hawksey.info/tagsexplorer/arc.html?key=1juyIQsnL_T8tqzfzAVVjPctB4eqiafTghnL_xhvkrjk&amp;gid=400689247&amp;screenname=davidtphillips" TargetMode="External"/><Relationship Id="rId1411" Type="http://schemas.openxmlformats.org/officeDocument/2006/relationships/hyperlink" Target="http://hawksey.info/tagsexplorer/arc.html?key=1juyIQsnL_T8tqzfzAVVjPctB4eqiafTghnL_xhvkrjk&amp;gid=400689247&amp;screenname=chrisc_kent" TargetMode="External"/><Relationship Id="rId1412" Type="http://schemas.openxmlformats.org/officeDocument/2006/relationships/hyperlink" Target="http://hawksey.info/tagsexplorer/arc.html?key=1juyIQsnL_T8tqzfzAVVjPctB4eqiafTghnL_xhvkrjk&amp;gid=400689247&amp;screenname=chriscarter1907" TargetMode="External"/><Relationship Id="rId1413" Type="http://schemas.openxmlformats.org/officeDocument/2006/relationships/hyperlink" Target="http://hawksey.info/tagsexplorer/arc.html?key=1juyIQsnL_T8tqzfzAVVjPctB4eqiafTghnL_xhvkrjk&amp;gid=400689247&amp;screenname=chrismayLU" TargetMode="External"/><Relationship Id="rId1414" Type="http://schemas.openxmlformats.org/officeDocument/2006/relationships/hyperlink" Target="http://hawksey.info/tagsexplorer/arc.html?key=1juyIQsnL_T8tqzfzAVVjPctB4eqiafTghnL_xhvkrjk&amp;gid=400689247&amp;screenname=chrismilne69" TargetMode="External"/><Relationship Id="rId1415" Type="http://schemas.openxmlformats.org/officeDocument/2006/relationships/hyperlink" Target="http://hawksey.info/tagsexplorer/arc.html?key=1juyIQsnL_T8tqzfzAVVjPctB4eqiafTghnL_xhvkrjk&amp;gid=400689247&amp;screenname=chrissiros" TargetMode="External"/><Relationship Id="rId1416" Type="http://schemas.openxmlformats.org/officeDocument/2006/relationships/hyperlink" Target="http://hawksey.info/tagsexplorer/arc.html?key=1juyIQsnL_T8tqzfzAVVjPctB4eqiafTghnL_xhvkrjk&amp;gid=400689247&amp;screenname=christine998" TargetMode="External"/><Relationship Id="rId1417" Type="http://schemas.openxmlformats.org/officeDocument/2006/relationships/hyperlink" Target="http://hawksey.info/tagsexplorer/arc.html?key=1juyIQsnL_T8tqzfzAVVjPctB4eqiafTghnL_xhvkrjk&amp;gid=400689247&amp;screenname=chriswalford" TargetMode="External"/><Relationship Id="rId1418" Type="http://schemas.openxmlformats.org/officeDocument/2006/relationships/hyperlink" Target="http://hawksey.info/tagsexplorer/arc.html?key=1juyIQsnL_T8tqzfzAVVjPctB4eqiafTghnL_xhvkrjk&amp;gid=400689247&amp;screenname=chrysha22" TargetMode="External"/><Relationship Id="rId1419" Type="http://schemas.openxmlformats.org/officeDocument/2006/relationships/hyperlink" Target="http://hawksey.info/tagsexplorer/arc.html?key=1juyIQsnL_T8tqzfzAVVjPctB4eqiafTghnL_xhvkrjk&amp;gid=400689247&amp;screenname=clairerendall1" TargetMode="External"/><Relationship Id="rId1410" Type="http://schemas.openxmlformats.org/officeDocument/2006/relationships/hyperlink" Target="http://hawksey.info/tagsexplorer/arc.html?key=1juyIQsnL_T8tqzfzAVVjPctB4eqiafTghnL_xhvkrjk&amp;gid=400689247&amp;screenname=chrisastbury19" TargetMode="External"/><Relationship Id="rId1400" Type="http://schemas.openxmlformats.org/officeDocument/2006/relationships/hyperlink" Target="http://hawksey.info/tagsexplorer/arc.html?key=1juyIQsnL_T8tqzfzAVVjPctB4eqiafTghnL_xhvkrjk&amp;gid=400689247&amp;screenname=charlie001" TargetMode="External"/><Relationship Id="rId1401" Type="http://schemas.openxmlformats.org/officeDocument/2006/relationships/hyperlink" Target="http://hawksey.info/tagsexplorer/arc.html?key=1juyIQsnL_T8tqzfzAVVjPctB4eqiafTghnL_xhvkrjk&amp;gid=400689247&amp;screenname=charlieosborne" TargetMode="External"/><Relationship Id="rId1402" Type="http://schemas.openxmlformats.org/officeDocument/2006/relationships/hyperlink" Target="http://hawksey.info/tagsexplorer/arc.html?key=1juyIQsnL_T8tqzfzAVVjPctB4eqiafTghnL_xhvkrjk&amp;gid=400689247&amp;screenname=cheese58chat" TargetMode="External"/><Relationship Id="rId1403" Type="http://schemas.openxmlformats.org/officeDocument/2006/relationships/hyperlink" Target="http://hawksey.info/tagsexplorer/arc.html?key=1juyIQsnL_T8tqzfzAVVjPctB4eqiafTghnL_xhvkrjk&amp;gid=400689247&amp;screenname=cheryl_beech" TargetMode="External"/><Relationship Id="rId1404" Type="http://schemas.openxmlformats.org/officeDocument/2006/relationships/hyperlink" Target="http://hawksey.info/tagsexplorer/arc.html?key=1juyIQsnL_T8tqzfzAVVjPctB4eqiafTghnL_xhvkrjk&amp;gid=400689247&amp;screenname=chesterwriter" TargetMode="External"/><Relationship Id="rId1405" Type="http://schemas.openxmlformats.org/officeDocument/2006/relationships/hyperlink" Target="http://hawksey.info/tagsexplorer/arc.html?key=1juyIQsnL_T8tqzfzAVVjPctB4eqiafTghnL_xhvkrjk&amp;gid=400689247&amp;screenname=chestney_rose" TargetMode="External"/><Relationship Id="rId1406" Type="http://schemas.openxmlformats.org/officeDocument/2006/relationships/hyperlink" Target="http://hawksey.info/tagsexplorer/arc.html?key=1juyIQsnL_T8tqzfzAVVjPctB4eqiafTghnL_xhvkrjk&amp;gid=400689247&amp;screenname=chirpychappy1" TargetMode="External"/><Relationship Id="rId1407" Type="http://schemas.openxmlformats.org/officeDocument/2006/relationships/hyperlink" Target="http://hawksey.info/tagsexplorer/arc.html?key=1juyIQsnL_T8tqzfzAVVjPctB4eqiafTghnL_xhvkrjk&amp;gid=400689247&amp;screenname=chloe4711" TargetMode="External"/><Relationship Id="rId1408" Type="http://schemas.openxmlformats.org/officeDocument/2006/relationships/hyperlink" Target="http://hawksey.info/tagsexplorer/arc.html?key=1juyIQsnL_T8tqzfzAVVjPctB4eqiafTghnL_xhvkrjk&amp;gid=400689247&amp;screenname=choccie_thief" TargetMode="External"/><Relationship Id="rId1409" Type="http://schemas.openxmlformats.org/officeDocument/2006/relationships/hyperlink" Target="http://hawksey.info/tagsexplorer/arc.html?key=1juyIQsnL_T8tqzfzAVVjPctB4eqiafTghnL_xhvkrjk&amp;gid=400689247&amp;screenname=choor121" TargetMode="External"/><Relationship Id="rId1433" Type="http://schemas.openxmlformats.org/officeDocument/2006/relationships/hyperlink" Target="http://hawksey.info/tagsexplorer/arc.html?key=1juyIQsnL_T8tqzfzAVVjPctB4eqiafTghnL_xhvkrjk&amp;gid=400689247&amp;screenname=cork_kb" TargetMode="External"/><Relationship Id="rId1434" Type="http://schemas.openxmlformats.org/officeDocument/2006/relationships/hyperlink" Target="http://hawksey.info/tagsexplorer/arc.html?key=1juyIQsnL_T8tqzfzAVVjPctB4eqiafTghnL_xhvkrjk&amp;gid=400689247&amp;screenname=cristian_ma21" TargetMode="External"/><Relationship Id="rId1435" Type="http://schemas.openxmlformats.org/officeDocument/2006/relationships/hyperlink" Target="http://hawksey.info/tagsexplorer/arc.html?key=1juyIQsnL_T8tqzfzAVVjPctB4eqiafTghnL_xhvkrjk&amp;gid=400689247&amp;screenname=crozier_damian" TargetMode="External"/><Relationship Id="rId1436" Type="http://schemas.openxmlformats.org/officeDocument/2006/relationships/hyperlink" Target="http://hawksey.info/tagsexplorer/arc.html?key=1juyIQsnL_T8tqzfzAVVjPctB4eqiafTghnL_xhvkrjk&amp;gid=400689247&amp;screenname=csibike1" TargetMode="External"/><Relationship Id="rId1437" Type="http://schemas.openxmlformats.org/officeDocument/2006/relationships/hyperlink" Target="http://hawksey.info/tagsexplorer/arc.html?key=1juyIQsnL_T8tqzfzAVVjPctB4eqiafTghnL_xhvkrjk&amp;gid=400689247&amp;screenname=csrvermaak" TargetMode="External"/><Relationship Id="rId1438" Type="http://schemas.openxmlformats.org/officeDocument/2006/relationships/hyperlink" Target="http://hawksey.info/tagsexplorer/arc.html?key=1juyIQsnL_T8tqzfzAVVjPctB4eqiafTghnL_xhvkrjk&amp;gid=400689247&amp;screenname=cwsmith1" TargetMode="External"/><Relationship Id="rId1439" Type="http://schemas.openxmlformats.org/officeDocument/2006/relationships/hyperlink" Target="http://hawksey.info/tagsexplorer/arc.html?key=1juyIQsnL_T8tqzfzAVVjPctB4eqiafTghnL_xhvkrjk&amp;gid=400689247&amp;screenname=d5_rss" TargetMode="External"/><Relationship Id="rId609" Type="http://schemas.openxmlformats.org/officeDocument/2006/relationships/hyperlink" Target="http://hawksey.info/tagsexplorer/arc.html?key=1juyIQsnL_T8tqzfzAVVjPctB4eqiafTghnL_xhvkrjk&amp;gid=400689247&amp;screenname=JohnJacksonUAL" TargetMode="External"/><Relationship Id="rId608" Type="http://schemas.openxmlformats.org/officeDocument/2006/relationships/hyperlink" Target="http://hawksey.info/tagsexplorer/arc.html?key=1juyIQsnL_T8tqzfzAVVjPctB4eqiafTghnL_xhvkrjk&amp;gid=400689247&amp;screenname=JohnHurr" TargetMode="External"/><Relationship Id="rId607" Type="http://schemas.openxmlformats.org/officeDocument/2006/relationships/hyperlink" Target="http://hawksey.info/tagsexplorer/arc.html?key=1juyIQsnL_T8tqzfzAVVjPctB4eqiafTghnL_xhvkrjk&amp;gid=400689247&amp;screenname=JohnGoodrich" TargetMode="External"/><Relationship Id="rId602" Type="http://schemas.openxmlformats.org/officeDocument/2006/relationships/hyperlink" Target="http://hawksey.info/tagsexplorer/arc.html?key=1juyIQsnL_T8tqzfzAVVjPctB4eqiafTghnL_xhvkrjk&amp;gid=400689247&amp;screenname=JohnBoo85608696" TargetMode="External"/><Relationship Id="rId601" Type="http://schemas.openxmlformats.org/officeDocument/2006/relationships/hyperlink" Target="http://hawksey.info/tagsexplorer/arc.html?key=1juyIQsnL_T8tqzfzAVVjPctB4eqiafTghnL_xhvkrjk&amp;gid=400689247&amp;screenname=JohnAsh94737774" TargetMode="External"/><Relationship Id="rId600" Type="http://schemas.openxmlformats.org/officeDocument/2006/relationships/hyperlink" Target="http://hawksey.info/tagsexplorer/arc.html?key=1juyIQsnL_T8tqzfzAVVjPctB4eqiafTghnL_xhvkrjk&amp;gid=400689247&amp;screenname=John2000AD" TargetMode="External"/><Relationship Id="rId606" Type="http://schemas.openxmlformats.org/officeDocument/2006/relationships/hyperlink" Target="http://hawksey.info/tagsexplorer/arc.html?key=1juyIQsnL_T8tqzfzAVVjPctB4eqiafTghnL_xhvkrjk&amp;gid=400689247&amp;screenname=JohnGillibrand" TargetMode="External"/><Relationship Id="rId605" Type="http://schemas.openxmlformats.org/officeDocument/2006/relationships/hyperlink" Target="http://hawksey.info/tagsexplorer/arc.html?key=1juyIQsnL_T8tqzfzAVVjPctB4eqiafTghnL_xhvkrjk&amp;gid=400689247&amp;screenname=JohnCur74968742" TargetMode="External"/><Relationship Id="rId604" Type="http://schemas.openxmlformats.org/officeDocument/2006/relationships/hyperlink" Target="http://hawksey.info/tagsexplorer/arc.html?key=1juyIQsnL_T8tqzfzAVVjPctB4eqiafTghnL_xhvkrjk&amp;gid=400689247&amp;screenname=JohnClarke1960" TargetMode="External"/><Relationship Id="rId603" Type="http://schemas.openxmlformats.org/officeDocument/2006/relationships/hyperlink" Target="http://hawksey.info/tagsexplorer/arc.html?key=1juyIQsnL_T8tqzfzAVVjPctB4eqiafTghnL_xhvkrjk&amp;gid=400689247&amp;screenname=JohnCam91405227" TargetMode="External"/><Relationship Id="rId1430" Type="http://schemas.openxmlformats.org/officeDocument/2006/relationships/hyperlink" Target="http://hawksey.info/tagsexplorer/arc.html?key=1juyIQsnL_T8tqzfzAVVjPctB4eqiafTghnL_xhvkrjk&amp;gid=400689247&amp;screenname=connolly_lg" TargetMode="External"/><Relationship Id="rId1431" Type="http://schemas.openxmlformats.org/officeDocument/2006/relationships/hyperlink" Target="http://hawksey.info/tagsexplorer/arc.html?key=1juyIQsnL_T8tqzfzAVVjPctB4eqiafTghnL_xhvkrjk&amp;gid=400689247&amp;screenname=cook_ythink" TargetMode="External"/><Relationship Id="rId1432" Type="http://schemas.openxmlformats.org/officeDocument/2006/relationships/hyperlink" Target="http://hawksey.info/tagsexplorer/arc.html?key=1juyIQsnL_T8tqzfzAVVjPctB4eqiafTghnL_xhvkrjk&amp;gid=400689247&amp;screenname=corinna_gregory" TargetMode="External"/><Relationship Id="rId1422" Type="http://schemas.openxmlformats.org/officeDocument/2006/relationships/hyperlink" Target="http://hawksey.info/tagsexplorer/arc.html?key=1juyIQsnL_T8tqzfzAVVjPctB4eqiafTghnL_xhvkrjk&amp;gid=400689247&amp;screenname=cmurphymurray" TargetMode="External"/><Relationship Id="rId1423" Type="http://schemas.openxmlformats.org/officeDocument/2006/relationships/hyperlink" Target="http://hawksey.info/tagsexplorer/arc.html?key=1juyIQsnL_T8tqzfzAVVjPctB4eqiafTghnL_xhvkrjk&amp;gid=400689247&amp;screenname=coffer_mco18" TargetMode="External"/><Relationship Id="rId1424" Type="http://schemas.openxmlformats.org/officeDocument/2006/relationships/hyperlink" Target="http://hawksey.info/tagsexplorer/arc.html?key=1juyIQsnL_T8tqzfzAVVjPctB4eqiafTghnL_xhvkrjk&amp;gid=400689247&amp;screenname=colemanr39" TargetMode="External"/><Relationship Id="rId1425" Type="http://schemas.openxmlformats.org/officeDocument/2006/relationships/hyperlink" Target="http://hawksey.info/tagsexplorer/arc.html?key=1juyIQsnL_T8tqzfzAVVjPctB4eqiafTghnL_xhvkrjk&amp;gid=400689247&amp;screenname=colin_macl" TargetMode="External"/><Relationship Id="rId1426" Type="http://schemas.openxmlformats.org/officeDocument/2006/relationships/hyperlink" Target="http://hawksey.info/tagsexplorer/arc.html?key=1juyIQsnL_T8tqzfzAVVjPctB4eqiafTghnL_xhvkrjk&amp;gid=400689247&amp;screenname=colinjhamilton" TargetMode="External"/><Relationship Id="rId1427" Type="http://schemas.openxmlformats.org/officeDocument/2006/relationships/hyperlink" Target="http://hawksey.info/tagsexplorer/arc.html?key=1juyIQsnL_T8tqzfzAVVjPctB4eqiafTghnL_xhvkrjk&amp;gid=400689247&amp;screenname=colinpennkenny" TargetMode="External"/><Relationship Id="rId1428" Type="http://schemas.openxmlformats.org/officeDocument/2006/relationships/hyperlink" Target="http://hawksey.info/tagsexplorer/arc.html?key=1juyIQsnL_T8tqzfzAVVjPctB4eqiafTghnL_xhvkrjk&amp;gid=400689247&amp;screenname=commonsenseden" TargetMode="External"/><Relationship Id="rId1429" Type="http://schemas.openxmlformats.org/officeDocument/2006/relationships/hyperlink" Target="http://hawksey.info/tagsexplorer/arc.html?key=1juyIQsnL_T8tqzfzAVVjPctB4eqiafTghnL_xhvkrjk&amp;gid=400689247&amp;screenname=condaeanclar" TargetMode="External"/><Relationship Id="rId1420" Type="http://schemas.openxmlformats.org/officeDocument/2006/relationships/hyperlink" Target="http://hawksey.info/tagsexplorer/arc.html?key=1juyIQsnL_T8tqzfzAVVjPctB4eqiafTghnL_xhvkrjk&amp;gid=400689247&amp;screenname=claregrove01" TargetMode="External"/><Relationship Id="rId1421" Type="http://schemas.openxmlformats.org/officeDocument/2006/relationships/hyperlink" Target="http://hawksey.info/tagsexplorer/arc.html?key=1juyIQsnL_T8tqzfzAVVjPctB4eqiafTghnL_xhvkrjk&amp;gid=400689247&amp;screenname=cllr_nardelli" TargetMode="External"/><Relationship Id="rId699" Type="http://schemas.openxmlformats.org/officeDocument/2006/relationships/hyperlink" Target="http://hawksey.info/tagsexplorer/arc.html?key=1juyIQsnL_T8tqzfzAVVjPctB4eqiafTghnL_xhvkrjk&amp;gid=400689247&amp;screenname=LenaLC64" TargetMode="External"/><Relationship Id="rId698" Type="http://schemas.openxmlformats.org/officeDocument/2006/relationships/hyperlink" Target="http://hawksey.info/tagsexplorer/arc.html?key=1juyIQsnL_T8tqzfzAVVjPctB4eqiafTghnL_xhvkrjk&amp;gid=400689247&amp;screenname=LeightonLewis4" TargetMode="External"/><Relationship Id="rId693" Type="http://schemas.openxmlformats.org/officeDocument/2006/relationships/hyperlink" Target="http://hawksey.info/tagsexplorer/arc.html?key=1juyIQsnL_T8tqzfzAVVjPctB4eqiafTghnL_xhvkrjk&amp;gid=400689247&amp;screenname=LeahWas" TargetMode="External"/><Relationship Id="rId692" Type="http://schemas.openxmlformats.org/officeDocument/2006/relationships/hyperlink" Target="http://hawksey.info/tagsexplorer/arc.html?key=1juyIQsnL_T8tqzfzAVVjPctB4eqiafTghnL_xhvkrjk&amp;gid=400689247&amp;screenname=Lawlor224" TargetMode="External"/><Relationship Id="rId691" Type="http://schemas.openxmlformats.org/officeDocument/2006/relationships/hyperlink" Target="http://hawksey.info/tagsexplorer/arc.html?key=1juyIQsnL_T8tqzfzAVVjPctB4eqiafTghnL_xhvkrjk&amp;gid=400689247&amp;screenname=Laurence_in_EU" TargetMode="External"/><Relationship Id="rId690" Type="http://schemas.openxmlformats.org/officeDocument/2006/relationships/hyperlink" Target="http://hawksey.info/tagsexplorer/arc.html?key=1juyIQsnL_T8tqzfzAVVjPctB4eqiafTghnL_xhvkrjk&amp;gid=400689247&amp;screenname=LauraPh27961838" TargetMode="External"/><Relationship Id="rId697" Type="http://schemas.openxmlformats.org/officeDocument/2006/relationships/hyperlink" Target="http://hawksey.info/tagsexplorer/arc.html?key=1juyIQsnL_T8tqzfzAVVjPctB4eqiafTghnL_xhvkrjk&amp;gid=400689247&amp;screenname=LegionAOD" TargetMode="External"/><Relationship Id="rId696" Type="http://schemas.openxmlformats.org/officeDocument/2006/relationships/hyperlink" Target="http://hawksey.info/tagsexplorer/arc.html?key=1juyIQsnL_T8tqzfzAVVjPctB4eqiafTghnL_xhvkrjk&amp;gid=400689247&amp;screenname=LeeGregoryPeck" TargetMode="External"/><Relationship Id="rId695" Type="http://schemas.openxmlformats.org/officeDocument/2006/relationships/hyperlink" Target="http://hawksey.info/tagsexplorer/arc.html?key=1juyIQsnL_T8tqzfzAVVjPctB4eqiafTghnL_xhvkrjk&amp;gid=400689247&amp;screenname=LedByWibbles" TargetMode="External"/><Relationship Id="rId694" Type="http://schemas.openxmlformats.org/officeDocument/2006/relationships/hyperlink" Target="http://hawksey.info/tagsexplorer/arc.html?key=1juyIQsnL_T8tqzfzAVVjPctB4eqiafTghnL_xhvkrjk&amp;gid=400689247&amp;screenname=LeckyRichard" TargetMode="External"/><Relationship Id="rId1499" Type="http://schemas.openxmlformats.org/officeDocument/2006/relationships/hyperlink" Target="http://hawksey.info/tagsexplorer/arc.html?key=1juyIQsnL_T8tqzfzAVVjPctB4eqiafTghnL_xhvkrjk&amp;gid=400689247&amp;screenname=dracuk" TargetMode="External"/><Relationship Id="rId668" Type="http://schemas.openxmlformats.org/officeDocument/2006/relationships/hyperlink" Target="http://hawksey.info/tagsexplorer/arc.html?key=1juyIQsnL_T8tqzfzAVVjPctB4eqiafTghnL_xhvkrjk&amp;gid=400689247&amp;screenname=KenSterrett" TargetMode="External"/><Relationship Id="rId667" Type="http://schemas.openxmlformats.org/officeDocument/2006/relationships/hyperlink" Target="http://hawksey.info/tagsexplorer/arc.html?key=1juyIQsnL_T8tqzfzAVVjPctB4eqiafTghnL_xhvkrjk&amp;gid=400689247&amp;screenname=KenKenph59" TargetMode="External"/><Relationship Id="rId666" Type="http://schemas.openxmlformats.org/officeDocument/2006/relationships/hyperlink" Target="http://hawksey.info/tagsexplorer/arc.html?key=1juyIQsnL_T8tqzfzAVVjPctB4eqiafTghnL_xhvkrjk&amp;gid=400689247&amp;screenname=KenAnderson01" TargetMode="External"/><Relationship Id="rId665" Type="http://schemas.openxmlformats.org/officeDocument/2006/relationships/hyperlink" Target="http://hawksey.info/tagsexplorer/arc.html?key=1juyIQsnL_T8tqzfzAVVjPctB4eqiafTghnL_xhvkrjk&amp;gid=400689247&amp;screenname=KelsallDaniel" TargetMode="External"/><Relationship Id="rId669" Type="http://schemas.openxmlformats.org/officeDocument/2006/relationships/hyperlink" Target="http://hawksey.info/tagsexplorer/arc.html?key=1juyIQsnL_T8tqzfzAVVjPctB4eqiafTghnL_xhvkrjk&amp;gid=400689247&amp;screenname=KennyBhoyKerr" TargetMode="External"/><Relationship Id="rId1490" Type="http://schemas.openxmlformats.org/officeDocument/2006/relationships/hyperlink" Target="http://hawksey.info/tagsexplorer/arc.html?key=1juyIQsnL_T8tqzfzAVVjPctB4eqiafTghnL_xhvkrjk&amp;gid=400689247&amp;screenname=dohay22" TargetMode="External"/><Relationship Id="rId660" Type="http://schemas.openxmlformats.org/officeDocument/2006/relationships/hyperlink" Target="http://hawksey.info/tagsexplorer/arc.html?key=1juyIQsnL_T8tqzfzAVVjPctB4eqiafTghnL_xhvkrjk&amp;gid=400689247&amp;screenname=Keiradior2M" TargetMode="External"/><Relationship Id="rId1491" Type="http://schemas.openxmlformats.org/officeDocument/2006/relationships/hyperlink" Target="http://hawksey.info/tagsexplorer/arc.html?key=1juyIQsnL_T8tqzfzAVVjPctB4eqiafTghnL_xhvkrjk&amp;gid=400689247&amp;screenname=dollymix2015" TargetMode="External"/><Relationship Id="rId1492" Type="http://schemas.openxmlformats.org/officeDocument/2006/relationships/hyperlink" Target="http://hawksey.info/tagsexplorer/arc.html?key=1juyIQsnL_T8tqzfzAVVjPctB4eqiafTghnL_xhvkrjk&amp;gid=400689247&amp;screenname=dombens" TargetMode="External"/><Relationship Id="rId1493" Type="http://schemas.openxmlformats.org/officeDocument/2006/relationships/hyperlink" Target="http://hawksey.info/tagsexplorer/arc.html?key=1juyIQsnL_T8tqzfzAVVjPctB4eqiafTghnL_xhvkrjk&amp;gid=400689247&amp;screenname=donaldstavert" TargetMode="External"/><Relationship Id="rId1494" Type="http://schemas.openxmlformats.org/officeDocument/2006/relationships/hyperlink" Target="http://hawksey.info/tagsexplorer/arc.html?key=1juyIQsnL_T8tqzfzAVVjPctB4eqiafTghnL_xhvkrjk&amp;gid=400689247&amp;screenname=dontbrexitfixit" TargetMode="External"/><Relationship Id="rId664" Type="http://schemas.openxmlformats.org/officeDocument/2006/relationships/hyperlink" Target="http://hawksey.info/tagsexplorer/arc.html?key=1juyIQsnL_T8tqzfzAVVjPctB4eqiafTghnL_xhvkrjk&amp;gid=400689247&amp;screenname=KellerZoe" TargetMode="External"/><Relationship Id="rId1495" Type="http://schemas.openxmlformats.org/officeDocument/2006/relationships/hyperlink" Target="http://hawksey.info/tagsexplorer/arc.html?key=1juyIQsnL_T8tqzfzAVVjPctB4eqiafTghnL_xhvkrjk&amp;gid=400689247&amp;screenname=dot50dowling" TargetMode="External"/><Relationship Id="rId663" Type="http://schemas.openxmlformats.org/officeDocument/2006/relationships/hyperlink" Target="http://hawksey.info/tagsexplorer/arc.html?key=1juyIQsnL_T8tqzfzAVVjPctB4eqiafTghnL_xhvkrjk&amp;gid=400689247&amp;screenname=Kel70824886" TargetMode="External"/><Relationship Id="rId1496" Type="http://schemas.openxmlformats.org/officeDocument/2006/relationships/hyperlink" Target="http://hawksey.info/tagsexplorer/arc.html?key=1juyIQsnL_T8tqzfzAVVjPctB4eqiafTghnL_xhvkrjk&amp;gid=400689247&amp;screenname=doubledodge" TargetMode="External"/><Relationship Id="rId662" Type="http://schemas.openxmlformats.org/officeDocument/2006/relationships/hyperlink" Target="http://hawksey.info/tagsexplorer/arc.html?key=1juyIQsnL_T8tqzfzAVVjPctB4eqiafTghnL_xhvkrjk&amp;gid=400689247&amp;screenname=KeithJDenny1" TargetMode="External"/><Relationship Id="rId1497" Type="http://schemas.openxmlformats.org/officeDocument/2006/relationships/hyperlink" Target="http://hawksey.info/tagsexplorer/arc.html?key=1juyIQsnL_T8tqzfzAVVjPctB4eqiafTghnL_xhvkrjk&amp;gid=400689247&amp;screenname=dp90546285" TargetMode="External"/><Relationship Id="rId661" Type="http://schemas.openxmlformats.org/officeDocument/2006/relationships/hyperlink" Target="http://hawksey.info/tagsexplorer/arc.html?key=1juyIQsnL_T8tqzfzAVVjPctB4eqiafTghnL_xhvkrjk&amp;gid=400689247&amp;screenname=Keith99352796" TargetMode="External"/><Relationship Id="rId1498" Type="http://schemas.openxmlformats.org/officeDocument/2006/relationships/hyperlink" Target="http://hawksey.info/tagsexplorer/arc.html?key=1juyIQsnL_T8tqzfzAVVjPctB4eqiafTghnL_xhvkrjk&amp;gid=400689247&amp;screenname=dr__amanda_" TargetMode="External"/><Relationship Id="rId1488" Type="http://schemas.openxmlformats.org/officeDocument/2006/relationships/hyperlink" Target="http://hawksey.info/tagsexplorer/arc.html?key=1juyIQsnL_T8tqzfzAVVjPctB4eqiafTghnL_xhvkrjk&amp;gid=400689247&amp;screenname=disnenchanted" TargetMode="External"/><Relationship Id="rId1489" Type="http://schemas.openxmlformats.org/officeDocument/2006/relationships/hyperlink" Target="http://hawksey.info/tagsexplorer/arc.html?key=1juyIQsnL_T8tqzfzAVVjPctB4eqiafTghnL_xhvkrjk&amp;gid=400689247&amp;screenname=djangowinedog" TargetMode="External"/><Relationship Id="rId657" Type="http://schemas.openxmlformats.org/officeDocument/2006/relationships/hyperlink" Target="http://hawksey.info/tagsexplorer/arc.html?key=1juyIQsnL_T8tqzfzAVVjPctB4eqiafTghnL_xhvkrjk&amp;gid=400689247&amp;screenname=KayHargreaves7" TargetMode="External"/><Relationship Id="rId656" Type="http://schemas.openxmlformats.org/officeDocument/2006/relationships/hyperlink" Target="http://hawksey.info/tagsexplorer/arc.html?key=1juyIQsnL_T8tqzfzAVVjPctB4eqiafTghnL_xhvkrjk&amp;gid=400689247&amp;screenname=KatyPaty17" TargetMode="External"/><Relationship Id="rId655" Type="http://schemas.openxmlformats.org/officeDocument/2006/relationships/hyperlink" Target="http://hawksey.info/tagsexplorer/arc.html?key=1juyIQsnL_T8tqzfzAVVjPctB4eqiafTghnL_xhvkrjk&amp;gid=400689247&amp;screenname=Katheri48033429" TargetMode="External"/><Relationship Id="rId654" Type="http://schemas.openxmlformats.org/officeDocument/2006/relationships/hyperlink" Target="http://hawksey.info/tagsexplorer/arc.html?key=1juyIQsnL_T8tqzfzAVVjPctB4eqiafTghnL_xhvkrjk&amp;gid=400689247&amp;screenname=KarlLasis" TargetMode="External"/><Relationship Id="rId659" Type="http://schemas.openxmlformats.org/officeDocument/2006/relationships/hyperlink" Target="http://hawksey.info/tagsexplorer/arc.html?key=1juyIQsnL_T8tqzfzAVVjPctB4eqiafTghnL_xhvkrjk&amp;gid=400689247&amp;screenname=KbfKate" TargetMode="External"/><Relationship Id="rId658" Type="http://schemas.openxmlformats.org/officeDocument/2006/relationships/hyperlink" Target="http://hawksey.info/tagsexplorer/arc.html?key=1juyIQsnL_T8tqzfzAVVjPctB4eqiafTghnL_xhvkrjk&amp;gid=400689247&amp;screenname=KayLouiseKelly" TargetMode="External"/><Relationship Id="rId1480" Type="http://schemas.openxmlformats.org/officeDocument/2006/relationships/hyperlink" Target="http://hawksey.info/tagsexplorer/arc.html?key=1juyIQsnL_T8tqzfzAVVjPctB4eqiafTghnL_xhvkrjk&amp;gid=400689247&amp;screenname=dewderino" TargetMode="External"/><Relationship Id="rId1481" Type="http://schemas.openxmlformats.org/officeDocument/2006/relationships/hyperlink" Target="http://hawksey.info/tagsexplorer/arc.html?key=1juyIQsnL_T8tqzfzAVVjPctB4eqiafTghnL_xhvkrjk&amp;gid=400689247&amp;screenname=dexter_mavhura" TargetMode="External"/><Relationship Id="rId1482" Type="http://schemas.openxmlformats.org/officeDocument/2006/relationships/hyperlink" Target="http://hawksey.info/tagsexplorer/arc.html?key=1juyIQsnL_T8tqzfzAVVjPctB4eqiafTghnL_xhvkrjk&amp;gid=400689247&amp;screenname=dgmicro" TargetMode="External"/><Relationship Id="rId1483" Type="http://schemas.openxmlformats.org/officeDocument/2006/relationships/hyperlink" Target="http://hawksey.info/tagsexplorer/arc.html?key=1juyIQsnL_T8tqzfzAVVjPctB4eqiafTghnL_xhvkrjk&amp;gid=400689247&amp;screenname=dholland422" TargetMode="External"/><Relationship Id="rId653" Type="http://schemas.openxmlformats.org/officeDocument/2006/relationships/hyperlink" Target="http://hawksey.info/tagsexplorer/arc.html?key=1juyIQsnL_T8tqzfzAVVjPctB4eqiafTghnL_xhvkrjk&amp;gid=400689247&amp;screenname=KarenStopHate" TargetMode="External"/><Relationship Id="rId1484" Type="http://schemas.openxmlformats.org/officeDocument/2006/relationships/hyperlink" Target="http://hawksey.info/tagsexplorer/arc.html?key=1juyIQsnL_T8tqzfzAVVjPctB4eqiafTghnL_xhvkrjk&amp;gid=400689247&amp;screenname=dickayl" TargetMode="External"/><Relationship Id="rId652" Type="http://schemas.openxmlformats.org/officeDocument/2006/relationships/hyperlink" Target="http://hawksey.info/tagsexplorer/arc.html?key=1juyIQsnL_T8tqzfzAVVjPctB4eqiafTghnL_xhvkrjk&amp;gid=400689247&amp;screenname=KarenJu62258050" TargetMode="External"/><Relationship Id="rId1485" Type="http://schemas.openxmlformats.org/officeDocument/2006/relationships/hyperlink" Target="http://hawksey.info/tagsexplorer/arc.html?key=1juyIQsnL_T8tqzfzAVVjPctB4eqiafTghnL_xhvkrjk&amp;gid=400689247&amp;screenname=diplomacyxx" TargetMode="External"/><Relationship Id="rId651" Type="http://schemas.openxmlformats.org/officeDocument/2006/relationships/hyperlink" Target="http://hawksey.info/tagsexplorer/arc.html?key=1juyIQsnL_T8tqzfzAVVjPctB4eqiafTghnL_xhvkrjk&amp;gid=400689247&amp;screenname=KapilaRK" TargetMode="External"/><Relationship Id="rId1486" Type="http://schemas.openxmlformats.org/officeDocument/2006/relationships/hyperlink" Target="http://hawksey.info/tagsexplorer/arc.html?key=1juyIQsnL_T8tqzfzAVVjPctB4eqiafTghnL_xhvkrjk&amp;gid=400689247&amp;screenname=dirtybone" TargetMode="External"/><Relationship Id="rId650" Type="http://schemas.openxmlformats.org/officeDocument/2006/relationships/hyperlink" Target="http://hawksey.info/tagsexplorer/arc.html?key=1juyIQsnL_T8tqzfzAVVjPctB4eqiafTghnL_xhvkrjk&amp;gid=400689247&amp;screenname=Kander181" TargetMode="External"/><Relationship Id="rId1487" Type="http://schemas.openxmlformats.org/officeDocument/2006/relationships/hyperlink" Target="http://hawksey.info/tagsexplorer/arc.html?key=1juyIQsnL_T8tqzfzAVVjPctB4eqiafTghnL_xhvkrjk&amp;gid=400689247&amp;screenname=disasterhistory" TargetMode="External"/><Relationship Id="rId689" Type="http://schemas.openxmlformats.org/officeDocument/2006/relationships/hyperlink" Target="http://hawksey.info/tagsexplorer/arc.html?key=1juyIQsnL_T8tqzfzAVVjPctB4eqiafTghnL_xhvkrjk&amp;gid=400689247&amp;screenname=LarryCuffe" TargetMode="External"/><Relationship Id="rId688" Type="http://schemas.openxmlformats.org/officeDocument/2006/relationships/hyperlink" Target="http://hawksey.info/tagsexplorer/arc.html?key=1juyIQsnL_T8tqzfzAVVjPctB4eqiafTghnL_xhvkrjk&amp;gid=400689247&amp;screenname=LansleyA" TargetMode="External"/><Relationship Id="rId687" Type="http://schemas.openxmlformats.org/officeDocument/2006/relationships/hyperlink" Target="http://hawksey.info/tagsexplorer/arc.html?key=1juyIQsnL_T8tqzfzAVVjPctB4eqiafTghnL_xhvkrjk&amp;gid=400689247&amp;screenname=Langers1981" TargetMode="External"/><Relationship Id="rId682" Type="http://schemas.openxmlformats.org/officeDocument/2006/relationships/hyperlink" Target="http://hawksey.info/tagsexplorer/arc.html?key=1juyIQsnL_T8tqzfzAVVjPctB4eqiafTghnL_xhvkrjk&amp;gid=400689247&amp;screenname=L_Western" TargetMode="External"/><Relationship Id="rId681" Type="http://schemas.openxmlformats.org/officeDocument/2006/relationships/hyperlink" Target="http://hawksey.info/tagsexplorer/arc.html?key=1juyIQsnL_T8tqzfzAVVjPctB4eqiafTghnL_xhvkrjk&amp;gid=400689247&amp;screenname=KowMark" TargetMode="External"/><Relationship Id="rId680" Type="http://schemas.openxmlformats.org/officeDocument/2006/relationships/hyperlink" Target="http://hawksey.info/tagsexplorer/arc.html?key=1juyIQsnL_T8tqzfzAVVjPctB4eqiafTghnL_xhvkrjk&amp;gid=400689247&amp;screenname=KommissarV" TargetMode="External"/><Relationship Id="rId686" Type="http://schemas.openxmlformats.org/officeDocument/2006/relationships/hyperlink" Target="http://hawksey.info/tagsexplorer/arc.html?key=1juyIQsnL_T8tqzfzAVVjPctB4eqiafTghnL_xhvkrjk&amp;gid=400689247&amp;screenname=LakeHonor" TargetMode="External"/><Relationship Id="rId685" Type="http://schemas.openxmlformats.org/officeDocument/2006/relationships/hyperlink" Target="http://hawksey.info/tagsexplorer/arc.html?key=1juyIQsnL_T8tqzfzAVVjPctB4eqiafTghnL_xhvkrjk&amp;gid=400689247&amp;screenname=LadyJules_Cath" TargetMode="External"/><Relationship Id="rId684" Type="http://schemas.openxmlformats.org/officeDocument/2006/relationships/hyperlink" Target="http://hawksey.info/tagsexplorer/arc.html?key=1juyIQsnL_T8tqzfzAVVjPctB4eqiafTghnL_xhvkrjk&amp;gid=400689247&amp;screenname=LadBrixton" TargetMode="External"/><Relationship Id="rId683" Type="http://schemas.openxmlformats.org/officeDocument/2006/relationships/hyperlink" Target="http://hawksey.info/tagsexplorer/arc.html?key=1juyIQsnL_T8tqzfzAVVjPctB4eqiafTghnL_xhvkrjk&amp;gid=400689247&amp;screenname=LaCheshireChat" TargetMode="External"/><Relationship Id="rId679" Type="http://schemas.openxmlformats.org/officeDocument/2006/relationships/hyperlink" Target="http://hawksey.info/tagsexplorer/arc.html?key=1juyIQsnL_T8tqzfzAVVjPctB4eqiafTghnL_xhvkrjk&amp;gid=400689247&amp;screenname=KneePeter" TargetMode="External"/><Relationship Id="rId678" Type="http://schemas.openxmlformats.org/officeDocument/2006/relationships/hyperlink" Target="http://hawksey.info/tagsexplorer/arc.html?key=1juyIQsnL_T8tqzfzAVVjPctB4eqiafTghnL_xhvkrjk&amp;gid=400689247&amp;screenname=KlausBlatter" TargetMode="External"/><Relationship Id="rId677" Type="http://schemas.openxmlformats.org/officeDocument/2006/relationships/hyperlink" Target="http://hawksey.info/tagsexplorer/arc.html?key=1juyIQsnL_T8tqzfzAVVjPctB4eqiafTghnL_xhvkrjk&amp;gid=400689247&amp;screenname=Kirikou_for_PM" TargetMode="External"/><Relationship Id="rId676" Type="http://schemas.openxmlformats.org/officeDocument/2006/relationships/hyperlink" Target="http://hawksey.info/tagsexplorer/arc.html?key=1juyIQsnL_T8tqzfzAVVjPctB4eqiafTghnL_xhvkrjk&amp;gid=400689247&amp;screenname=Kindle_User" TargetMode="External"/><Relationship Id="rId671" Type="http://schemas.openxmlformats.org/officeDocument/2006/relationships/hyperlink" Target="http://hawksey.info/tagsexplorer/arc.html?key=1juyIQsnL_T8tqzfzAVVjPctB4eqiafTghnL_xhvkrjk&amp;gid=400689247&amp;screenname=KerryThomas20" TargetMode="External"/><Relationship Id="rId670" Type="http://schemas.openxmlformats.org/officeDocument/2006/relationships/hyperlink" Target="http://hawksey.info/tagsexplorer/arc.html?key=1juyIQsnL_T8tqzfzAVVjPctB4eqiafTghnL_xhvkrjk&amp;gid=400689247&amp;screenname=Ker1244" TargetMode="External"/><Relationship Id="rId675" Type="http://schemas.openxmlformats.org/officeDocument/2006/relationships/hyperlink" Target="http://hawksey.info/tagsexplorer/arc.html?key=1juyIQsnL_T8tqzfzAVVjPctB4eqiafTghnL_xhvkrjk&amp;gid=400689247&amp;screenname=KevinLondonUK" TargetMode="External"/><Relationship Id="rId674" Type="http://schemas.openxmlformats.org/officeDocument/2006/relationships/hyperlink" Target="http://hawksey.info/tagsexplorer/arc.html?key=1juyIQsnL_T8tqzfzAVVjPctB4eqiafTghnL_xhvkrjk&amp;gid=400689247&amp;screenname=KevinAtp" TargetMode="External"/><Relationship Id="rId673" Type="http://schemas.openxmlformats.org/officeDocument/2006/relationships/hyperlink" Target="http://hawksey.info/tagsexplorer/arc.html?key=1juyIQsnL_T8tqzfzAVVjPctB4eqiafTghnL_xhvkrjk&amp;gid=400689247&amp;screenname=KevinAn48751902" TargetMode="External"/><Relationship Id="rId672" Type="http://schemas.openxmlformats.org/officeDocument/2006/relationships/hyperlink" Target="http://hawksey.info/tagsexplorer/arc.html?key=1juyIQsnL_T8tqzfzAVVjPctB4eqiafTghnL_xhvkrjk&amp;gid=400689247&amp;screenname=KevPask" TargetMode="External"/><Relationship Id="rId190" Type="http://schemas.openxmlformats.org/officeDocument/2006/relationships/hyperlink" Target="http://hawksey.info/tagsexplorer/arc.html?key=1juyIQsnL_T8tqzfzAVVjPctB4eqiafTghnL_xhvkrjk&amp;gid=400689247&amp;screenname=BrianGoredemaBr" TargetMode="External"/><Relationship Id="rId194" Type="http://schemas.openxmlformats.org/officeDocument/2006/relationships/hyperlink" Target="http://hawksey.info/tagsexplorer/arc.html?key=1juyIQsnL_T8tqzfzAVVjPctB4eqiafTghnL_xhvkrjk&amp;gid=400689247&amp;screenname=BritsAgainst" TargetMode="External"/><Relationship Id="rId193" Type="http://schemas.openxmlformats.org/officeDocument/2006/relationships/hyperlink" Target="http://hawksey.info/tagsexplorer/arc.html?key=1juyIQsnL_T8tqzfzAVVjPctB4eqiafTghnL_xhvkrjk&amp;gid=400689247&amp;screenname=BrightonBoothy" TargetMode="External"/><Relationship Id="rId192" Type="http://schemas.openxmlformats.org/officeDocument/2006/relationships/hyperlink" Target="http://hawksey.info/tagsexplorer/arc.html?key=1juyIQsnL_T8tqzfzAVVjPctB4eqiafTghnL_xhvkrjk&amp;gid=400689247&amp;screenname=Briannicus" TargetMode="External"/><Relationship Id="rId191" Type="http://schemas.openxmlformats.org/officeDocument/2006/relationships/hyperlink" Target="http://hawksey.info/tagsexplorer/arc.html?key=1juyIQsnL_T8tqzfzAVVjPctB4eqiafTghnL_xhvkrjk&amp;gid=400689247&amp;screenname=BrianMailey1" TargetMode="External"/><Relationship Id="rId187" Type="http://schemas.openxmlformats.org/officeDocument/2006/relationships/hyperlink" Target="http://hawksey.info/tagsexplorer/arc.html?key=1juyIQsnL_T8tqzfzAVVjPctB4eqiafTghnL_xhvkrjk&amp;gid=400689247&amp;screenname=BrexitPirates" TargetMode="External"/><Relationship Id="rId186" Type="http://schemas.openxmlformats.org/officeDocument/2006/relationships/hyperlink" Target="http://hawksey.info/tagsexplorer/arc.html?key=1juyIQsnL_T8tqzfzAVVjPctB4eqiafTghnL_xhvkrjk&amp;gid=400689247&amp;screenname=BrexitPhobe" TargetMode="External"/><Relationship Id="rId185" Type="http://schemas.openxmlformats.org/officeDocument/2006/relationships/hyperlink" Target="http://hawksey.info/tagsexplorer/arc.html?key=1juyIQsnL_T8tqzfzAVVjPctB4eqiafTghnL_xhvkrjk&amp;gid=400689247&amp;screenname=BrexitLalaland" TargetMode="External"/><Relationship Id="rId184" Type="http://schemas.openxmlformats.org/officeDocument/2006/relationships/hyperlink" Target="http://hawksey.info/tagsexplorer/arc.html?key=1juyIQsnL_T8tqzfzAVVjPctB4eqiafTghnL_xhvkrjk&amp;gid=400689247&amp;screenname=BrexitFails" TargetMode="External"/><Relationship Id="rId189" Type="http://schemas.openxmlformats.org/officeDocument/2006/relationships/hyperlink" Target="http://hawksey.info/tagsexplorer/arc.html?key=1juyIQsnL_T8tqzfzAVVjPctB4eqiafTghnL_xhvkrjk&amp;gid=400689247&amp;screenname=BrianB2BDW" TargetMode="External"/><Relationship Id="rId188" Type="http://schemas.openxmlformats.org/officeDocument/2006/relationships/hyperlink" Target="http://hawksey.info/tagsexplorer/arc.html?key=1juyIQsnL_T8tqzfzAVVjPctB4eqiafTghnL_xhvkrjk&amp;gid=400689247&amp;screenname=Brexit_Mistake" TargetMode="External"/><Relationship Id="rId183" Type="http://schemas.openxmlformats.org/officeDocument/2006/relationships/hyperlink" Target="http://hawksey.info/tagsexplorer/arc.html?key=1juyIQsnL_T8tqzfzAVVjPctB4eqiafTghnL_xhvkrjk&amp;gid=400689247&amp;screenname=BrettPmbrett" TargetMode="External"/><Relationship Id="rId182" Type="http://schemas.openxmlformats.org/officeDocument/2006/relationships/hyperlink" Target="http://hawksey.info/tagsexplorer/arc.html?key=1juyIQsnL_T8tqzfzAVVjPctB4eqiafTghnL_xhvkrjk&amp;gid=400689247&amp;screenname=Brendan76922313" TargetMode="External"/><Relationship Id="rId181" Type="http://schemas.openxmlformats.org/officeDocument/2006/relationships/hyperlink" Target="http://hawksey.info/tagsexplorer/arc.html?key=1juyIQsnL_T8tqzfzAVVjPctB4eqiafTghnL_xhvkrjk&amp;gid=400689247&amp;screenname=BrassGun2" TargetMode="External"/><Relationship Id="rId180" Type="http://schemas.openxmlformats.org/officeDocument/2006/relationships/hyperlink" Target="http://hawksey.info/tagsexplorer/arc.html?key=1juyIQsnL_T8tqzfzAVVjPctB4eqiafTghnL_xhvkrjk&amp;gid=400689247&amp;screenname=Brasfort49" TargetMode="External"/><Relationship Id="rId176" Type="http://schemas.openxmlformats.org/officeDocument/2006/relationships/hyperlink" Target="http://hawksey.info/tagsexplorer/arc.html?key=1juyIQsnL_T8tqzfzAVVjPctB4eqiafTghnL_xhvkrjk&amp;gid=400689247&amp;screenname=BoycottNTU" TargetMode="External"/><Relationship Id="rId175" Type="http://schemas.openxmlformats.org/officeDocument/2006/relationships/hyperlink" Target="http://hawksey.info/tagsexplorer/arc.html?key=1juyIQsnL_T8tqzfzAVVjPctB4eqiafTghnL_xhvkrjk&amp;gid=400689247&amp;screenname=BovineWisdom" TargetMode="External"/><Relationship Id="rId174" Type="http://schemas.openxmlformats.org/officeDocument/2006/relationships/hyperlink" Target="http://hawksey.info/tagsexplorer/arc.html?key=1juyIQsnL_T8tqzfzAVVjPctB4eqiafTghnL_xhvkrjk&amp;gid=400689247&amp;screenname=Bournemouth4EU" TargetMode="External"/><Relationship Id="rId173" Type="http://schemas.openxmlformats.org/officeDocument/2006/relationships/hyperlink" Target="http://hawksey.info/tagsexplorer/arc.html?key=1juyIQsnL_T8tqzfzAVVjPctB4eqiafTghnL_xhvkrjk&amp;gid=400689247&amp;screenname=BouldingPeter" TargetMode="External"/><Relationship Id="rId179" Type="http://schemas.openxmlformats.org/officeDocument/2006/relationships/hyperlink" Target="http://hawksey.info/tagsexplorer/arc.html?key=1juyIQsnL_T8tqzfzAVVjPctB4eqiafTghnL_xhvkrjk&amp;gid=400689247&amp;screenname=BramProvost" TargetMode="External"/><Relationship Id="rId178" Type="http://schemas.openxmlformats.org/officeDocument/2006/relationships/hyperlink" Target="http://hawksey.info/tagsexplorer/arc.html?key=1juyIQsnL_T8tqzfzAVVjPctB4eqiafTghnL_xhvkrjk&amp;gid=400689247&amp;screenname=BrainColne" TargetMode="External"/><Relationship Id="rId177" Type="http://schemas.openxmlformats.org/officeDocument/2006/relationships/hyperlink" Target="http://hawksey.info/tagsexplorer/arc.html?key=1juyIQsnL_T8tqzfzAVVjPctB4eqiafTghnL_xhvkrjk&amp;gid=400689247&amp;screenname=BradipoWayway" TargetMode="External"/><Relationship Id="rId198" Type="http://schemas.openxmlformats.org/officeDocument/2006/relationships/hyperlink" Target="http://hawksey.info/tagsexplorer/arc.html?key=1juyIQsnL_T8tqzfzAVVjPctB4eqiafTghnL_xhvkrjk&amp;gid=400689247&amp;screenname=BrummieMan1" TargetMode="External"/><Relationship Id="rId197" Type="http://schemas.openxmlformats.org/officeDocument/2006/relationships/hyperlink" Target="http://hawksey.info/tagsexplorer/arc.html?key=1juyIQsnL_T8tqzfzAVVjPctB4eqiafTghnL_xhvkrjk&amp;gid=400689247&amp;screenname=BrummieGran" TargetMode="External"/><Relationship Id="rId196" Type="http://schemas.openxmlformats.org/officeDocument/2006/relationships/hyperlink" Target="http://hawksey.info/tagsexplorer/arc.html?key=1juyIQsnL_T8tqzfzAVVjPctB4eqiafTghnL_xhvkrjk&amp;gid=400689247&amp;screenname=BruceHenderson2" TargetMode="External"/><Relationship Id="rId195" Type="http://schemas.openxmlformats.org/officeDocument/2006/relationships/hyperlink" Target="http://hawksey.info/tagsexplorer/arc.html?key=1juyIQsnL_T8tqzfzAVVjPctB4eqiafTghnL_xhvkrjk&amp;gid=400689247&amp;screenname=Brown666W" TargetMode="External"/><Relationship Id="rId199" Type="http://schemas.openxmlformats.org/officeDocument/2006/relationships/hyperlink" Target="http://hawksey.info/tagsexplorer/arc.html?key=1juyIQsnL_T8tqzfzAVVjPctB4eqiafTghnL_xhvkrjk&amp;gid=400689247&amp;screenname=Bryan_K1" TargetMode="External"/><Relationship Id="rId150" Type="http://schemas.openxmlformats.org/officeDocument/2006/relationships/hyperlink" Target="http://hawksey.info/tagsexplorer/arc.html?key=1juyIQsnL_T8tqzfzAVVjPctB4eqiafTghnL_xhvkrjk&amp;gid=400689247&amp;screenname=BhavnaSaint" TargetMode="External"/><Relationship Id="rId149" Type="http://schemas.openxmlformats.org/officeDocument/2006/relationships/hyperlink" Target="http://hawksey.info/tagsexplorer/arc.html?key=1juyIQsnL_T8tqzfzAVVjPctB4eqiafTghnL_xhvkrjk&amp;gid=400689247&amp;screenname=BhavinOh" TargetMode="External"/><Relationship Id="rId148" Type="http://schemas.openxmlformats.org/officeDocument/2006/relationships/hyperlink" Target="http://hawksey.info/tagsexplorer/arc.html?key=1juyIQsnL_T8tqzfzAVVjPctB4eqiafTghnL_xhvkrjk&amp;gid=400689247&amp;screenname=Bewlboy" TargetMode="External"/><Relationship Id="rId143" Type="http://schemas.openxmlformats.org/officeDocument/2006/relationships/hyperlink" Target="http://hawksey.info/tagsexplorer/arc.html?key=1juyIQsnL_T8tqzfzAVVjPctB4eqiafTghnL_xhvkrjk&amp;gid=400689247&amp;screenname=BernardMcEldown" TargetMode="External"/><Relationship Id="rId142" Type="http://schemas.openxmlformats.org/officeDocument/2006/relationships/hyperlink" Target="http://hawksey.info/tagsexplorer/arc.html?key=1juyIQsnL_T8tqzfzAVVjPctB4eqiafTghnL_xhvkrjk&amp;gid=400689247&amp;screenname=Benjamin_Budd" TargetMode="External"/><Relationship Id="rId141" Type="http://schemas.openxmlformats.org/officeDocument/2006/relationships/hyperlink" Target="http://hawksey.info/tagsexplorer/arc.html?key=1juyIQsnL_T8tqzfzAVVjPctB4eqiafTghnL_xhvkrjk&amp;gid=400689247&amp;screenname=Ben63" TargetMode="External"/><Relationship Id="rId140" Type="http://schemas.openxmlformats.org/officeDocument/2006/relationships/hyperlink" Target="http://hawksey.info/tagsexplorer/arc.html?key=1juyIQsnL_T8tqzfzAVVjPctB4eqiafTghnL_xhvkrjk&amp;gid=400689247&amp;screenname=BellaBeeBeeMe" TargetMode="External"/><Relationship Id="rId147" Type="http://schemas.openxmlformats.org/officeDocument/2006/relationships/hyperlink" Target="http://hawksey.info/tagsexplorer/arc.html?key=1juyIQsnL_T8tqzfzAVVjPctB4eqiafTghnL_xhvkrjk&amp;gid=400689247&amp;screenname=BettonVal" TargetMode="External"/><Relationship Id="rId146" Type="http://schemas.openxmlformats.org/officeDocument/2006/relationships/hyperlink" Target="http://hawksey.info/tagsexplorer/arc.html?key=1juyIQsnL_T8tqzfzAVVjPctB4eqiafTghnL_xhvkrjk&amp;gid=400689247&amp;screenname=BestForBritain" TargetMode="External"/><Relationship Id="rId145" Type="http://schemas.openxmlformats.org/officeDocument/2006/relationships/hyperlink" Target="http://hawksey.info/tagsexplorer/arc.html?key=1juyIQsnL_T8tqzfzAVVjPctB4eqiafTghnL_xhvkrjk&amp;gid=400689247&amp;screenname=BerylHylton" TargetMode="External"/><Relationship Id="rId144" Type="http://schemas.openxmlformats.org/officeDocument/2006/relationships/hyperlink" Target="http://hawksey.info/tagsexplorer/arc.html?key=1juyIQsnL_T8tqzfzAVVjPctB4eqiafTghnL_xhvkrjk&amp;gid=400689247&amp;screenname=BernardWalsh1" TargetMode="External"/><Relationship Id="rId139" Type="http://schemas.openxmlformats.org/officeDocument/2006/relationships/hyperlink" Target="http://hawksey.info/tagsexplorer/arc.html?key=1juyIQsnL_T8tqzfzAVVjPctB4eqiafTghnL_xhvkrjk&amp;gid=400689247&amp;screenname=BelgiumDip" TargetMode="External"/><Relationship Id="rId138" Type="http://schemas.openxmlformats.org/officeDocument/2006/relationships/hyperlink" Target="http://hawksey.info/tagsexplorer/arc.html?key=1juyIQsnL_T8tqzfzAVVjPctB4eqiafTghnL_xhvkrjk&amp;gid=400689247&amp;screenname=BelfastUnionist" TargetMode="External"/><Relationship Id="rId137" Type="http://schemas.openxmlformats.org/officeDocument/2006/relationships/hyperlink" Target="http://hawksey.info/tagsexplorer/arc.html?key=1juyIQsnL_T8tqzfzAVVjPctB4eqiafTghnL_xhvkrjk&amp;gid=400689247&amp;screenname=BelAmi06337376" TargetMode="External"/><Relationship Id="rId132" Type="http://schemas.openxmlformats.org/officeDocument/2006/relationships/hyperlink" Target="http://hawksey.info/tagsexplorer/arc.html?key=1juyIQsnL_T8tqzfzAVVjPctB4eqiafTghnL_xhvkrjk&amp;gid=400689247&amp;screenname=Baznut" TargetMode="External"/><Relationship Id="rId131" Type="http://schemas.openxmlformats.org/officeDocument/2006/relationships/hyperlink" Target="http://hawksey.info/tagsexplorer/arc.html?key=1juyIQsnL_T8tqzfzAVVjPctB4eqiafTghnL_xhvkrjk&amp;gid=400689247&amp;screenname=Bazbike" TargetMode="External"/><Relationship Id="rId130" Type="http://schemas.openxmlformats.org/officeDocument/2006/relationships/hyperlink" Target="http://hawksey.info/tagsexplorer/arc.html?key=1juyIQsnL_T8tqzfzAVVjPctB4eqiafTghnL_xhvkrjk&amp;gid=400689247&amp;screenname=BawsmanJJ" TargetMode="External"/><Relationship Id="rId136" Type="http://schemas.openxmlformats.org/officeDocument/2006/relationships/hyperlink" Target="http://hawksey.info/tagsexplorer/arc.html?key=1juyIQsnL_T8tqzfzAVVjPctB4eqiafTghnL_xhvkrjk&amp;gid=400689247&amp;screenname=Bekinddietrying" TargetMode="External"/><Relationship Id="rId135" Type="http://schemas.openxmlformats.org/officeDocument/2006/relationships/hyperlink" Target="http://hawksey.info/tagsexplorer/arc.html?key=1juyIQsnL_T8tqzfzAVVjPctB4eqiafTghnL_xhvkrjk&amp;gid=400689247&amp;screenname=BeesterGee" TargetMode="External"/><Relationship Id="rId134" Type="http://schemas.openxmlformats.org/officeDocument/2006/relationships/hyperlink" Target="http://hawksey.info/tagsexplorer/arc.html?key=1juyIQsnL_T8tqzfzAVVjPctB4eqiafTghnL_xhvkrjk&amp;gid=400689247&amp;screenname=BedlingtonJamie" TargetMode="External"/><Relationship Id="rId133" Type="http://schemas.openxmlformats.org/officeDocument/2006/relationships/hyperlink" Target="http://hawksey.info/tagsexplorer/arc.html?key=1juyIQsnL_T8tqzfzAVVjPctB4eqiafTghnL_xhvkrjk&amp;gid=400689247&amp;screenname=BearnePeter" TargetMode="External"/><Relationship Id="rId172" Type="http://schemas.openxmlformats.org/officeDocument/2006/relationships/hyperlink" Target="http://hawksey.info/tagsexplorer/arc.html?key=1juyIQsnL_T8tqzfzAVVjPctB4eqiafTghnL_xhvkrjk&amp;gid=400689247&amp;screenname=BoopHawke" TargetMode="External"/><Relationship Id="rId171" Type="http://schemas.openxmlformats.org/officeDocument/2006/relationships/hyperlink" Target="http://hawksey.info/tagsexplorer/arc.html?key=1juyIQsnL_T8tqzfzAVVjPctB4eqiafTghnL_xhvkrjk&amp;gid=400689247&amp;screenname=Boolie15" TargetMode="External"/><Relationship Id="rId170" Type="http://schemas.openxmlformats.org/officeDocument/2006/relationships/hyperlink" Target="http://hawksey.info/tagsexplorer/arc.html?key=1juyIQsnL_T8tqzfzAVVjPctB4eqiafTghnL_xhvkrjk&amp;gid=400689247&amp;screenname=BonaparteFabri1" TargetMode="External"/><Relationship Id="rId165" Type="http://schemas.openxmlformats.org/officeDocument/2006/relationships/hyperlink" Target="http://hawksey.info/tagsexplorer/arc.html?key=1juyIQsnL_T8tqzfzAVVjPctB4eqiafTghnL_xhvkrjk&amp;gid=400689247&amp;screenname=BobbyGeorge19" TargetMode="External"/><Relationship Id="rId164" Type="http://schemas.openxmlformats.org/officeDocument/2006/relationships/hyperlink" Target="http://hawksey.info/tagsexplorer/arc.html?key=1juyIQsnL_T8tqzfzAVVjPctB4eqiafTghnL_xhvkrjk&amp;gid=400689247&amp;screenname=BobMars53070026" TargetMode="External"/><Relationship Id="rId163" Type="http://schemas.openxmlformats.org/officeDocument/2006/relationships/hyperlink" Target="http://hawksey.info/tagsexplorer/arc.html?key=1juyIQsnL_T8tqzfzAVVjPctB4eqiafTghnL_xhvkrjk&amp;gid=400689247&amp;screenname=BobHopcraft" TargetMode="External"/><Relationship Id="rId162" Type="http://schemas.openxmlformats.org/officeDocument/2006/relationships/hyperlink" Target="http://hawksey.info/tagsexplorer/arc.html?key=1juyIQsnL_T8tqzfzAVVjPctB4eqiafTghnL_xhvkrjk&amp;gid=400689247&amp;screenname=BoDs_Life" TargetMode="External"/><Relationship Id="rId169" Type="http://schemas.openxmlformats.org/officeDocument/2006/relationships/hyperlink" Target="http://hawksey.info/tagsexplorer/arc.html?key=1juyIQsnL_T8tqzfzAVVjPctB4eqiafTghnL_xhvkrjk&amp;gid=400689247&amp;screenname=Bollocks2Brexit" TargetMode="External"/><Relationship Id="rId168" Type="http://schemas.openxmlformats.org/officeDocument/2006/relationships/hyperlink" Target="http://hawksey.info/tagsexplorer/arc.html?key=1juyIQsnL_T8tqzfzAVVjPctB4eqiafTghnL_xhvkrjk&amp;gid=400689247&amp;screenname=BodyMindStudio" TargetMode="External"/><Relationship Id="rId167" Type="http://schemas.openxmlformats.org/officeDocument/2006/relationships/hyperlink" Target="http://hawksey.info/tagsexplorer/arc.html?key=1juyIQsnL_T8tqzfzAVVjPctB4eqiafTghnL_xhvkrjk&amp;gid=400689247&amp;screenname=BocaVerite" TargetMode="External"/><Relationship Id="rId166" Type="http://schemas.openxmlformats.org/officeDocument/2006/relationships/hyperlink" Target="http://hawksey.info/tagsexplorer/arc.html?key=1juyIQsnL_T8tqzfzAVVjPctB4eqiafTghnL_xhvkrjk&amp;gid=400689247&amp;screenname=BobbyRhosneigr" TargetMode="External"/><Relationship Id="rId161" Type="http://schemas.openxmlformats.org/officeDocument/2006/relationships/hyperlink" Target="http://hawksey.info/tagsexplorer/arc.html?key=1juyIQsnL_T8tqzfzAVVjPctB4eqiafTghnL_xhvkrjk&amp;gid=400689247&amp;screenname=BlueBockle" TargetMode="External"/><Relationship Id="rId160" Type="http://schemas.openxmlformats.org/officeDocument/2006/relationships/hyperlink" Target="http://hawksey.info/tagsexplorer/arc.html?key=1juyIQsnL_T8tqzfzAVVjPctB4eqiafTghnL_xhvkrjk&amp;gid=400689247&amp;screenname=BluJay1066" TargetMode="External"/><Relationship Id="rId159" Type="http://schemas.openxmlformats.org/officeDocument/2006/relationships/hyperlink" Target="http://hawksey.info/tagsexplorer/arc.html?key=1juyIQsnL_T8tqzfzAVVjPctB4eqiafTghnL_xhvkrjk&amp;gid=400689247&amp;screenname=BlondePrefers" TargetMode="External"/><Relationship Id="rId154" Type="http://schemas.openxmlformats.org/officeDocument/2006/relationships/hyperlink" Target="http://hawksey.info/tagsexplorer/arc.html?key=1juyIQsnL_T8tqzfzAVVjPctB4eqiafTghnL_xhvkrjk&amp;gid=400689247&amp;screenname=BillyBr56707418" TargetMode="External"/><Relationship Id="rId153" Type="http://schemas.openxmlformats.org/officeDocument/2006/relationships/hyperlink" Target="http://hawksey.info/tagsexplorer/arc.html?key=1juyIQsnL_T8tqzfzAVVjPctB4eqiafTghnL_xhvkrjk&amp;gid=400689247&amp;screenname=BillM2207" TargetMode="External"/><Relationship Id="rId152" Type="http://schemas.openxmlformats.org/officeDocument/2006/relationships/hyperlink" Target="http://hawksey.info/tagsexplorer/arc.html?key=1juyIQsnL_T8tqzfzAVVjPctB4eqiafTghnL_xhvkrjk&amp;gid=400689247&amp;screenname=BigDollarRich" TargetMode="External"/><Relationship Id="rId151" Type="http://schemas.openxmlformats.org/officeDocument/2006/relationships/hyperlink" Target="http://hawksey.info/tagsexplorer/arc.html?key=1juyIQsnL_T8tqzfzAVVjPctB4eqiafTghnL_xhvkrjk&amp;gid=400689247&amp;screenname=Biberbach" TargetMode="External"/><Relationship Id="rId158" Type="http://schemas.openxmlformats.org/officeDocument/2006/relationships/hyperlink" Target="http://hawksey.info/tagsexplorer/arc.html?key=1juyIQsnL_T8tqzfzAVVjPctB4eqiafTghnL_xhvkrjk&amp;gid=400689247&amp;screenname=BlackGloves" TargetMode="External"/><Relationship Id="rId157" Type="http://schemas.openxmlformats.org/officeDocument/2006/relationships/hyperlink" Target="http://hawksey.info/tagsexplorer/arc.html?key=1juyIQsnL_T8tqzfzAVVjPctB4eqiafTghnL_xhvkrjk&amp;gid=400689247&amp;screenname=BizGrowthGB" TargetMode="External"/><Relationship Id="rId156" Type="http://schemas.openxmlformats.org/officeDocument/2006/relationships/hyperlink" Target="http://hawksey.info/tagsexplorer/arc.html?key=1juyIQsnL_T8tqzfzAVVjPctB4eqiafTghnL_xhvkrjk&amp;gid=400689247&amp;screenname=BirderNormandie" TargetMode="External"/><Relationship Id="rId155" Type="http://schemas.openxmlformats.org/officeDocument/2006/relationships/hyperlink" Target="http://hawksey.info/tagsexplorer/arc.html?key=1juyIQsnL_T8tqzfzAVVjPctB4eqiafTghnL_xhvkrjk&amp;gid=400689247&amp;screenname=BirdBlondebird" TargetMode="External"/><Relationship Id="rId1510" Type="http://schemas.openxmlformats.org/officeDocument/2006/relationships/hyperlink" Target="http://hawksey.info/tagsexplorer/arc.html?key=1juyIQsnL_T8tqzfzAVVjPctB4eqiafTghnL_xhvkrjk&amp;gid=400689247&amp;screenname=elizavrose06" TargetMode="External"/><Relationship Id="rId1511" Type="http://schemas.openxmlformats.org/officeDocument/2006/relationships/hyperlink" Target="http://hawksey.info/tagsexplorer/arc.html?key=1juyIQsnL_T8tqzfzAVVjPctB4eqiafTghnL_xhvkrjk&amp;gid=400689247&amp;screenname=ellenwhiteworld" TargetMode="External"/><Relationship Id="rId1512" Type="http://schemas.openxmlformats.org/officeDocument/2006/relationships/hyperlink" Target="http://hawksey.info/tagsexplorer/arc.html?key=1juyIQsnL_T8tqzfzAVVjPctB4eqiafTghnL_xhvkrjk&amp;gid=400689247&amp;screenname=elpistolero7" TargetMode="External"/><Relationship Id="rId1513" Type="http://schemas.openxmlformats.org/officeDocument/2006/relationships/hyperlink" Target="http://hawksey.info/tagsexplorer/arc.html?key=1juyIQsnL_T8tqzfzAVVjPctB4eqiafTghnL_xhvkrjk&amp;gid=400689247&amp;screenname=endless_europe" TargetMode="External"/><Relationship Id="rId1514" Type="http://schemas.openxmlformats.org/officeDocument/2006/relationships/hyperlink" Target="http://hawksey.info/tagsexplorer/arc.html?key=1juyIQsnL_T8tqzfzAVVjPctB4eqiafTghnL_xhvkrjk&amp;gid=400689247&amp;screenname=englishfil" TargetMode="External"/><Relationship Id="rId1515" Type="http://schemas.openxmlformats.org/officeDocument/2006/relationships/hyperlink" Target="http://hawksey.info/tagsexplorer/arc.html?key=1juyIQsnL_T8tqzfzAVVjPctB4eqiafTghnL_xhvkrjk&amp;gid=400689247&amp;screenname=enobkered1" TargetMode="External"/><Relationship Id="rId1516" Type="http://schemas.openxmlformats.org/officeDocument/2006/relationships/hyperlink" Target="http://hawksey.info/tagsexplorer/arc.html?key=1juyIQsnL_T8tqzfzAVVjPctB4eqiafTghnL_xhvkrjk&amp;gid=400689247&amp;screenname=enya92037321" TargetMode="External"/><Relationship Id="rId1517" Type="http://schemas.openxmlformats.org/officeDocument/2006/relationships/hyperlink" Target="http://hawksey.info/tagsexplorer/arc.html?key=1juyIQsnL_T8tqzfzAVVjPctB4eqiafTghnL_xhvkrjk&amp;gid=400689247&amp;screenname=erichearn" TargetMode="External"/><Relationship Id="rId1518" Type="http://schemas.openxmlformats.org/officeDocument/2006/relationships/hyperlink" Target="http://hawksey.info/tagsexplorer/arc.html?key=1juyIQsnL_T8tqzfzAVVjPctB4eqiafTghnL_xhvkrjk&amp;gid=400689247&amp;screenname=esther_livesey" TargetMode="External"/><Relationship Id="rId1519" Type="http://schemas.openxmlformats.org/officeDocument/2006/relationships/hyperlink" Target="http://hawksey.info/tagsexplorer/arc.html?key=1juyIQsnL_T8tqzfzAVVjPctB4eqiafTghnL_xhvkrjk&amp;gid=400689247&amp;screenname=etihwv" TargetMode="External"/><Relationship Id="rId1500" Type="http://schemas.openxmlformats.org/officeDocument/2006/relationships/hyperlink" Target="http://hawksey.info/tagsexplorer/arc.html?key=1juyIQsnL_T8tqzfzAVVjPctB4eqiafTghnL_xhvkrjk&amp;gid=400689247&amp;screenname=dubh_sgian" TargetMode="External"/><Relationship Id="rId1501" Type="http://schemas.openxmlformats.org/officeDocument/2006/relationships/hyperlink" Target="http://hawksey.info/tagsexplorer/arc.html?key=1juyIQsnL_T8tqzfzAVVjPctB4eqiafTghnL_xhvkrjk&amp;gid=400689247&amp;screenname=dunlin57" TargetMode="External"/><Relationship Id="rId1502" Type="http://schemas.openxmlformats.org/officeDocument/2006/relationships/hyperlink" Target="http://hawksey.info/tagsexplorer/arc.html?key=1juyIQsnL_T8tqzfzAVVjPctB4eqiafTghnL_xhvkrjk&amp;gid=400689247&amp;screenname=dwinnera" TargetMode="External"/><Relationship Id="rId1503" Type="http://schemas.openxmlformats.org/officeDocument/2006/relationships/hyperlink" Target="http://hawksey.info/tagsexplorer/arc.html?key=1juyIQsnL_T8tqzfzAVVjPctB4eqiafTghnL_xhvkrjk&amp;gid=400689247&amp;screenname=e_evison" TargetMode="External"/><Relationship Id="rId1504" Type="http://schemas.openxmlformats.org/officeDocument/2006/relationships/hyperlink" Target="http://hawksey.info/tagsexplorer/arc.html?key=1juyIQsnL_T8tqzfzAVVjPctB4eqiafTghnL_xhvkrjk&amp;gid=400689247&amp;screenname=ecklwald" TargetMode="External"/><Relationship Id="rId1505" Type="http://schemas.openxmlformats.org/officeDocument/2006/relationships/hyperlink" Target="http://hawksey.info/tagsexplorer/arc.html?key=1juyIQsnL_T8tqzfzAVVjPctB4eqiafTghnL_xhvkrjk&amp;gid=400689247&amp;screenname=edparnell" TargetMode="External"/><Relationship Id="rId1506" Type="http://schemas.openxmlformats.org/officeDocument/2006/relationships/hyperlink" Target="http://hawksey.info/tagsexplorer/arc.html?key=1juyIQsnL_T8tqzfzAVVjPctB4eqiafTghnL_xhvkrjk&amp;gid=400689247&amp;screenname=eelemsti" TargetMode="External"/><Relationship Id="rId1507" Type="http://schemas.openxmlformats.org/officeDocument/2006/relationships/hyperlink" Target="http://hawksey.info/tagsexplorer/arc.html?key=1juyIQsnL_T8tqzfzAVVjPctB4eqiafTghnL_xhvkrjk&amp;gid=400689247&amp;screenname=eildons3" TargetMode="External"/><Relationship Id="rId1508" Type="http://schemas.openxmlformats.org/officeDocument/2006/relationships/hyperlink" Target="http://hawksey.info/tagsexplorer/arc.html?key=1juyIQsnL_T8tqzfzAVVjPctB4eqiafTghnL_xhvkrjk&amp;gid=400689247&amp;screenname=elgarado" TargetMode="External"/><Relationship Id="rId1509" Type="http://schemas.openxmlformats.org/officeDocument/2006/relationships/hyperlink" Target="http://hawksey.info/tagsexplorer/arc.html?key=1juyIQsnL_T8tqzfzAVVjPctB4eqiafTghnL_xhvkrjk&amp;gid=400689247&amp;screenname=elibo_17" TargetMode="External"/><Relationship Id="rId1576" Type="http://schemas.openxmlformats.org/officeDocument/2006/relationships/hyperlink" Target="http://hawksey.info/tagsexplorer/arc.html?key=1juyIQsnL_T8tqzfzAVVjPctB4eqiafTghnL_xhvkrjk&amp;gid=400689247&amp;screenname=giselle97" TargetMode="External"/><Relationship Id="rId1577" Type="http://schemas.openxmlformats.org/officeDocument/2006/relationships/hyperlink" Target="http://hawksey.info/tagsexplorer/arc.html?key=1juyIQsnL_T8tqzfzAVVjPctB4eqiafTghnL_xhvkrjk&amp;gid=400689247&amp;screenname=gkp107" TargetMode="External"/><Relationship Id="rId1578" Type="http://schemas.openxmlformats.org/officeDocument/2006/relationships/hyperlink" Target="http://hawksey.info/tagsexplorer/arc.html?key=1juyIQsnL_T8tqzfzAVVjPctB4eqiafTghnL_xhvkrjk&amp;gid=400689247&amp;screenname=glospunkgirl" TargetMode="External"/><Relationship Id="rId1579" Type="http://schemas.openxmlformats.org/officeDocument/2006/relationships/hyperlink" Target="http://hawksey.info/tagsexplorer/arc.html?key=1juyIQsnL_T8tqzfzAVVjPctB4eqiafTghnL_xhvkrjk&amp;gid=400689247&amp;screenname=goalonthedole" TargetMode="External"/><Relationship Id="rId987" Type="http://schemas.openxmlformats.org/officeDocument/2006/relationships/hyperlink" Target="http://hawksey.info/tagsexplorer/arc.html?key=1juyIQsnL_T8tqzfzAVVjPctB4eqiafTghnL_xhvkrjk&amp;gid=400689247&amp;screenname=Revolution354" TargetMode="External"/><Relationship Id="rId986" Type="http://schemas.openxmlformats.org/officeDocument/2006/relationships/hyperlink" Target="http://hawksey.info/tagsexplorer/arc.html?key=1juyIQsnL_T8tqzfzAVVjPctB4eqiafTghnL_xhvkrjk&amp;gid=400689247&amp;screenname=RestoreHope_20" TargetMode="External"/><Relationship Id="rId985" Type="http://schemas.openxmlformats.org/officeDocument/2006/relationships/hyperlink" Target="http://hawksey.info/tagsexplorer/arc.html?key=1juyIQsnL_T8tqzfzAVVjPctB4eqiafTghnL_xhvkrjk&amp;gid=400689247&amp;screenname=Renaultgek" TargetMode="External"/><Relationship Id="rId984" Type="http://schemas.openxmlformats.org/officeDocument/2006/relationships/hyperlink" Target="http://hawksey.info/tagsexplorer/arc.html?key=1juyIQsnL_T8tqzfzAVVjPctB4eqiafTghnL_xhvkrjk&amp;gid=400689247&amp;screenname=Renaissance_UE" TargetMode="External"/><Relationship Id="rId989" Type="http://schemas.openxmlformats.org/officeDocument/2006/relationships/hyperlink" Target="http://hawksey.info/tagsexplorer/arc.html?key=1juyIQsnL_T8tqzfzAVVjPctB4eqiafTghnL_xhvkrjk&amp;gid=400689247&amp;screenname=Richard54119983" TargetMode="External"/><Relationship Id="rId988" Type="http://schemas.openxmlformats.org/officeDocument/2006/relationships/hyperlink" Target="http://hawksey.info/tagsexplorer/arc.html?key=1juyIQsnL_T8tqzfzAVVjPctB4eqiafTghnL_xhvkrjk&amp;gid=400689247&amp;screenname=RhiD83" TargetMode="External"/><Relationship Id="rId1570" Type="http://schemas.openxmlformats.org/officeDocument/2006/relationships/hyperlink" Target="http://hawksey.info/tagsexplorer/arc.html?key=1juyIQsnL_T8tqzfzAVVjPctB4eqiafTghnL_xhvkrjk&amp;gid=400689247&amp;screenname=gibbsy66" TargetMode="External"/><Relationship Id="rId1571" Type="http://schemas.openxmlformats.org/officeDocument/2006/relationships/hyperlink" Target="http://hawksey.info/tagsexplorer/arc.html?key=1juyIQsnL_T8tqzfzAVVjPctB4eqiafTghnL_xhvkrjk&amp;gid=400689247&amp;screenname=gill_othen" TargetMode="External"/><Relationship Id="rId983" Type="http://schemas.openxmlformats.org/officeDocument/2006/relationships/hyperlink" Target="http://hawksey.info/tagsexplorer/arc.html?key=1juyIQsnL_T8tqzfzAVVjPctB4eqiafTghnL_xhvkrjk&amp;gid=400689247&amp;screenname=RejoinersRus" TargetMode="External"/><Relationship Id="rId1572" Type="http://schemas.openxmlformats.org/officeDocument/2006/relationships/hyperlink" Target="http://hawksey.info/tagsexplorer/arc.html?key=1juyIQsnL_T8tqzfzAVVjPctB4eqiafTghnL_xhvkrjk&amp;gid=400689247&amp;screenname=gillditch55" TargetMode="External"/><Relationship Id="rId982" Type="http://schemas.openxmlformats.org/officeDocument/2006/relationships/hyperlink" Target="http://hawksey.info/tagsexplorer/arc.html?key=1juyIQsnL_T8tqzfzAVVjPctB4eqiafTghnL_xhvkrjk&amp;gid=400689247&amp;screenname=ReformUKScot" TargetMode="External"/><Relationship Id="rId1573" Type="http://schemas.openxmlformats.org/officeDocument/2006/relationships/hyperlink" Target="http://hawksey.info/tagsexplorer/arc.html?key=1juyIQsnL_T8tqzfzAVVjPctB4eqiafTghnL_xhvkrjk&amp;gid=400689247&amp;screenname=gilliecriosd" TargetMode="External"/><Relationship Id="rId981" Type="http://schemas.openxmlformats.org/officeDocument/2006/relationships/hyperlink" Target="http://hawksey.info/tagsexplorer/arc.html?key=1juyIQsnL_T8tqzfzAVVjPctB4eqiafTghnL_xhvkrjk&amp;gid=400689247&amp;screenname=Red_Quadrant" TargetMode="External"/><Relationship Id="rId1574" Type="http://schemas.openxmlformats.org/officeDocument/2006/relationships/hyperlink" Target="http://hawksey.info/tagsexplorer/arc.html?key=1juyIQsnL_T8tqzfzAVVjPctB4eqiafTghnL_xhvkrjk&amp;gid=400689247&amp;screenname=gingerbred79" TargetMode="External"/><Relationship Id="rId980" Type="http://schemas.openxmlformats.org/officeDocument/2006/relationships/hyperlink" Target="http://hawksey.info/tagsexplorer/arc.html?key=1juyIQsnL_T8tqzfzAVVjPctB4eqiafTghnL_xhvkrjk&amp;gid=400689247&amp;screenname=RebeccaTillett1" TargetMode="External"/><Relationship Id="rId1575" Type="http://schemas.openxmlformats.org/officeDocument/2006/relationships/hyperlink" Target="http://hawksey.info/tagsexplorer/arc.html?key=1juyIQsnL_T8tqzfzAVVjPctB4eqiafTghnL_xhvkrjk&amp;gid=400689247&amp;screenname=girlyswotspider" TargetMode="External"/><Relationship Id="rId1565" Type="http://schemas.openxmlformats.org/officeDocument/2006/relationships/hyperlink" Target="http://hawksey.info/tagsexplorer/arc.html?key=1juyIQsnL_T8tqzfzAVVjPctB4eqiafTghnL_xhvkrjk&amp;gid=400689247&amp;screenname=gazfinch83" TargetMode="External"/><Relationship Id="rId1566" Type="http://schemas.openxmlformats.org/officeDocument/2006/relationships/hyperlink" Target="http://hawksey.info/tagsexplorer/arc.html?key=1juyIQsnL_T8tqzfzAVVjPctB4eqiafTghnL_xhvkrjk&amp;gid=400689247&amp;screenname=gellilyfdy" TargetMode="External"/><Relationship Id="rId1567" Type="http://schemas.openxmlformats.org/officeDocument/2006/relationships/hyperlink" Target="http://hawksey.info/tagsexplorer/arc.html?key=1juyIQsnL_T8tqzfzAVVjPctB4eqiafTghnL_xhvkrjk&amp;gid=400689247&amp;screenname=geoffh33" TargetMode="External"/><Relationship Id="rId1568" Type="http://schemas.openxmlformats.org/officeDocument/2006/relationships/hyperlink" Target="http://hawksey.info/tagsexplorer/arc.html?key=1juyIQsnL_T8tqzfzAVVjPctB4eqiafTghnL_xhvkrjk&amp;gid=400689247&amp;screenname=geographyjazz" TargetMode="External"/><Relationship Id="rId1569" Type="http://schemas.openxmlformats.org/officeDocument/2006/relationships/hyperlink" Target="http://hawksey.info/tagsexplorer/arc.html?key=1juyIQsnL_T8tqzfzAVVjPctB4eqiafTghnL_xhvkrjk&amp;gid=400689247&amp;screenname=georgebernhard" TargetMode="External"/><Relationship Id="rId976" Type="http://schemas.openxmlformats.org/officeDocument/2006/relationships/hyperlink" Target="http://hawksey.info/tagsexplorer/arc.html?key=1juyIQsnL_T8tqzfzAVVjPctB4eqiafTghnL_xhvkrjk&amp;gid=400689247&amp;screenname=RayStallwood" TargetMode="External"/><Relationship Id="rId975" Type="http://schemas.openxmlformats.org/officeDocument/2006/relationships/hyperlink" Target="http://hawksey.info/tagsexplorer/arc.html?key=1juyIQsnL_T8tqzfzAVVjPctB4eqiafTghnL_xhvkrjk&amp;gid=400689247&amp;screenname=RavInDaGarage" TargetMode="External"/><Relationship Id="rId974" Type="http://schemas.openxmlformats.org/officeDocument/2006/relationships/hyperlink" Target="http://hawksey.info/tagsexplorer/arc.html?key=1juyIQsnL_T8tqzfzAVVjPctB4eqiafTghnL_xhvkrjk&amp;gid=400689247&amp;screenname=RatherBeAfloat" TargetMode="External"/><Relationship Id="rId973" Type="http://schemas.openxmlformats.org/officeDocument/2006/relationships/hyperlink" Target="http://hawksey.info/tagsexplorer/arc.html?key=1juyIQsnL_T8tqzfzAVVjPctB4eqiafTghnL_xhvkrjk&amp;gid=400689247&amp;screenname=RashellTamina" TargetMode="External"/><Relationship Id="rId979" Type="http://schemas.openxmlformats.org/officeDocument/2006/relationships/hyperlink" Target="http://hawksey.info/tagsexplorer/arc.html?key=1juyIQsnL_T8tqzfzAVVjPctB4eqiafTghnL_xhvkrjk&amp;gid=400689247&amp;screenname=Reasons2Rejoin" TargetMode="External"/><Relationship Id="rId978" Type="http://schemas.openxmlformats.org/officeDocument/2006/relationships/hyperlink" Target="http://hawksey.info/tagsexplorer/arc.html?key=1juyIQsnL_T8tqzfzAVVjPctB4eqiafTghnL_xhvkrjk&amp;gid=400689247&amp;screenname=Raymond23824751" TargetMode="External"/><Relationship Id="rId977" Type="http://schemas.openxmlformats.org/officeDocument/2006/relationships/hyperlink" Target="http://hawksey.info/tagsexplorer/arc.html?key=1juyIQsnL_T8tqzfzAVVjPctB4eqiafTghnL_xhvkrjk&amp;gid=400689247&amp;screenname=Raycspike" TargetMode="External"/><Relationship Id="rId1560" Type="http://schemas.openxmlformats.org/officeDocument/2006/relationships/hyperlink" Target="http://hawksey.info/tagsexplorer/arc.html?key=1juyIQsnL_T8tqzfzAVVjPctB4eqiafTghnL_xhvkrjk&amp;gid=400689247&amp;screenname=gandoflam" TargetMode="External"/><Relationship Id="rId972" Type="http://schemas.openxmlformats.org/officeDocument/2006/relationships/hyperlink" Target="http://hawksey.info/tagsexplorer/arc.html?key=1juyIQsnL_T8tqzfzAVVjPctB4eqiafTghnL_xhvkrjk&amp;gid=400689247&amp;screenname=RantingJon" TargetMode="External"/><Relationship Id="rId1561" Type="http://schemas.openxmlformats.org/officeDocument/2006/relationships/hyperlink" Target="http://hawksey.info/tagsexplorer/arc.html?key=1juyIQsnL_T8tqzfzAVVjPctB4eqiafTghnL_xhvkrjk&amp;gid=400689247&amp;screenname=garside_geoff" TargetMode="External"/><Relationship Id="rId971" Type="http://schemas.openxmlformats.org/officeDocument/2006/relationships/hyperlink" Target="http://hawksey.info/tagsexplorer/arc.html?key=1juyIQsnL_T8tqzfzAVVjPctB4eqiafTghnL_xhvkrjk&amp;gid=400689247&amp;screenname=Rampantredlion1" TargetMode="External"/><Relationship Id="rId1562" Type="http://schemas.openxmlformats.org/officeDocument/2006/relationships/hyperlink" Target="http://hawksey.info/tagsexplorer/arc.html?key=1juyIQsnL_T8tqzfzAVVjPctB4eqiafTghnL_xhvkrjk&amp;gid=400689247&amp;screenname=garyj71" TargetMode="External"/><Relationship Id="rId970" Type="http://schemas.openxmlformats.org/officeDocument/2006/relationships/hyperlink" Target="http://hawksey.info/tagsexplorer/arc.html?key=1juyIQsnL_T8tqzfzAVVjPctB4eqiafTghnL_xhvkrjk&amp;gid=400689247&amp;screenname=RainowRobinHood" TargetMode="External"/><Relationship Id="rId1563" Type="http://schemas.openxmlformats.org/officeDocument/2006/relationships/hyperlink" Target="http://hawksey.info/tagsexplorer/arc.html?key=1juyIQsnL_T8tqzfzAVVjPctB4eqiafTghnL_xhvkrjk&amp;gid=400689247&amp;screenname=gas2green" TargetMode="External"/><Relationship Id="rId1564" Type="http://schemas.openxmlformats.org/officeDocument/2006/relationships/hyperlink" Target="http://hawksey.info/tagsexplorer/arc.html?key=1juyIQsnL_T8tqzfzAVVjPctB4eqiafTghnL_xhvkrjk&amp;gid=400689247&amp;screenname=gawbul" TargetMode="External"/><Relationship Id="rId1598" Type="http://schemas.openxmlformats.org/officeDocument/2006/relationships/hyperlink" Target="http://hawksey.info/tagsexplorer/arc.html?key=1juyIQsnL_T8tqzfzAVVjPctB4eqiafTghnL_xhvkrjk&amp;gid=400689247&amp;screenname=h1llbillies" TargetMode="External"/><Relationship Id="rId1599" Type="http://schemas.openxmlformats.org/officeDocument/2006/relationships/hyperlink" Target="http://hawksey.info/tagsexplorer/arc.html?key=1juyIQsnL_T8tqzfzAVVjPctB4eqiafTghnL_xhvkrjk&amp;gid=400689247&amp;screenname=h48052341" TargetMode="External"/><Relationship Id="rId1590" Type="http://schemas.openxmlformats.org/officeDocument/2006/relationships/hyperlink" Target="http://hawksey.info/tagsexplorer/arc.html?key=1juyIQsnL_T8tqzfzAVVjPctB4eqiafTghnL_xhvkrjk&amp;gid=400689247&amp;screenname=greenpdem" TargetMode="External"/><Relationship Id="rId1591" Type="http://schemas.openxmlformats.org/officeDocument/2006/relationships/hyperlink" Target="http://hawksey.info/tagsexplorer/arc.html?key=1juyIQsnL_T8tqzfzAVVjPctB4eqiafTghnL_xhvkrjk&amp;gid=400689247&amp;screenname=grifffinsu" TargetMode="External"/><Relationship Id="rId1592" Type="http://schemas.openxmlformats.org/officeDocument/2006/relationships/hyperlink" Target="http://hawksey.info/tagsexplorer/arc.html?key=1juyIQsnL_T8tqzfzAVVjPctB4eqiafTghnL_xhvkrjk&amp;gid=400689247&amp;screenname=grim_up_north1" TargetMode="External"/><Relationship Id="rId1593" Type="http://schemas.openxmlformats.org/officeDocument/2006/relationships/hyperlink" Target="http://hawksey.info/tagsexplorer/arc.html?key=1juyIQsnL_T8tqzfzAVVjPctB4eqiafTghnL_xhvkrjk&amp;gid=400689247&amp;screenname=griseldamussett" TargetMode="External"/><Relationship Id="rId1594" Type="http://schemas.openxmlformats.org/officeDocument/2006/relationships/hyperlink" Target="http://hawksey.info/tagsexplorer/arc.html?key=1juyIQsnL_T8tqzfzAVVjPctB4eqiafTghnL_xhvkrjk&amp;gid=400689247&amp;screenname=gushingtide" TargetMode="External"/><Relationship Id="rId1595" Type="http://schemas.openxmlformats.org/officeDocument/2006/relationships/hyperlink" Target="http://hawksey.info/tagsexplorer/arc.html?key=1juyIQsnL_T8tqzfzAVVjPctB4eqiafTghnL_xhvkrjk&amp;gid=400689247&amp;screenname=guyson_7" TargetMode="External"/><Relationship Id="rId1596" Type="http://schemas.openxmlformats.org/officeDocument/2006/relationships/hyperlink" Target="http://hawksey.info/tagsexplorer/arc.html?key=1juyIQsnL_T8tqzfzAVVjPctB4eqiafTghnL_xhvkrjk&amp;gid=400689247&amp;screenname=gw_emily" TargetMode="External"/><Relationship Id="rId1597" Type="http://schemas.openxmlformats.org/officeDocument/2006/relationships/hyperlink" Target="http://hawksey.info/tagsexplorer/arc.html?key=1juyIQsnL_T8tqzfzAVVjPctB4eqiafTghnL_xhvkrjk&amp;gid=400689247&amp;screenname=gwstenby" TargetMode="External"/><Relationship Id="rId1587" Type="http://schemas.openxmlformats.org/officeDocument/2006/relationships/hyperlink" Target="http://hawksey.info/tagsexplorer/arc.html?key=1juyIQsnL_T8tqzfzAVVjPctB4eqiafTghnL_xhvkrjk&amp;gid=400689247&amp;screenname=gramt_g" TargetMode="External"/><Relationship Id="rId1588" Type="http://schemas.openxmlformats.org/officeDocument/2006/relationships/hyperlink" Target="http://hawksey.info/tagsexplorer/arc.html?key=1juyIQsnL_T8tqzfzAVVjPctB4eqiafTghnL_xhvkrjk&amp;gid=400689247&amp;screenname=graydominic4" TargetMode="External"/><Relationship Id="rId1589" Type="http://schemas.openxmlformats.org/officeDocument/2006/relationships/hyperlink" Target="http://hawksey.info/tagsexplorer/arc.html?key=1juyIQsnL_T8tqzfzAVVjPctB4eqiafTghnL_xhvkrjk&amp;gid=400689247&amp;screenname=greatorexbt" TargetMode="External"/><Relationship Id="rId998" Type="http://schemas.openxmlformats.org/officeDocument/2006/relationships/hyperlink" Target="http://hawksey.info/tagsexplorer/arc.html?key=1juyIQsnL_T8tqzfzAVVjPctB4eqiafTghnL_xhvkrjk&amp;gid=400689247&amp;screenname=RightAngleUK" TargetMode="External"/><Relationship Id="rId997" Type="http://schemas.openxmlformats.org/officeDocument/2006/relationships/hyperlink" Target="http://hawksey.info/tagsexplorer/arc.html?key=1juyIQsnL_T8tqzfzAVVjPctB4eqiafTghnL_xhvkrjk&amp;gid=400689247&amp;screenname=Ride4Truth" TargetMode="External"/><Relationship Id="rId996" Type="http://schemas.openxmlformats.org/officeDocument/2006/relationships/hyperlink" Target="http://hawksey.info/tagsexplorer/arc.html?key=1juyIQsnL_T8tqzfzAVVjPctB4eqiafTghnL_xhvkrjk&amp;gid=400689247&amp;screenname=Richardson86Joe" TargetMode="External"/><Relationship Id="rId995" Type="http://schemas.openxmlformats.org/officeDocument/2006/relationships/hyperlink" Target="http://hawksey.info/tagsexplorer/arc.html?key=1juyIQsnL_T8tqzfzAVVjPctB4eqiafTghnL_xhvkrjk&amp;gid=400689247&amp;screenname=RichardWitts" TargetMode="External"/><Relationship Id="rId999" Type="http://schemas.openxmlformats.org/officeDocument/2006/relationships/hyperlink" Target="http://hawksey.info/tagsexplorer/arc.html?key=1juyIQsnL_T8tqzfzAVVjPctB4eqiafTghnL_xhvkrjk&amp;gid=400689247&amp;screenname=RightArmOver3" TargetMode="External"/><Relationship Id="rId990" Type="http://schemas.openxmlformats.org/officeDocument/2006/relationships/hyperlink" Target="http://hawksey.info/tagsexplorer/arc.html?key=1juyIQsnL_T8tqzfzAVVjPctB4eqiafTghnL_xhvkrjk&amp;gid=400689247&amp;screenname=RichardBentall" TargetMode="External"/><Relationship Id="rId1580" Type="http://schemas.openxmlformats.org/officeDocument/2006/relationships/hyperlink" Target="http://hawksey.info/tagsexplorer/arc.html?key=1juyIQsnL_T8tqzfzAVVjPctB4eqiafTghnL_xhvkrjk&amp;gid=400689247&amp;screenname=goanabootbiddy" TargetMode="External"/><Relationship Id="rId1581" Type="http://schemas.openxmlformats.org/officeDocument/2006/relationships/hyperlink" Target="http://hawksey.info/tagsexplorer/arc.html?key=1juyIQsnL_T8tqzfzAVVjPctB4eqiafTghnL_xhvkrjk&amp;gid=400689247&amp;screenname=gooduseofbad" TargetMode="External"/><Relationship Id="rId1582" Type="http://schemas.openxmlformats.org/officeDocument/2006/relationships/hyperlink" Target="http://hawksey.info/tagsexplorer/arc.html?key=1juyIQsnL_T8tqzfzAVVjPctB4eqiafTghnL_xhvkrjk&amp;gid=400689247&amp;screenname=goringjogger57" TargetMode="External"/><Relationship Id="rId994" Type="http://schemas.openxmlformats.org/officeDocument/2006/relationships/hyperlink" Target="http://hawksey.info/tagsexplorer/arc.html?key=1juyIQsnL_T8tqzfzAVVjPctB4eqiafTghnL_xhvkrjk&amp;gid=400689247&amp;screenname=RichardScribbl1" TargetMode="External"/><Relationship Id="rId1583" Type="http://schemas.openxmlformats.org/officeDocument/2006/relationships/hyperlink" Target="http://hawksey.info/tagsexplorer/arc.html?key=1juyIQsnL_T8tqzfzAVVjPctB4eqiafTghnL_xhvkrjk&amp;gid=400689247&amp;screenname=graemelesaux14" TargetMode="External"/><Relationship Id="rId993" Type="http://schemas.openxmlformats.org/officeDocument/2006/relationships/hyperlink" Target="http://hawksey.info/tagsexplorer/arc.html?key=1juyIQsnL_T8tqzfzAVVjPctB4eqiafTghnL_xhvkrjk&amp;gid=400689247&amp;screenname=RichardSTOCKDA4" TargetMode="External"/><Relationship Id="rId1584" Type="http://schemas.openxmlformats.org/officeDocument/2006/relationships/hyperlink" Target="http://hawksey.info/tagsexplorer/arc.html?key=1juyIQsnL_T8tqzfzAVVjPctB4eqiafTghnL_xhvkrjk&amp;gid=400689247&amp;screenname=graham669" TargetMode="External"/><Relationship Id="rId992" Type="http://schemas.openxmlformats.org/officeDocument/2006/relationships/hyperlink" Target="http://hawksey.info/tagsexplorer/arc.html?key=1juyIQsnL_T8tqzfzAVVjPctB4eqiafTghnL_xhvkrjk&amp;gid=400689247&amp;screenname=RichardHewison" TargetMode="External"/><Relationship Id="rId1585" Type="http://schemas.openxmlformats.org/officeDocument/2006/relationships/hyperlink" Target="http://hawksey.info/tagsexplorer/arc.html?key=1juyIQsnL_T8tqzfzAVVjPctB4eqiafTghnL_xhvkrjk&amp;gid=400689247&amp;screenname=grahamnaylor" TargetMode="External"/><Relationship Id="rId991" Type="http://schemas.openxmlformats.org/officeDocument/2006/relationships/hyperlink" Target="http://hawksey.info/tagsexplorer/arc.html?key=1juyIQsnL_T8tqzfzAVVjPctB4eqiafTghnL_xhvkrjk&amp;gid=400689247&amp;screenname=RichardCMB" TargetMode="External"/><Relationship Id="rId1586" Type="http://schemas.openxmlformats.org/officeDocument/2006/relationships/hyperlink" Target="http://hawksey.info/tagsexplorer/arc.html?key=1juyIQsnL_T8tqzfzAVVjPctB4eqiafTghnL_xhvkrjk&amp;gid=400689247&amp;screenname=grahamwwaters" TargetMode="External"/><Relationship Id="rId1532" Type="http://schemas.openxmlformats.org/officeDocument/2006/relationships/hyperlink" Target="http://hawksey.info/tagsexplorer/arc.html?key=1juyIQsnL_T8tqzfzAVVjPctB4eqiafTghnL_xhvkrjk&amp;gid=400689247&amp;screenname=fbpe_h" TargetMode="External"/><Relationship Id="rId1533" Type="http://schemas.openxmlformats.org/officeDocument/2006/relationships/hyperlink" Target="http://hawksey.info/tagsexplorer/arc.html?key=1juyIQsnL_T8tqzfzAVVjPctB4eqiafTghnL_xhvkrjk&amp;gid=400689247&amp;screenname=fbtoast" TargetMode="External"/><Relationship Id="rId1534" Type="http://schemas.openxmlformats.org/officeDocument/2006/relationships/hyperlink" Target="http://hawksey.info/tagsexplorer/arc.html?key=1juyIQsnL_T8tqzfzAVVjPctB4eqiafTghnL_xhvkrjk&amp;gid=400689247&amp;screenname=fergs01" TargetMode="External"/><Relationship Id="rId1535" Type="http://schemas.openxmlformats.org/officeDocument/2006/relationships/hyperlink" Target="http://hawksey.info/tagsexplorer/arc.html?key=1juyIQsnL_T8tqzfzAVVjPctB4eqiafTghnL_xhvkrjk&amp;gid=400689247&amp;screenname=fiercetiger103" TargetMode="External"/><Relationship Id="rId1536" Type="http://schemas.openxmlformats.org/officeDocument/2006/relationships/hyperlink" Target="http://hawksey.info/tagsexplorer/arc.html?key=1juyIQsnL_T8tqzfzAVVjPctB4eqiafTghnL_xhvkrjk&amp;gid=400689247&amp;screenname=filsdelenin" TargetMode="External"/><Relationship Id="rId1537" Type="http://schemas.openxmlformats.org/officeDocument/2006/relationships/hyperlink" Target="http://hawksey.info/tagsexplorer/arc.html?key=1juyIQsnL_T8tqzfzAVVjPctB4eqiafTghnL_xhvkrjk&amp;gid=400689247&amp;screenname=financedoor_de" TargetMode="External"/><Relationship Id="rId1538" Type="http://schemas.openxmlformats.org/officeDocument/2006/relationships/hyperlink" Target="http://hawksey.info/tagsexplorer/arc.html?key=1juyIQsnL_T8tqzfzAVVjPctB4eqiafTghnL_xhvkrjk&amp;gid=400689247&amp;screenname=fionn114" TargetMode="External"/><Relationship Id="rId1539" Type="http://schemas.openxmlformats.org/officeDocument/2006/relationships/hyperlink" Target="http://hawksey.info/tagsexplorer/arc.html?key=1juyIQsnL_T8tqzfzAVVjPctB4eqiafTghnL_xhvkrjk&amp;gid=400689247&amp;screenname=fishface58" TargetMode="External"/><Relationship Id="rId949" Type="http://schemas.openxmlformats.org/officeDocument/2006/relationships/hyperlink" Target="http://hawksey.info/tagsexplorer/arc.html?key=1juyIQsnL_T8tqzfzAVVjPctB4eqiafTghnL_xhvkrjk&amp;gid=400689247&amp;screenname=Poodlewrestler" TargetMode="External"/><Relationship Id="rId948" Type="http://schemas.openxmlformats.org/officeDocument/2006/relationships/hyperlink" Target="http://hawksey.info/tagsexplorer/arc.html?key=1juyIQsnL_T8tqzfzAVVjPctB4eqiafTghnL_xhvkrjk&amp;gid=400689247&amp;screenname=Ponkbutler" TargetMode="External"/><Relationship Id="rId943" Type="http://schemas.openxmlformats.org/officeDocument/2006/relationships/hyperlink" Target="http://hawksey.info/tagsexplorer/arc.html?key=1juyIQsnL_T8tqzfzAVVjPctB4eqiafTghnL_xhvkrjk&amp;gid=400689247&amp;screenname=Pierre_Ka" TargetMode="External"/><Relationship Id="rId942" Type="http://schemas.openxmlformats.org/officeDocument/2006/relationships/hyperlink" Target="http://hawksey.info/tagsexplorer/arc.html?key=1juyIQsnL_T8tqzfzAVVjPctB4eqiafTghnL_xhvkrjk&amp;gid=400689247&amp;screenname=Pictav" TargetMode="External"/><Relationship Id="rId941" Type="http://schemas.openxmlformats.org/officeDocument/2006/relationships/hyperlink" Target="http://hawksey.info/tagsexplorer/arc.html?key=1juyIQsnL_T8tqzfzAVVjPctB4eqiafTghnL_xhvkrjk&amp;gid=400689247&amp;screenname=Picss3o" TargetMode="External"/><Relationship Id="rId940" Type="http://schemas.openxmlformats.org/officeDocument/2006/relationships/hyperlink" Target="http://hawksey.info/tagsexplorer/arc.html?key=1juyIQsnL_T8tqzfzAVVjPctB4eqiafTghnL_xhvkrjk&amp;gid=400689247&amp;screenname=Phoeboise" TargetMode="External"/><Relationship Id="rId947" Type="http://schemas.openxmlformats.org/officeDocument/2006/relationships/hyperlink" Target="http://hawksey.info/tagsexplorer/arc.html?key=1juyIQsnL_T8tqzfzAVVjPctB4eqiafTghnL_xhvkrjk&amp;gid=400689247&amp;screenname=PoliticalPaddy" TargetMode="External"/><Relationship Id="rId946" Type="http://schemas.openxmlformats.org/officeDocument/2006/relationships/hyperlink" Target="http://hawksey.info/tagsexplorer/arc.html?key=1juyIQsnL_T8tqzfzAVVjPctB4eqiafTghnL_xhvkrjk&amp;gid=400689247&amp;screenname=Pokerspace1" TargetMode="External"/><Relationship Id="rId945" Type="http://schemas.openxmlformats.org/officeDocument/2006/relationships/hyperlink" Target="http://hawksey.info/tagsexplorer/arc.html?key=1juyIQsnL_T8tqzfzAVVjPctB4eqiafTghnL_xhvkrjk&amp;gid=400689247&amp;screenname=Pjacksdelacour" TargetMode="External"/><Relationship Id="rId944" Type="http://schemas.openxmlformats.org/officeDocument/2006/relationships/hyperlink" Target="http://hawksey.info/tagsexplorer/arc.html?key=1juyIQsnL_T8tqzfzAVVjPctB4eqiafTghnL_xhvkrjk&amp;gid=400689247&amp;screenname=PippaLeeuwen" TargetMode="External"/><Relationship Id="rId1530" Type="http://schemas.openxmlformats.org/officeDocument/2006/relationships/hyperlink" Target="http://hawksey.info/tagsexplorer/arc.html?key=1juyIQsnL_T8tqzfzAVVjPctB4eqiafTghnL_xhvkrjk&amp;gid=400689247&amp;screenname=fatchaz61" TargetMode="External"/><Relationship Id="rId1531" Type="http://schemas.openxmlformats.org/officeDocument/2006/relationships/hyperlink" Target="http://hawksey.info/tagsexplorer/arc.html?key=1juyIQsnL_T8tqzfzAVVjPctB4eqiafTghnL_xhvkrjk&amp;gid=400689247&amp;screenname=fatoldsun68" TargetMode="External"/><Relationship Id="rId1521" Type="http://schemas.openxmlformats.org/officeDocument/2006/relationships/hyperlink" Target="http://hawksey.info/tagsexplorer/arc.html?key=1juyIQsnL_T8tqzfzAVVjPctB4eqiafTghnL_xhvkrjk&amp;gid=400689247&amp;screenname=etxberria55" TargetMode="External"/><Relationship Id="rId1522" Type="http://schemas.openxmlformats.org/officeDocument/2006/relationships/hyperlink" Target="http://hawksey.info/tagsexplorer/arc.html?key=1juyIQsnL_T8tqzfzAVVjPctB4eqiafTghnL_xhvkrjk&amp;gid=400689247&amp;screenname=euanfar" TargetMode="External"/><Relationship Id="rId1523" Type="http://schemas.openxmlformats.org/officeDocument/2006/relationships/hyperlink" Target="http://hawksey.info/tagsexplorer/arc.html?key=1juyIQsnL_T8tqzfzAVVjPctB4eqiafTghnL_xhvkrjk&amp;gid=400689247&amp;screenname=eurightswatch" TargetMode="External"/><Relationship Id="rId1524" Type="http://schemas.openxmlformats.org/officeDocument/2006/relationships/hyperlink" Target="http://hawksey.info/tagsexplorer/arc.html?key=1juyIQsnL_T8tqzfzAVVjPctB4eqiafTghnL_xhvkrjk&amp;gid=400689247&amp;screenname=eva_kenneth" TargetMode="External"/><Relationship Id="rId1525" Type="http://schemas.openxmlformats.org/officeDocument/2006/relationships/hyperlink" Target="http://hawksey.info/tagsexplorer/arc.html?key=1juyIQsnL_T8tqzfzAVVjPctB4eqiafTghnL_xhvkrjk&amp;gid=400689247&amp;screenname=eyejosh" TargetMode="External"/><Relationship Id="rId1526" Type="http://schemas.openxmlformats.org/officeDocument/2006/relationships/hyperlink" Target="http://hawksey.info/tagsexplorer/arc.html?key=1juyIQsnL_T8tqzfzAVVjPctB4eqiafTghnL_xhvkrjk&amp;gid=400689247&amp;screenname=ezzye" TargetMode="External"/><Relationship Id="rId1527" Type="http://schemas.openxmlformats.org/officeDocument/2006/relationships/hyperlink" Target="http://hawksey.info/tagsexplorer/arc.html?key=1juyIQsnL_T8tqzfzAVVjPctB4eqiafTghnL_xhvkrjk&amp;gid=400689247&amp;screenname=farfield79" TargetMode="External"/><Relationship Id="rId1528" Type="http://schemas.openxmlformats.org/officeDocument/2006/relationships/hyperlink" Target="http://hawksey.info/tagsexplorer/arc.html?key=1juyIQsnL_T8tqzfzAVVjPctB4eqiafTghnL_xhvkrjk&amp;gid=400689247&amp;screenname=farquar" TargetMode="External"/><Relationship Id="rId1529" Type="http://schemas.openxmlformats.org/officeDocument/2006/relationships/hyperlink" Target="http://hawksey.info/tagsexplorer/arc.html?key=1juyIQsnL_T8tqzfzAVVjPctB4eqiafTghnL_xhvkrjk&amp;gid=400689247&amp;screenname=fascinatorfun" TargetMode="External"/><Relationship Id="rId939" Type="http://schemas.openxmlformats.org/officeDocument/2006/relationships/hyperlink" Target="http://hawksey.info/tagsexplorer/arc.html?key=1juyIQsnL_T8tqzfzAVVjPctB4eqiafTghnL_xhvkrjk&amp;gid=400689247&amp;screenname=Philpaulbert" TargetMode="External"/><Relationship Id="rId938" Type="http://schemas.openxmlformats.org/officeDocument/2006/relationships/hyperlink" Target="http://hawksey.info/tagsexplorer/arc.html?key=1juyIQsnL_T8tqzfzAVVjPctB4eqiafTghnL_xhvkrjk&amp;gid=400689247&amp;screenname=PhilomenaColl11" TargetMode="External"/><Relationship Id="rId937" Type="http://schemas.openxmlformats.org/officeDocument/2006/relationships/hyperlink" Target="http://hawksey.info/tagsexplorer/arc.html?key=1juyIQsnL_T8tqzfzAVVjPctB4eqiafTghnL_xhvkrjk&amp;gid=400689247&amp;screenname=PhillipsBarrie" TargetMode="External"/><Relationship Id="rId932" Type="http://schemas.openxmlformats.org/officeDocument/2006/relationships/hyperlink" Target="http://hawksey.info/tagsexplorer/arc.html?key=1juyIQsnL_T8tqzfzAVVjPctB4eqiafTghnL_xhvkrjk&amp;gid=400689247&amp;screenname=Pgb266" TargetMode="External"/><Relationship Id="rId931" Type="http://schemas.openxmlformats.org/officeDocument/2006/relationships/hyperlink" Target="http://hawksey.info/tagsexplorer/arc.html?key=1juyIQsnL_T8tqzfzAVVjPctB4eqiafTghnL_xhvkrjk&amp;gid=400689247&amp;screenname=PettingerAndrew" TargetMode="External"/><Relationship Id="rId930" Type="http://schemas.openxmlformats.org/officeDocument/2006/relationships/hyperlink" Target="http://hawksey.info/tagsexplorer/arc.html?key=1juyIQsnL_T8tqzfzAVVjPctB4eqiafTghnL_xhvkrjk&amp;gid=400689247&amp;screenname=PeterWi19446290" TargetMode="External"/><Relationship Id="rId936" Type="http://schemas.openxmlformats.org/officeDocument/2006/relationships/hyperlink" Target="http://hawksey.info/tagsexplorer/arc.html?key=1juyIQsnL_T8tqzfzAVVjPctB4eqiafTghnL_xhvkrjk&amp;gid=400689247&amp;screenname=PhilipB27707256" TargetMode="External"/><Relationship Id="rId935" Type="http://schemas.openxmlformats.org/officeDocument/2006/relationships/hyperlink" Target="http://hawksey.info/tagsexplorer/arc.html?key=1juyIQsnL_T8tqzfzAVVjPctB4eqiafTghnL_xhvkrjk&amp;gid=400689247&amp;screenname=PhilMorandi" TargetMode="External"/><Relationship Id="rId934" Type="http://schemas.openxmlformats.org/officeDocument/2006/relationships/hyperlink" Target="http://hawksey.info/tagsexplorer/arc.html?key=1juyIQsnL_T8tqzfzAVVjPctB4eqiafTghnL_xhvkrjk&amp;gid=400689247&amp;screenname=PhilKimby" TargetMode="External"/><Relationship Id="rId933" Type="http://schemas.openxmlformats.org/officeDocument/2006/relationships/hyperlink" Target="http://hawksey.info/tagsexplorer/arc.html?key=1juyIQsnL_T8tqzfzAVVjPctB4eqiafTghnL_xhvkrjk&amp;gid=400689247&amp;screenname=PhilDuck" TargetMode="External"/><Relationship Id="rId1520" Type="http://schemas.openxmlformats.org/officeDocument/2006/relationships/hyperlink" Target="http://hawksey.info/tagsexplorer/arc.html?key=1juyIQsnL_T8tqzfzAVVjPctB4eqiafTghnL_xhvkrjk&amp;gid=400689247&amp;screenname=etkwebster" TargetMode="External"/><Relationship Id="rId1554" Type="http://schemas.openxmlformats.org/officeDocument/2006/relationships/hyperlink" Target="http://hawksey.info/tagsexplorer/arc.html?key=1juyIQsnL_T8tqzfzAVVjPctB4eqiafTghnL_xhvkrjk&amp;gid=400689247&amp;screenname=fullcirclefibre" TargetMode="External"/><Relationship Id="rId1555" Type="http://schemas.openxmlformats.org/officeDocument/2006/relationships/hyperlink" Target="http://hawksey.info/tagsexplorer/arc.html?key=1juyIQsnL_T8tqzfzAVVjPctB4eqiafTghnL_xhvkrjk&amp;gid=400689247&amp;screenname=fxstreetcn" TargetMode="External"/><Relationship Id="rId1556" Type="http://schemas.openxmlformats.org/officeDocument/2006/relationships/hyperlink" Target="http://hawksey.info/tagsexplorer/arc.html?key=1juyIQsnL_T8tqzfzAVVjPctB4eqiafTghnL_xhvkrjk&amp;gid=400689247&amp;screenname=fxstreetnewsid" TargetMode="External"/><Relationship Id="rId1557" Type="http://schemas.openxmlformats.org/officeDocument/2006/relationships/hyperlink" Target="http://hawksey.info/tagsexplorer/arc.html?key=1juyIQsnL_T8tqzfzAVVjPctB4eqiafTghnL_xhvkrjk&amp;gid=400689247&amp;screenname=fy_teigr" TargetMode="External"/><Relationship Id="rId1558" Type="http://schemas.openxmlformats.org/officeDocument/2006/relationships/hyperlink" Target="http://hawksey.info/tagsexplorer/arc.html?key=1juyIQsnL_T8tqzfzAVVjPctB4eqiafTghnL_xhvkrjk&amp;gid=400689247&amp;screenname=ga_richardson" TargetMode="External"/><Relationship Id="rId1559" Type="http://schemas.openxmlformats.org/officeDocument/2006/relationships/hyperlink" Target="http://hawksey.info/tagsexplorer/arc.html?key=1juyIQsnL_T8tqzfzAVVjPctB4eqiafTghnL_xhvkrjk&amp;gid=400689247&amp;screenname=gallop_gill" TargetMode="External"/><Relationship Id="rId965" Type="http://schemas.openxmlformats.org/officeDocument/2006/relationships/hyperlink" Target="http://hawksey.info/tagsexplorer/arc.html?key=1juyIQsnL_T8tqzfzAVVjPctB4eqiafTghnL_xhvkrjk&amp;gid=400689247&amp;screenname=RTomDavies1" TargetMode="External"/><Relationship Id="rId964" Type="http://schemas.openxmlformats.org/officeDocument/2006/relationships/hyperlink" Target="http://hawksey.info/tagsexplorer/arc.html?key=1juyIQsnL_T8tqzfzAVVjPctB4eqiafTghnL_xhvkrjk&amp;gid=400689247&amp;screenname=RTaylor_LibDem" TargetMode="External"/><Relationship Id="rId963" Type="http://schemas.openxmlformats.org/officeDocument/2006/relationships/hyperlink" Target="http://hawksey.info/tagsexplorer/arc.html?key=1juyIQsnL_T8tqzfzAVVjPctB4eqiafTghnL_xhvkrjk&amp;gid=400689247&amp;screenname=RSSneakyTweeter" TargetMode="External"/><Relationship Id="rId962" Type="http://schemas.openxmlformats.org/officeDocument/2006/relationships/hyperlink" Target="http://hawksey.info/tagsexplorer/arc.html?key=1juyIQsnL_T8tqzfzAVVjPctB4eqiafTghnL_xhvkrjk&amp;gid=400689247&amp;screenname=ROBMCCANN2" TargetMode="External"/><Relationship Id="rId969" Type="http://schemas.openxmlformats.org/officeDocument/2006/relationships/hyperlink" Target="http://hawksey.info/tagsexplorer/arc.html?key=1juyIQsnL_T8tqzfzAVVjPctB4eqiafTghnL_xhvkrjk&amp;gid=400689247&amp;screenname=Rainbow_July" TargetMode="External"/><Relationship Id="rId968" Type="http://schemas.openxmlformats.org/officeDocument/2006/relationships/hyperlink" Target="http://hawksey.info/tagsexplorer/arc.html?key=1juyIQsnL_T8tqzfzAVVjPctB4eqiafTghnL_xhvkrjk&amp;gid=400689247&amp;screenname=RadiateNappa" TargetMode="External"/><Relationship Id="rId967" Type="http://schemas.openxmlformats.org/officeDocument/2006/relationships/hyperlink" Target="http://hawksey.info/tagsexplorer/arc.html?key=1juyIQsnL_T8tqzfzAVVjPctB4eqiafTghnL_xhvkrjk&amp;gid=400689247&amp;screenname=Rachel_Borrill" TargetMode="External"/><Relationship Id="rId966" Type="http://schemas.openxmlformats.org/officeDocument/2006/relationships/hyperlink" Target="http://hawksey.info/tagsexplorer/arc.html?key=1juyIQsnL_T8tqzfzAVVjPctB4eqiafTghnL_xhvkrjk&amp;gid=400689247&amp;screenname=RabiaL121" TargetMode="External"/><Relationship Id="rId961" Type="http://schemas.openxmlformats.org/officeDocument/2006/relationships/hyperlink" Target="http://hawksey.info/tagsexplorer/arc.html?key=1juyIQsnL_T8tqzfzAVVjPctB4eqiafTghnL_xhvkrjk&amp;gid=400689247&amp;screenname=RJonathan59" TargetMode="External"/><Relationship Id="rId1550" Type="http://schemas.openxmlformats.org/officeDocument/2006/relationships/hyperlink" Target="http://hawksey.info/tagsexplorer/arc.html?key=1juyIQsnL_T8tqzfzAVVjPctB4eqiafTghnL_xhvkrjk&amp;gid=400689247&amp;screenname=freeWorld2" TargetMode="External"/><Relationship Id="rId960" Type="http://schemas.openxmlformats.org/officeDocument/2006/relationships/hyperlink" Target="http://hawksey.info/tagsexplorer/arc.html?key=1juyIQsnL_T8tqzfzAVVjPctB4eqiafTghnL_xhvkrjk&amp;gid=400689247&amp;screenname=RJFortescue" TargetMode="External"/><Relationship Id="rId1551" Type="http://schemas.openxmlformats.org/officeDocument/2006/relationships/hyperlink" Target="http://hawksey.info/tagsexplorer/arc.html?key=1juyIQsnL_T8tqzfzAVVjPctB4eqiafTghnL_xhvkrjk&amp;gid=400689247&amp;screenname=frenchieinlimbo" TargetMode="External"/><Relationship Id="rId1552" Type="http://schemas.openxmlformats.org/officeDocument/2006/relationships/hyperlink" Target="http://hawksey.info/tagsexplorer/arc.html?key=1juyIQsnL_T8tqzfzAVVjPctB4eqiafTghnL_xhvkrjk&amp;gid=400689247&amp;screenname=frog_bum" TargetMode="External"/><Relationship Id="rId1553" Type="http://schemas.openxmlformats.org/officeDocument/2006/relationships/hyperlink" Target="http://hawksey.info/tagsexplorer/arc.html?key=1juyIQsnL_T8tqzfzAVVjPctB4eqiafTghnL_xhvkrjk&amp;gid=400689247&amp;screenname=frostyinfinity" TargetMode="External"/><Relationship Id="rId1543" Type="http://schemas.openxmlformats.org/officeDocument/2006/relationships/hyperlink" Target="http://hawksey.info/tagsexplorer/arc.html?key=1juyIQsnL_T8tqzfzAVVjPctB4eqiafTghnL_xhvkrjk&amp;gid=400689247&amp;screenname=fluteuphisnose" TargetMode="External"/><Relationship Id="rId1544" Type="http://schemas.openxmlformats.org/officeDocument/2006/relationships/hyperlink" Target="http://hawksey.info/tagsexplorer/arc.html?key=1juyIQsnL_T8tqzfzAVVjPctB4eqiafTghnL_xhvkrjk&amp;gid=400689247&amp;screenname=fourstar1979" TargetMode="External"/><Relationship Id="rId1545" Type="http://schemas.openxmlformats.org/officeDocument/2006/relationships/hyperlink" Target="http://hawksey.info/tagsexplorer/arc.html?key=1juyIQsnL_T8tqzfzAVVjPctB4eqiafTghnL_xhvkrjk&amp;gid=400689247&amp;screenname=fozziebear74" TargetMode="External"/><Relationship Id="rId1546" Type="http://schemas.openxmlformats.org/officeDocument/2006/relationships/hyperlink" Target="http://hawksey.info/tagsexplorer/arc.html?key=1juyIQsnL_T8tqzfzAVVjPctB4eqiafTghnL_xhvkrjk&amp;gid=400689247&amp;screenname=fplchrisg100" TargetMode="External"/><Relationship Id="rId1547" Type="http://schemas.openxmlformats.org/officeDocument/2006/relationships/hyperlink" Target="http://hawksey.info/tagsexplorer/arc.html?key=1juyIQsnL_T8tqzfzAVVjPctB4eqiafTghnL_xhvkrjk&amp;gid=400689247&amp;screenname=francis_farrell" TargetMode="External"/><Relationship Id="rId1548" Type="http://schemas.openxmlformats.org/officeDocument/2006/relationships/hyperlink" Target="http://hawksey.info/tagsexplorer/arc.html?key=1juyIQsnL_T8tqzfzAVVjPctB4eqiafTghnL_xhvkrjk&amp;gid=400689247&amp;screenname=franjangle" TargetMode="External"/><Relationship Id="rId1549" Type="http://schemas.openxmlformats.org/officeDocument/2006/relationships/hyperlink" Target="http://hawksey.info/tagsexplorer/arc.html?key=1juyIQsnL_T8tqzfzAVVjPctB4eqiafTghnL_xhvkrjk&amp;gid=400689247&amp;screenname=fransglobal" TargetMode="External"/><Relationship Id="rId959" Type="http://schemas.openxmlformats.org/officeDocument/2006/relationships/hyperlink" Target="http://hawksey.info/tagsexplorer/arc.html?key=1juyIQsnL_T8tqzfzAVVjPctB4eqiafTghnL_xhvkrjk&amp;gid=400689247&amp;screenname=RD120" TargetMode="External"/><Relationship Id="rId954" Type="http://schemas.openxmlformats.org/officeDocument/2006/relationships/hyperlink" Target="http://hawksey.info/tagsexplorer/arc.html?key=1juyIQsnL_T8tqzfzAVVjPctB4eqiafTghnL_xhvkrjk&amp;gid=400689247&amp;screenname=Pru88057472" TargetMode="External"/><Relationship Id="rId953" Type="http://schemas.openxmlformats.org/officeDocument/2006/relationships/hyperlink" Target="http://hawksey.info/tagsexplorer/arc.html?key=1juyIQsnL_T8tqzfzAVVjPctB4eqiafTghnL_xhvkrjk&amp;gid=400689247&amp;screenname=PrimeFXltd" TargetMode="External"/><Relationship Id="rId952" Type="http://schemas.openxmlformats.org/officeDocument/2006/relationships/hyperlink" Target="http://hawksey.info/tagsexplorer/arc.html?key=1juyIQsnL_T8tqzfzAVVjPctB4eqiafTghnL_xhvkrjk&amp;gid=400689247&amp;screenname=PowerWithin0706" TargetMode="External"/><Relationship Id="rId951" Type="http://schemas.openxmlformats.org/officeDocument/2006/relationships/hyperlink" Target="http://hawksey.info/tagsexplorer/arc.html?key=1juyIQsnL_T8tqzfzAVVjPctB4eqiafTghnL_xhvkrjk&amp;gid=400689247&amp;screenname=PostgateJRD" TargetMode="External"/><Relationship Id="rId958" Type="http://schemas.openxmlformats.org/officeDocument/2006/relationships/hyperlink" Target="http://hawksey.info/tagsexplorer/arc.html?key=1juyIQsnL_T8tqzfzAVVjPctB4eqiafTghnL_xhvkrjk&amp;gid=400689247&amp;screenname=RAMJAC3" TargetMode="External"/><Relationship Id="rId957" Type="http://schemas.openxmlformats.org/officeDocument/2006/relationships/hyperlink" Target="http://hawksey.info/tagsexplorer/arc.html?key=1juyIQsnL_T8tqzfzAVVjPctB4eqiafTghnL_xhvkrjk&amp;gid=400689247&amp;screenname=QuinlanQuinlan" TargetMode="External"/><Relationship Id="rId956" Type="http://schemas.openxmlformats.org/officeDocument/2006/relationships/hyperlink" Target="http://hawksey.info/tagsexplorer/arc.html?key=1juyIQsnL_T8tqzfzAVVjPctB4eqiafTghnL_xhvkrjk&amp;gid=400689247&amp;screenname=Quemerford" TargetMode="External"/><Relationship Id="rId955" Type="http://schemas.openxmlformats.org/officeDocument/2006/relationships/hyperlink" Target="http://hawksey.info/tagsexplorer/arc.html?key=1juyIQsnL_T8tqzfzAVVjPctB4eqiafTghnL_xhvkrjk&amp;gid=400689247&amp;screenname=Qu1ny" TargetMode="External"/><Relationship Id="rId950" Type="http://schemas.openxmlformats.org/officeDocument/2006/relationships/hyperlink" Target="http://hawksey.info/tagsexplorer/arc.html?key=1juyIQsnL_T8tqzfzAVVjPctB4eqiafTghnL_xhvkrjk&amp;gid=400689247&amp;screenname=Poorinthepocket" TargetMode="External"/><Relationship Id="rId1540" Type="http://schemas.openxmlformats.org/officeDocument/2006/relationships/hyperlink" Target="http://hawksey.info/tagsexplorer/arc.html?key=1juyIQsnL_T8tqzfzAVVjPctB4eqiafTghnL_xhvkrjk&amp;gid=400689247&amp;screenname=fitzjimi" TargetMode="External"/><Relationship Id="rId1541" Type="http://schemas.openxmlformats.org/officeDocument/2006/relationships/hyperlink" Target="http://hawksey.info/tagsexplorer/arc.html?key=1juyIQsnL_T8tqzfzAVVjPctB4eqiafTghnL_xhvkrjk&amp;gid=400689247&amp;screenname=floater1985" TargetMode="External"/><Relationship Id="rId1542" Type="http://schemas.openxmlformats.org/officeDocument/2006/relationships/hyperlink" Target="http://hawksey.info/tagsexplorer/arc.html?key=1juyIQsnL_T8tqzfzAVVjPctB4eqiafTghnL_xhvkrjk&amp;gid=400689247&amp;screenname=flora_heather" TargetMode="External"/><Relationship Id="rId2027" Type="http://schemas.openxmlformats.org/officeDocument/2006/relationships/hyperlink" Target="http://hawksey.info/tagsexplorer/arc.html?key=1juyIQsnL_T8tqzfzAVVjPctB4eqiafTghnL_xhvkrjk&amp;gid=400689247&amp;screenname=saltyliquorice" TargetMode="External"/><Relationship Id="rId2028" Type="http://schemas.openxmlformats.org/officeDocument/2006/relationships/hyperlink" Target="http://hawksey.info/tagsexplorer/arc.html?key=1juyIQsnL_T8tqzfzAVVjPctB4eqiafTghnL_xhvkrjk&amp;gid=400689247&amp;screenname=sammwittings" TargetMode="External"/><Relationship Id="rId2029" Type="http://schemas.openxmlformats.org/officeDocument/2006/relationships/hyperlink" Target="http://hawksey.info/tagsexplorer/arc.html?key=1juyIQsnL_T8tqzfzAVVjPctB4eqiafTghnL_xhvkrjk&amp;gid=400689247&amp;screenname=samuelbhfaure" TargetMode="External"/><Relationship Id="rId107" Type="http://schemas.openxmlformats.org/officeDocument/2006/relationships/hyperlink" Target="http://hawksey.info/tagsexplorer/arc.html?key=1juyIQsnL_T8tqzfzAVVjPctB4eqiafTghnL_xhvkrjk&amp;gid=400689247&amp;screenname=AudreyCowling" TargetMode="External"/><Relationship Id="rId106" Type="http://schemas.openxmlformats.org/officeDocument/2006/relationships/hyperlink" Target="http://hawksey.info/tagsexplorer/arc.html?key=1juyIQsnL_T8tqzfzAVVjPctB4eqiafTghnL_xhvkrjk&amp;gid=400689247&amp;screenname=AuSeEc2" TargetMode="External"/><Relationship Id="rId105" Type="http://schemas.openxmlformats.org/officeDocument/2006/relationships/hyperlink" Target="http://hawksey.info/tagsexplorer/arc.html?key=1juyIQsnL_T8tqzfzAVVjPctB4eqiafTghnL_xhvkrjk&amp;gid=400689247&amp;screenname=Athelwulf_wulf" TargetMode="External"/><Relationship Id="rId104" Type="http://schemas.openxmlformats.org/officeDocument/2006/relationships/hyperlink" Target="http://hawksey.info/tagsexplorer/arc.html?key=1juyIQsnL_T8tqzfzAVVjPctB4eqiafTghnL_xhvkrjk&amp;gid=400689247&amp;screenname=AscendinPenguin" TargetMode="External"/><Relationship Id="rId109" Type="http://schemas.openxmlformats.org/officeDocument/2006/relationships/hyperlink" Target="http://hawksey.info/tagsexplorer/arc.html?key=1juyIQsnL_T8tqzfzAVVjPctB4eqiafTghnL_xhvkrjk&amp;gid=400689247&amp;screenname=AylingMiriam" TargetMode="External"/><Relationship Id="rId108" Type="http://schemas.openxmlformats.org/officeDocument/2006/relationships/hyperlink" Target="http://hawksey.info/tagsexplorer/arc.html?key=1juyIQsnL_T8tqzfzAVVjPctB4eqiafTghnL_xhvkrjk&amp;gid=400689247&amp;screenname=AudreyParmtier" TargetMode="External"/><Relationship Id="rId2020" Type="http://schemas.openxmlformats.org/officeDocument/2006/relationships/hyperlink" Target="http://hawksey.info/tagsexplorer/arc.html?key=1juyIQsnL_T8tqzfzAVVjPctB4eqiafTghnL_xhvkrjk&amp;gid=400689247&amp;screenname=rudadu57" TargetMode="External"/><Relationship Id="rId2021" Type="http://schemas.openxmlformats.org/officeDocument/2006/relationships/hyperlink" Target="http://hawksey.info/tagsexplorer/arc.html?key=1juyIQsnL_T8tqzfzAVVjPctB4eqiafTghnL_xhvkrjk&amp;gid=400689247&amp;screenname=ruth_humble" TargetMode="External"/><Relationship Id="rId2022" Type="http://schemas.openxmlformats.org/officeDocument/2006/relationships/hyperlink" Target="http://hawksey.info/tagsexplorer/arc.html?key=1juyIQsnL_T8tqzfzAVVjPctB4eqiafTghnL_xhvkrjk&amp;gid=400689247&amp;screenname=ryanjean77" TargetMode="External"/><Relationship Id="rId103" Type="http://schemas.openxmlformats.org/officeDocument/2006/relationships/hyperlink" Target="http://hawksey.info/tagsexplorer/arc.html?key=1juyIQsnL_T8tqzfzAVVjPctB4eqiafTghnL_xhvkrjk&amp;gid=400689247&amp;screenname=ArtsCombined" TargetMode="External"/><Relationship Id="rId2023" Type="http://schemas.openxmlformats.org/officeDocument/2006/relationships/hyperlink" Target="http://hawksey.info/tagsexplorer/arc.html?key=1juyIQsnL_T8tqzfzAVVjPctB4eqiafTghnL_xhvkrjk&amp;gid=400689247&amp;screenname=salima_yenbou" TargetMode="External"/><Relationship Id="rId102" Type="http://schemas.openxmlformats.org/officeDocument/2006/relationships/hyperlink" Target="http://hawksey.info/tagsexplorer/arc.html?key=1juyIQsnL_T8tqzfzAVVjPctB4eqiafTghnL_xhvkrjk&amp;gid=400689247&amp;screenname=ArthurC63013634" TargetMode="External"/><Relationship Id="rId2024" Type="http://schemas.openxmlformats.org/officeDocument/2006/relationships/hyperlink" Target="http://hawksey.info/tagsexplorer/arc.html?key=1juyIQsnL_T8tqzfzAVVjPctB4eqiafTghnL_xhvkrjk&amp;gid=400689247&amp;screenname=sally_steel_" TargetMode="External"/><Relationship Id="rId101" Type="http://schemas.openxmlformats.org/officeDocument/2006/relationships/hyperlink" Target="http://hawksey.info/tagsexplorer/arc.html?key=1juyIQsnL_T8tqzfzAVVjPctB4eqiafTghnL_xhvkrjk&amp;gid=400689247&amp;screenname=ArtBear1000" TargetMode="External"/><Relationship Id="rId2025" Type="http://schemas.openxmlformats.org/officeDocument/2006/relationships/hyperlink" Target="http://hawksey.info/tagsexplorer/arc.html?key=1juyIQsnL_T8tqzfzAVVjPctB4eqiafTghnL_xhvkrjk&amp;gid=400689247&amp;screenname=sallyhoughton20" TargetMode="External"/><Relationship Id="rId100" Type="http://schemas.openxmlformats.org/officeDocument/2006/relationships/hyperlink" Target="http://hawksey.info/tagsexplorer/arc.html?key=1juyIQsnL_T8tqzfzAVVjPctB4eqiafTghnL_xhvkrjk&amp;gid=400689247&amp;screenname=ArsilvanaLis" TargetMode="External"/><Relationship Id="rId2026" Type="http://schemas.openxmlformats.org/officeDocument/2006/relationships/hyperlink" Target="http://hawksey.info/tagsexplorer/arc.html?key=1juyIQsnL_T8tqzfzAVVjPctB4eqiafTghnL_xhvkrjk&amp;gid=400689247&amp;screenname=salmehta" TargetMode="External"/><Relationship Id="rId2016" Type="http://schemas.openxmlformats.org/officeDocument/2006/relationships/hyperlink" Target="http://hawksey.info/tagsexplorer/arc.html?key=1juyIQsnL_T8tqzfzAVVjPctB4eqiafTghnL_xhvkrjk&amp;gid=400689247&amp;screenname=rosepoet" TargetMode="External"/><Relationship Id="rId2017" Type="http://schemas.openxmlformats.org/officeDocument/2006/relationships/hyperlink" Target="http://hawksey.info/tagsexplorer/arc.html?key=1juyIQsnL_T8tqzfzAVVjPctB4eqiafTghnL_xhvkrjk&amp;gid=400689247&amp;screenname=rowanscott" TargetMode="External"/><Relationship Id="rId2018" Type="http://schemas.openxmlformats.org/officeDocument/2006/relationships/hyperlink" Target="http://hawksey.info/tagsexplorer/arc.html?key=1juyIQsnL_T8tqzfzAVVjPctB4eqiafTghnL_xhvkrjk&amp;gid=400689247&amp;screenname=roygrubb" TargetMode="External"/><Relationship Id="rId2019" Type="http://schemas.openxmlformats.org/officeDocument/2006/relationships/hyperlink" Target="http://hawksey.info/tagsexplorer/arc.html?key=1juyIQsnL_T8tqzfzAVVjPctB4eqiafTghnL_xhvkrjk&amp;gid=400689247&amp;screenname=rubyshoes18" TargetMode="External"/><Relationship Id="rId2010" Type="http://schemas.openxmlformats.org/officeDocument/2006/relationships/hyperlink" Target="http://hawksey.info/tagsexplorer/arc.html?key=1juyIQsnL_T8tqzfzAVVjPctB4eqiafTghnL_xhvkrjk&amp;gid=400689247&amp;screenname=roger_hash" TargetMode="External"/><Relationship Id="rId2011" Type="http://schemas.openxmlformats.org/officeDocument/2006/relationships/hyperlink" Target="http://hawksey.info/tagsexplorer/arc.html?key=1juyIQsnL_T8tqzfzAVVjPctB4eqiafTghnL_xhvkrjk&amp;gid=400689247&amp;screenname=roger_heywood" TargetMode="External"/><Relationship Id="rId2012" Type="http://schemas.openxmlformats.org/officeDocument/2006/relationships/hyperlink" Target="http://hawksey.info/tagsexplorer/arc.html?key=1juyIQsnL_T8tqzfzAVVjPctB4eqiafTghnL_xhvkrjk&amp;gid=400689247&amp;screenname=rolandbullivant" TargetMode="External"/><Relationship Id="rId2013" Type="http://schemas.openxmlformats.org/officeDocument/2006/relationships/hyperlink" Target="http://hawksey.info/tagsexplorer/arc.html?key=1juyIQsnL_T8tqzfzAVVjPctB4eqiafTghnL_xhvkrjk&amp;gid=400689247&amp;screenname=ronbuch" TargetMode="External"/><Relationship Id="rId2014" Type="http://schemas.openxmlformats.org/officeDocument/2006/relationships/hyperlink" Target="http://hawksey.info/tagsexplorer/arc.html?key=1juyIQsnL_T8tqzfzAVVjPctB4eqiafTghnL_xhvkrjk&amp;gid=400689247&amp;screenname=rooftopdennis" TargetMode="External"/><Relationship Id="rId2015" Type="http://schemas.openxmlformats.org/officeDocument/2006/relationships/hyperlink" Target="http://hawksey.info/tagsexplorer/arc.html?key=1juyIQsnL_T8tqzfzAVVjPctB4eqiafTghnL_xhvkrjk&amp;gid=400689247&amp;screenname=rosalynemf" TargetMode="External"/><Relationship Id="rId2049" Type="http://schemas.openxmlformats.org/officeDocument/2006/relationships/hyperlink" Target="http://hawksey.info/tagsexplorer/arc.html?key=1juyIQsnL_T8tqzfzAVVjPctB4eqiafTghnL_xhvkrjk&amp;gid=400689247&amp;screenname=semajmrx" TargetMode="External"/><Relationship Id="rId129" Type="http://schemas.openxmlformats.org/officeDocument/2006/relationships/hyperlink" Target="http://hawksey.info/tagsexplorer/arc.html?key=1juyIQsnL_T8tqzfzAVVjPctB4eqiafTghnL_xhvkrjk&amp;gid=400689247&amp;screenname=BastionBucks" TargetMode="External"/><Relationship Id="rId128" Type="http://schemas.openxmlformats.org/officeDocument/2006/relationships/hyperlink" Target="http://hawksey.info/tagsexplorer/arc.html?key=1juyIQsnL_T8tqzfzAVVjPctB4eqiafTghnL_xhvkrjk&amp;gid=400689247&amp;screenname=Bassaces1" TargetMode="External"/><Relationship Id="rId127" Type="http://schemas.openxmlformats.org/officeDocument/2006/relationships/hyperlink" Target="http://hawksey.info/tagsexplorer/arc.html?key=1juyIQsnL_T8tqzfzAVVjPctB4eqiafTghnL_xhvkrjk&amp;gid=400689247&amp;screenname=BarondeBrock" TargetMode="External"/><Relationship Id="rId126" Type="http://schemas.openxmlformats.org/officeDocument/2006/relationships/hyperlink" Target="http://hawksey.info/tagsexplorer/arc.html?key=1juyIQsnL_T8tqzfzAVVjPctB4eqiafTghnL_xhvkrjk&amp;gid=400689247&amp;screenname=BarnAnt14" TargetMode="External"/><Relationship Id="rId2040" Type="http://schemas.openxmlformats.org/officeDocument/2006/relationships/hyperlink" Target="http://hawksey.info/tagsexplorer/arc.html?key=1juyIQsnL_T8tqzfzAVVjPctB4eqiafTghnL_xhvkrjk&amp;gid=400689247&amp;screenname=sball11" TargetMode="External"/><Relationship Id="rId121" Type="http://schemas.openxmlformats.org/officeDocument/2006/relationships/hyperlink" Target="http://hawksey.info/tagsexplorer/arc.html?key=1juyIQsnL_T8tqzfzAVVjPctB4eqiafTghnL_xhvkrjk&amp;gid=400689247&amp;screenname=BanditoSjp" TargetMode="External"/><Relationship Id="rId2041" Type="http://schemas.openxmlformats.org/officeDocument/2006/relationships/hyperlink" Target="http://hawksey.info/tagsexplorer/arc.html?key=1juyIQsnL_T8tqzfzAVVjPctB4eqiafTghnL_xhvkrjk&amp;gid=400689247&amp;screenname=sbh214" TargetMode="External"/><Relationship Id="rId120" Type="http://schemas.openxmlformats.org/officeDocument/2006/relationships/hyperlink" Target="http://hawksey.info/tagsexplorer/arc.html?key=1juyIQsnL_T8tqzfzAVVjPctB4eqiafTghnL_xhvkrjk&amp;gid=400689247&amp;screenname=BameFor" TargetMode="External"/><Relationship Id="rId2042" Type="http://schemas.openxmlformats.org/officeDocument/2006/relationships/hyperlink" Target="http://hawksey.info/tagsexplorer/arc.html?key=1juyIQsnL_T8tqzfzAVVjPctB4eqiafTghnL_xhvkrjk&amp;gid=400689247&amp;screenname=sccpen" TargetMode="External"/><Relationship Id="rId2043" Type="http://schemas.openxmlformats.org/officeDocument/2006/relationships/hyperlink" Target="http://hawksey.info/tagsexplorer/arc.html?key=1juyIQsnL_T8tqzfzAVVjPctB4eqiafTghnL_xhvkrjk&amp;gid=400689247&amp;screenname=schulzee3" TargetMode="External"/><Relationship Id="rId2044" Type="http://schemas.openxmlformats.org/officeDocument/2006/relationships/hyperlink" Target="http://hawksey.info/tagsexplorer/arc.html?key=1juyIQsnL_T8tqzfzAVVjPctB4eqiafTghnL_xhvkrjk&amp;gid=400689247&amp;screenname=scienceorgod" TargetMode="External"/><Relationship Id="rId125" Type="http://schemas.openxmlformats.org/officeDocument/2006/relationships/hyperlink" Target="http://hawksey.info/tagsexplorer/arc.html?key=1juyIQsnL_T8tqzfzAVVjPctB4eqiafTghnL_xhvkrjk&amp;gid=400689247&amp;screenname=BarkerLeadershp" TargetMode="External"/><Relationship Id="rId2045" Type="http://schemas.openxmlformats.org/officeDocument/2006/relationships/hyperlink" Target="http://hawksey.info/tagsexplorer/arc.html?key=1juyIQsnL_T8tqzfzAVVjPctB4eqiafTghnL_xhvkrjk&amp;gid=400689247&amp;screenname=scook2003" TargetMode="External"/><Relationship Id="rId124" Type="http://schemas.openxmlformats.org/officeDocument/2006/relationships/hyperlink" Target="http://hawksey.info/tagsexplorer/arc.html?key=1juyIQsnL_T8tqzfzAVVjPctB4eqiafTghnL_xhvkrjk&amp;gid=400689247&amp;screenname=BarbarasShears" TargetMode="External"/><Relationship Id="rId2046" Type="http://schemas.openxmlformats.org/officeDocument/2006/relationships/hyperlink" Target="http://hawksey.info/tagsexplorer/arc.html?key=1juyIQsnL_T8tqzfzAVVjPctB4eqiafTghnL_xhvkrjk&amp;gid=400689247&amp;screenname=scotlandbest" TargetMode="External"/><Relationship Id="rId123" Type="http://schemas.openxmlformats.org/officeDocument/2006/relationships/hyperlink" Target="http://hawksey.info/tagsexplorer/arc.html?key=1juyIQsnL_T8tqzfzAVVjPctB4eqiafTghnL_xhvkrjk&amp;gid=400689247&amp;screenname=BarbaraHunter07" TargetMode="External"/><Relationship Id="rId2047" Type="http://schemas.openxmlformats.org/officeDocument/2006/relationships/hyperlink" Target="http://hawksey.info/tagsexplorer/arc.html?key=1juyIQsnL_T8tqzfzAVVjPctB4eqiafTghnL_xhvkrjk&amp;gid=400689247&amp;screenname=scott_and_ball" TargetMode="External"/><Relationship Id="rId122" Type="http://schemas.openxmlformats.org/officeDocument/2006/relationships/hyperlink" Target="http://hawksey.info/tagsexplorer/arc.html?key=1juyIQsnL_T8tqzfzAVVjPctB4eqiafTghnL_xhvkrjk&amp;gid=400689247&amp;screenname=BapaArts" TargetMode="External"/><Relationship Id="rId2048" Type="http://schemas.openxmlformats.org/officeDocument/2006/relationships/hyperlink" Target="http://hawksey.info/tagsexplorer/arc.html?key=1juyIQsnL_T8tqzfzAVVjPctB4eqiafTghnL_xhvkrjk&amp;gid=400689247&amp;screenname=scottklogie1" TargetMode="External"/><Relationship Id="rId2038" Type="http://schemas.openxmlformats.org/officeDocument/2006/relationships/hyperlink" Target="http://hawksey.info/tagsexplorer/arc.html?key=1juyIQsnL_T8tqzfzAVVjPctB4eqiafTghnL_xhvkrjk&amp;gid=400689247&amp;screenname=sarahtturvey" TargetMode="External"/><Relationship Id="rId2039" Type="http://schemas.openxmlformats.org/officeDocument/2006/relationships/hyperlink" Target="http://hawksey.info/tagsexplorer/arc.html?key=1juyIQsnL_T8tqzfzAVVjPctB4eqiafTghnL_xhvkrjk&amp;gid=400689247&amp;screenname=saveyokohama" TargetMode="External"/><Relationship Id="rId118" Type="http://schemas.openxmlformats.org/officeDocument/2006/relationships/hyperlink" Target="http://hawksey.info/tagsexplorer/arc.html?key=1juyIQsnL_T8tqzfzAVVjPctB4eqiafTghnL_xhvkrjk&amp;gid=400689247&amp;screenname=BaioniNazzareno" TargetMode="External"/><Relationship Id="rId117" Type="http://schemas.openxmlformats.org/officeDocument/2006/relationships/hyperlink" Target="http://hawksey.info/tagsexplorer/arc.html?key=1juyIQsnL_T8tqzfzAVVjPctB4eqiafTghnL_xhvkrjk&amp;gid=400689247&amp;screenname=BadawiLeila" TargetMode="External"/><Relationship Id="rId116" Type="http://schemas.openxmlformats.org/officeDocument/2006/relationships/hyperlink" Target="http://hawksey.info/tagsexplorer/arc.html?key=1juyIQsnL_T8tqzfzAVVjPctB4eqiafTghnL_xhvkrjk&amp;gid=400689247&amp;screenname=BPelluet" TargetMode="External"/><Relationship Id="rId115" Type="http://schemas.openxmlformats.org/officeDocument/2006/relationships/hyperlink" Target="http://hawksey.info/tagsexplorer/arc.html?key=1juyIQsnL_T8tqzfzAVVjPctB4eqiafTghnL_xhvkrjk&amp;gid=400689247&amp;screenname=BJ_Gardener" TargetMode="External"/><Relationship Id="rId119" Type="http://schemas.openxmlformats.org/officeDocument/2006/relationships/hyperlink" Target="http://hawksey.info/tagsexplorer/arc.html?key=1juyIQsnL_T8tqzfzAVVjPctB4eqiafTghnL_xhvkrjk&amp;gid=400689247&amp;screenname=BakerMcGER" TargetMode="External"/><Relationship Id="rId110" Type="http://schemas.openxmlformats.org/officeDocument/2006/relationships/hyperlink" Target="http://hawksey.info/tagsexplorer/arc.html?key=1juyIQsnL_T8tqzfzAVVjPctB4eqiafTghnL_xhvkrjk&amp;gid=400689247&amp;screenname=B123Bradley" TargetMode="External"/><Relationship Id="rId2030" Type="http://schemas.openxmlformats.org/officeDocument/2006/relationships/hyperlink" Target="http://hawksey.info/tagsexplorer/arc.html?key=1juyIQsnL_T8tqzfzAVVjPctB4eqiafTghnL_xhvkrjk&amp;gid=400689247&amp;screenname=sandra4646" TargetMode="External"/><Relationship Id="rId2031" Type="http://schemas.openxmlformats.org/officeDocument/2006/relationships/hyperlink" Target="http://hawksey.info/tagsexplorer/arc.html?key=1juyIQsnL_T8tqzfzAVVjPctB4eqiafTghnL_xhvkrjk&amp;gid=400689247&amp;screenname=sarah324109" TargetMode="External"/><Relationship Id="rId2032" Type="http://schemas.openxmlformats.org/officeDocument/2006/relationships/hyperlink" Target="http://hawksey.info/tagsexplorer/arc.html?key=1juyIQsnL_T8tqzfzAVVjPctB4eqiafTghnL_xhvkrjk&amp;gid=400689247&amp;screenname=sarahcraig52" TargetMode="External"/><Relationship Id="rId2033" Type="http://schemas.openxmlformats.org/officeDocument/2006/relationships/hyperlink" Target="http://hawksey.info/tagsexplorer/arc.html?key=1juyIQsnL_T8tqzfzAVVjPctB4eqiafTghnL_xhvkrjk&amp;gid=400689247&amp;screenname=sarahflyme" TargetMode="External"/><Relationship Id="rId114" Type="http://schemas.openxmlformats.org/officeDocument/2006/relationships/hyperlink" Target="http://hawksey.info/tagsexplorer/arc.html?key=1juyIQsnL_T8tqzfzAVVjPctB4eqiafTghnL_xhvkrjk&amp;gid=400689247&amp;screenname=BHaigh1" TargetMode="External"/><Relationship Id="rId2034" Type="http://schemas.openxmlformats.org/officeDocument/2006/relationships/hyperlink" Target="http://hawksey.info/tagsexplorer/arc.html?key=1juyIQsnL_T8tqzfzAVVjPctB4eqiafTghnL_xhvkrjk&amp;gid=400689247&amp;screenname=sarahgollin" TargetMode="External"/><Relationship Id="rId113" Type="http://schemas.openxmlformats.org/officeDocument/2006/relationships/hyperlink" Target="http://hawksey.info/tagsexplorer/arc.html?key=1juyIQsnL_T8tqzfzAVVjPctB4eqiafTghnL_xhvkrjk&amp;gid=400689247&amp;screenname=BFinham" TargetMode="External"/><Relationship Id="rId2035" Type="http://schemas.openxmlformats.org/officeDocument/2006/relationships/hyperlink" Target="http://hawksey.info/tagsexplorer/arc.html?key=1juyIQsnL_T8tqzfzAVVjPctB4eqiafTghnL_xhvkrjk&amp;gid=400689247&amp;screenname=sarahhw65" TargetMode="External"/><Relationship Id="rId112" Type="http://schemas.openxmlformats.org/officeDocument/2006/relationships/hyperlink" Target="http://hawksey.info/tagsexplorer/arc.html?key=1juyIQsnL_T8tqzfzAVVjPctB4eqiafTghnL_xhvkrjk&amp;gid=400689247&amp;screenname=BFforthewin" TargetMode="External"/><Relationship Id="rId2036" Type="http://schemas.openxmlformats.org/officeDocument/2006/relationships/hyperlink" Target="http://hawksey.info/tagsexplorer/arc.html?key=1juyIQsnL_T8tqzfzAVVjPctB4eqiafTghnL_xhvkrjk&amp;gid=400689247&amp;screenname=sarahkcoleman" TargetMode="External"/><Relationship Id="rId111" Type="http://schemas.openxmlformats.org/officeDocument/2006/relationships/hyperlink" Target="http://hawksey.info/tagsexplorer/arc.html?key=1juyIQsnL_T8tqzfzAVVjPctB4eqiafTghnL_xhvkrjk&amp;gid=400689247&amp;screenname=BCFCMalky" TargetMode="External"/><Relationship Id="rId2037" Type="http://schemas.openxmlformats.org/officeDocument/2006/relationships/hyperlink" Target="http://hawksey.info/tagsexplorer/arc.html?key=1juyIQsnL_T8tqzfzAVVjPctB4eqiafTghnL_xhvkrjk&amp;gid=400689247&amp;screenname=sarahma50398302" TargetMode="External"/><Relationship Id="rId2005" Type="http://schemas.openxmlformats.org/officeDocument/2006/relationships/hyperlink" Target="http://hawksey.info/tagsexplorer/arc.html?key=1juyIQsnL_T8tqzfzAVVjPctB4eqiafTghnL_xhvkrjk&amp;gid=400689247&amp;screenname=robertsproggit" TargetMode="External"/><Relationship Id="rId2006" Type="http://schemas.openxmlformats.org/officeDocument/2006/relationships/hyperlink" Target="http://hawksey.info/tagsexplorer/arc.html?key=1juyIQsnL_T8tqzfzAVVjPctB4eqiafTghnL_xhvkrjk&amp;gid=400689247&amp;screenname=robittybobnob" TargetMode="External"/><Relationship Id="rId2007" Type="http://schemas.openxmlformats.org/officeDocument/2006/relationships/hyperlink" Target="http://hawksey.info/tagsexplorer/arc.html?key=1juyIQsnL_T8tqzfzAVVjPctB4eqiafTghnL_xhvkrjk&amp;gid=400689247&amp;screenname=roblwilson" TargetMode="External"/><Relationship Id="rId2008" Type="http://schemas.openxmlformats.org/officeDocument/2006/relationships/hyperlink" Target="http://hawksey.info/tagsexplorer/arc.html?key=1juyIQsnL_T8tqzfzAVVjPctB4eqiafTghnL_xhvkrjk&amp;gid=400689247&amp;screenname=rockymaporak" TargetMode="External"/><Relationship Id="rId2009" Type="http://schemas.openxmlformats.org/officeDocument/2006/relationships/hyperlink" Target="http://hawksey.info/tagsexplorer/arc.html?key=1juyIQsnL_T8tqzfzAVVjPctB4eqiafTghnL_xhvkrjk&amp;gid=400689247&amp;screenname=rogerBrumUK" TargetMode="External"/><Relationship Id="rId2000" Type="http://schemas.openxmlformats.org/officeDocument/2006/relationships/hyperlink" Target="http://hawksey.info/tagsexplorer/arc.html?key=1juyIQsnL_T8tqzfzAVVjPctB4eqiafTghnL_xhvkrjk&amp;gid=400689247&amp;screenname=rins2pworth" TargetMode="External"/><Relationship Id="rId2001" Type="http://schemas.openxmlformats.org/officeDocument/2006/relationships/hyperlink" Target="http://hawksey.info/tagsexplorer/arc.html?key=1juyIQsnL_T8tqzfzAVVjPctB4eqiafTghnL_xhvkrjk&amp;gid=400689247&amp;screenname=rittster" TargetMode="External"/><Relationship Id="rId2002" Type="http://schemas.openxmlformats.org/officeDocument/2006/relationships/hyperlink" Target="http://hawksey.info/tagsexplorer/arc.html?key=1juyIQsnL_T8tqzfzAVVjPctB4eqiafTghnL_xhvkrjk&amp;gid=400689247&amp;screenname=roach_jeffrey" TargetMode="External"/><Relationship Id="rId2003" Type="http://schemas.openxmlformats.org/officeDocument/2006/relationships/hyperlink" Target="http://hawksey.info/tagsexplorer/arc.html?key=1juyIQsnL_T8tqzfzAVVjPctB4eqiafTghnL_xhvkrjk&amp;gid=400689247&amp;screenname=robeagleSS" TargetMode="External"/><Relationship Id="rId2004" Type="http://schemas.openxmlformats.org/officeDocument/2006/relationships/hyperlink" Target="http://hawksey.info/tagsexplorer/arc.html?key=1juyIQsnL_T8tqzfzAVVjPctB4eqiafTghnL_xhvkrjk&amp;gid=400689247&amp;screenname=robert0461" TargetMode="External"/><Relationship Id="rId2090" Type="http://schemas.openxmlformats.org/officeDocument/2006/relationships/hyperlink" Target="http://hawksey.info/tagsexplorer/arc.html?key=1juyIQsnL_T8tqzfzAVVjPctB4eqiafTghnL_xhvkrjk&amp;gid=400689247&amp;screenname=stevescullion" TargetMode="External"/><Relationship Id="rId2091" Type="http://schemas.openxmlformats.org/officeDocument/2006/relationships/hyperlink" Target="http://hawksey.info/tagsexplorer/arc.html?key=1juyIQsnL_T8tqzfzAVVjPctB4eqiafTghnL_xhvkrjk&amp;gid=400689247&amp;screenname=steviemcbride" TargetMode="External"/><Relationship Id="rId2092" Type="http://schemas.openxmlformats.org/officeDocument/2006/relationships/hyperlink" Target="http://hawksey.info/tagsexplorer/arc.html?key=1juyIQsnL_T8tqzfzAVVjPctB4eqiafTghnL_xhvkrjk&amp;gid=400689247&amp;screenname=stevieone3" TargetMode="External"/><Relationship Id="rId2093" Type="http://schemas.openxmlformats.org/officeDocument/2006/relationships/hyperlink" Target="http://hawksey.info/tagsexplorer/arc.html?key=1juyIQsnL_T8tqzfzAVVjPctB4eqiafTghnL_xhvkrjk&amp;gid=400689247&amp;screenname=stitwit" TargetMode="External"/><Relationship Id="rId2094" Type="http://schemas.openxmlformats.org/officeDocument/2006/relationships/hyperlink" Target="http://hawksey.info/tagsexplorer/arc.html?key=1juyIQsnL_T8tqzfzAVVjPctB4eqiafTghnL_xhvkrjk&amp;gid=400689247&amp;screenname=stoner1968" TargetMode="External"/><Relationship Id="rId2095" Type="http://schemas.openxmlformats.org/officeDocument/2006/relationships/hyperlink" Target="http://hawksey.info/tagsexplorer/arc.html?key=1juyIQsnL_T8tqzfzAVVjPctB4eqiafTghnL_xhvkrjk&amp;gid=400689247&amp;screenname=strange_al" TargetMode="External"/><Relationship Id="rId2096" Type="http://schemas.openxmlformats.org/officeDocument/2006/relationships/hyperlink" Target="http://hawksey.info/tagsexplorer/arc.html?key=1juyIQsnL_T8tqzfzAVVjPctB4eqiafTghnL_xhvkrjk&amp;gid=400689247&amp;screenname=stroppypanda" TargetMode="External"/><Relationship Id="rId2097" Type="http://schemas.openxmlformats.org/officeDocument/2006/relationships/hyperlink" Target="http://hawksey.info/tagsexplorer/arc.html?key=1juyIQsnL_T8tqzfzAVVjPctB4eqiafTghnL_xhvkrjk&amp;gid=400689247&amp;screenname=strupy" TargetMode="External"/><Relationship Id="rId2098" Type="http://schemas.openxmlformats.org/officeDocument/2006/relationships/hyperlink" Target="http://hawksey.info/tagsexplorer/arc.html?key=1juyIQsnL_T8tqzfzAVVjPctB4eqiafTghnL_xhvkrjk&amp;gid=400689247&amp;screenname=stuartfmckee1" TargetMode="External"/><Relationship Id="rId2099" Type="http://schemas.openxmlformats.org/officeDocument/2006/relationships/hyperlink" Target="http://hawksey.info/tagsexplorer/arc.html?key=1juyIQsnL_T8tqzfzAVVjPctB4eqiafTghnL_xhvkrjk&amp;gid=400689247&amp;screenname=stuartprideaux" TargetMode="External"/><Relationship Id="rId2060" Type="http://schemas.openxmlformats.org/officeDocument/2006/relationships/hyperlink" Target="http://hawksey.info/tagsexplorer/arc.html?key=1juyIQsnL_T8tqzfzAVVjPctB4eqiafTghnL_xhvkrjk&amp;gid=400689247&amp;screenname=simonanddonna" TargetMode="External"/><Relationship Id="rId2061" Type="http://schemas.openxmlformats.org/officeDocument/2006/relationships/hyperlink" Target="http://hawksey.info/tagsexplorer/arc.html?key=1juyIQsnL_T8tqzfzAVVjPctB4eqiafTghnL_xhvkrjk&amp;gid=400689247&amp;screenname=simondebrux" TargetMode="External"/><Relationship Id="rId2062" Type="http://schemas.openxmlformats.org/officeDocument/2006/relationships/hyperlink" Target="http://hawksey.info/tagsexplorer/arc.html?key=1juyIQsnL_T8tqzfzAVVjPctB4eqiafTghnL_xhvkrjk&amp;gid=400689247&amp;screenname=simunch1" TargetMode="External"/><Relationship Id="rId2063" Type="http://schemas.openxmlformats.org/officeDocument/2006/relationships/hyperlink" Target="http://hawksey.info/tagsexplorer/arc.html?key=1juyIQsnL_T8tqzfzAVVjPctB4eqiafTghnL_xhvkrjk&amp;gid=400689247&amp;screenname=sineadcflanagan" TargetMode="External"/><Relationship Id="rId2064" Type="http://schemas.openxmlformats.org/officeDocument/2006/relationships/hyperlink" Target="http://hawksey.info/tagsexplorer/arc.html?key=1juyIQsnL_T8tqzfzAVVjPctB4eqiafTghnL_xhvkrjk&amp;gid=400689247&amp;screenname=sjharley" TargetMode="External"/><Relationship Id="rId2065" Type="http://schemas.openxmlformats.org/officeDocument/2006/relationships/hyperlink" Target="http://hawksey.info/tagsexplorer/arc.html?key=1juyIQsnL_T8tqzfzAVVjPctB4eqiafTghnL_xhvkrjk&amp;gid=400689247&amp;screenname=skamugasa" TargetMode="External"/><Relationship Id="rId2066" Type="http://schemas.openxmlformats.org/officeDocument/2006/relationships/hyperlink" Target="http://hawksey.info/tagsexplorer/arc.html?key=1juyIQsnL_T8tqzfzAVVjPctB4eqiafTghnL_xhvkrjk&amp;gid=400689247&amp;screenname=skhowden" TargetMode="External"/><Relationship Id="rId2067" Type="http://schemas.openxmlformats.org/officeDocument/2006/relationships/hyperlink" Target="http://hawksey.info/tagsexplorer/arc.html?key=1juyIQsnL_T8tqzfzAVVjPctB4eqiafTghnL_xhvkrjk&amp;gid=400689247&amp;screenname=skoris" TargetMode="External"/><Relationship Id="rId2068" Type="http://schemas.openxmlformats.org/officeDocument/2006/relationships/hyperlink" Target="http://hawksey.info/tagsexplorer/arc.html?key=1juyIQsnL_T8tqzfzAVVjPctB4eqiafTghnL_xhvkrjk&amp;gid=400689247&amp;screenname=slaine3000" TargetMode="External"/><Relationship Id="rId2069" Type="http://schemas.openxmlformats.org/officeDocument/2006/relationships/hyperlink" Target="http://hawksey.info/tagsexplorer/arc.html?key=1juyIQsnL_T8tqzfzAVVjPctB4eqiafTghnL_xhvkrjk&amp;gid=400689247&amp;screenname=slasherphobe" TargetMode="External"/><Relationship Id="rId2050" Type="http://schemas.openxmlformats.org/officeDocument/2006/relationships/hyperlink" Target="http://hawksey.info/tagsexplorer/arc.html?key=1juyIQsnL_T8tqzfzAVVjPctB4eqiafTghnL_xhvkrjk&amp;gid=400689247&amp;screenname=sen_j59" TargetMode="External"/><Relationship Id="rId2051" Type="http://schemas.openxmlformats.org/officeDocument/2006/relationships/hyperlink" Target="http://hawksey.info/tagsexplorer/arc.html?key=1juyIQsnL_T8tqzfzAVVjPctB4eqiafTghnL_xhvkrjk&amp;gid=400689247&amp;screenname=shabrockman" TargetMode="External"/><Relationship Id="rId2052" Type="http://schemas.openxmlformats.org/officeDocument/2006/relationships/hyperlink" Target="http://hawksey.info/tagsexplorer/arc.html?key=1juyIQsnL_T8tqzfzAVVjPctB4eqiafTghnL_xhvkrjk&amp;gid=400689247&amp;screenname=shaun_smith99" TargetMode="External"/><Relationship Id="rId2053" Type="http://schemas.openxmlformats.org/officeDocument/2006/relationships/hyperlink" Target="http://hawksey.info/tagsexplorer/arc.html?key=1juyIQsnL_T8tqzfzAVVjPctB4eqiafTghnL_xhvkrjk&amp;gid=400689247&amp;screenname=shellymott1" TargetMode="External"/><Relationship Id="rId2054" Type="http://schemas.openxmlformats.org/officeDocument/2006/relationships/hyperlink" Target="http://hawksey.info/tagsexplorer/arc.html?key=1juyIQsnL_T8tqzfzAVVjPctB4eqiafTghnL_xhvkrjk&amp;gid=400689247&amp;screenname=shestews44" TargetMode="External"/><Relationship Id="rId2055" Type="http://schemas.openxmlformats.org/officeDocument/2006/relationships/hyperlink" Target="http://hawksey.info/tagsexplorer/arc.html?key=1juyIQsnL_T8tqzfzAVVjPctB4eqiafTghnL_xhvkrjk&amp;gid=400689247&amp;screenname=shimtunley" TargetMode="External"/><Relationship Id="rId2056" Type="http://schemas.openxmlformats.org/officeDocument/2006/relationships/hyperlink" Target="http://hawksey.info/tagsexplorer/arc.html?key=1juyIQsnL_T8tqzfzAVVjPctB4eqiafTghnL_xhvkrjk&amp;gid=400689247&amp;screenname=shindaej" TargetMode="External"/><Relationship Id="rId2057" Type="http://schemas.openxmlformats.org/officeDocument/2006/relationships/hyperlink" Target="http://hawksey.info/tagsexplorer/arc.html?key=1juyIQsnL_T8tqzfzAVVjPctB4eqiafTghnL_xhvkrjk&amp;gid=400689247&amp;screenname=shopinitis" TargetMode="External"/><Relationship Id="rId2058" Type="http://schemas.openxmlformats.org/officeDocument/2006/relationships/hyperlink" Target="http://hawksey.info/tagsexplorer/arc.html?key=1juyIQsnL_T8tqzfzAVVjPctB4eqiafTghnL_xhvkrjk&amp;gid=400689247&amp;screenname=shotwithspirit" TargetMode="External"/><Relationship Id="rId2059" Type="http://schemas.openxmlformats.org/officeDocument/2006/relationships/hyperlink" Target="http://hawksey.info/tagsexplorer/arc.html?key=1juyIQsnL_T8tqzfzAVVjPctB4eqiafTghnL_xhvkrjk&amp;gid=400689247&amp;screenname=simeoncho" TargetMode="External"/><Relationship Id="rId2080" Type="http://schemas.openxmlformats.org/officeDocument/2006/relationships/hyperlink" Target="http://hawksey.info/tagsexplorer/arc.html?key=1juyIQsnL_T8tqzfzAVVjPctB4eqiafTghnL_xhvkrjk&amp;gid=400689247&amp;screenname=spaghjunc" TargetMode="External"/><Relationship Id="rId2081" Type="http://schemas.openxmlformats.org/officeDocument/2006/relationships/hyperlink" Target="http://hawksey.info/tagsexplorer/arc.html?key=1juyIQsnL_T8tqzfzAVVjPctB4eqiafTghnL_xhvkrjk&amp;gid=400689247&amp;screenname=spencerh06" TargetMode="External"/><Relationship Id="rId2082" Type="http://schemas.openxmlformats.org/officeDocument/2006/relationships/hyperlink" Target="http://hawksey.info/tagsexplorer/arc.html?key=1juyIQsnL_T8tqzfzAVVjPctB4eqiafTghnL_xhvkrjk&amp;gid=400689247&amp;screenname=spjw1" TargetMode="External"/><Relationship Id="rId2083" Type="http://schemas.openxmlformats.org/officeDocument/2006/relationships/hyperlink" Target="http://hawksey.info/tagsexplorer/arc.html?key=1juyIQsnL_T8tqzfzAVVjPctB4eqiafTghnL_xhvkrjk&amp;gid=400689247&amp;screenname=stancbgreen" TargetMode="External"/><Relationship Id="rId2084" Type="http://schemas.openxmlformats.org/officeDocument/2006/relationships/hyperlink" Target="http://hawksey.info/tagsexplorer/arc.html?key=1juyIQsnL_T8tqzfzAVVjPctB4eqiafTghnL_xhvkrjk&amp;gid=400689247&amp;screenname=stardancerMike" TargetMode="External"/><Relationship Id="rId2085" Type="http://schemas.openxmlformats.org/officeDocument/2006/relationships/hyperlink" Target="http://hawksey.info/tagsexplorer/arc.html?key=1juyIQsnL_T8tqzfzAVVjPctB4eqiafTghnL_xhvkrjk&amp;gid=400689247&amp;screenname=stephelle50" TargetMode="External"/><Relationship Id="rId2086" Type="http://schemas.openxmlformats.org/officeDocument/2006/relationships/hyperlink" Target="http://hawksey.info/tagsexplorer/arc.html?key=1juyIQsnL_T8tqzfzAVVjPctB4eqiafTghnL_xhvkrjk&amp;gid=400689247&amp;screenname=stephen501" TargetMode="External"/><Relationship Id="rId2087" Type="http://schemas.openxmlformats.org/officeDocument/2006/relationships/hyperlink" Target="http://hawksey.info/tagsexplorer/arc.html?key=1juyIQsnL_T8tqzfzAVVjPctB4eqiafTghnL_xhvkrjk&amp;gid=400689247&amp;screenname=stephga5" TargetMode="External"/><Relationship Id="rId2088" Type="http://schemas.openxmlformats.org/officeDocument/2006/relationships/hyperlink" Target="http://hawksey.info/tagsexplorer/arc.html?key=1juyIQsnL_T8tqzfzAVVjPctB4eqiafTghnL_xhvkrjk&amp;gid=400689247&amp;screenname=sterramilk" TargetMode="External"/><Relationship Id="rId2089" Type="http://schemas.openxmlformats.org/officeDocument/2006/relationships/hyperlink" Target="http://hawksey.info/tagsexplorer/arc.html?key=1juyIQsnL_T8tqzfzAVVjPctB4eqiafTghnL_xhvkrjk&amp;gid=400689247&amp;screenname=stevec009" TargetMode="External"/><Relationship Id="rId2070" Type="http://schemas.openxmlformats.org/officeDocument/2006/relationships/hyperlink" Target="http://hawksey.info/tagsexplorer/arc.html?key=1juyIQsnL_T8tqzfzAVVjPctB4eqiafTghnL_xhvkrjk&amp;gid=400689247&amp;screenname=slashmcglasham" TargetMode="External"/><Relationship Id="rId2071" Type="http://schemas.openxmlformats.org/officeDocument/2006/relationships/hyperlink" Target="http://hawksey.info/tagsexplorer/arc.html?key=1juyIQsnL_T8tqzfzAVVjPctB4eqiafTghnL_xhvkrjk&amp;gid=400689247&amp;screenname=sltfion" TargetMode="External"/><Relationship Id="rId2072" Type="http://schemas.openxmlformats.org/officeDocument/2006/relationships/hyperlink" Target="http://hawksey.info/tagsexplorer/arc.html?key=1juyIQsnL_T8tqzfzAVVjPctB4eqiafTghnL_xhvkrjk&amp;gid=400689247&amp;screenname=sludge0407" TargetMode="External"/><Relationship Id="rId2073" Type="http://schemas.openxmlformats.org/officeDocument/2006/relationships/hyperlink" Target="http://hawksey.info/tagsexplorer/arc.html?key=1juyIQsnL_T8tqzfzAVVjPctB4eqiafTghnL_xhvkrjk&amp;gid=400689247&amp;screenname=smcc1954" TargetMode="External"/><Relationship Id="rId2074" Type="http://schemas.openxmlformats.org/officeDocument/2006/relationships/hyperlink" Target="http://hawksey.info/tagsexplorer/arc.html?key=1juyIQsnL_T8tqzfzAVVjPctB4eqiafTghnL_xhvkrjk&amp;gid=400689247&amp;screenname=socialmissfit3" TargetMode="External"/><Relationship Id="rId2075" Type="http://schemas.openxmlformats.org/officeDocument/2006/relationships/hyperlink" Target="http://hawksey.info/tagsexplorer/arc.html?key=1juyIQsnL_T8tqzfzAVVjPctB4eqiafTghnL_xhvkrjk&amp;gid=400689247&amp;screenname=solentstars" TargetMode="External"/><Relationship Id="rId2076" Type="http://schemas.openxmlformats.org/officeDocument/2006/relationships/hyperlink" Target="http://hawksey.info/tagsexplorer/arc.html?key=1juyIQsnL_T8tqzfzAVVjPctB4eqiafTghnL_xhvkrjk&amp;gid=400689247&amp;screenname=solutionistAl" TargetMode="External"/><Relationship Id="rId2077" Type="http://schemas.openxmlformats.org/officeDocument/2006/relationships/hyperlink" Target="http://hawksey.info/tagsexplorer/arc.html?key=1juyIQsnL_T8tqzfzAVVjPctB4eqiafTghnL_xhvkrjk&amp;gid=400689247&amp;screenname=somechewlip" TargetMode="External"/><Relationship Id="rId2078" Type="http://schemas.openxmlformats.org/officeDocument/2006/relationships/hyperlink" Target="http://hawksey.info/tagsexplorer/arc.html?key=1juyIQsnL_T8tqzfzAVVjPctB4eqiafTghnL_xhvkrjk&amp;gid=400689247&amp;screenname=soundabuse" TargetMode="External"/><Relationship Id="rId2079" Type="http://schemas.openxmlformats.org/officeDocument/2006/relationships/hyperlink" Target="http://hawksey.info/tagsexplorer/arc.html?key=1juyIQsnL_T8tqzfzAVVjPctB4eqiafTghnL_xhvkrjk&amp;gid=400689247&amp;screenname=south_n_sunny" TargetMode="External"/><Relationship Id="rId1610" Type="http://schemas.openxmlformats.org/officeDocument/2006/relationships/hyperlink" Target="http://hawksey.info/tagsexplorer/arc.html?key=1juyIQsnL_T8tqzfzAVVjPctB4eqiafTghnL_xhvkrjk&amp;gid=400689247&amp;screenname=hettiewagtail" TargetMode="External"/><Relationship Id="rId1611" Type="http://schemas.openxmlformats.org/officeDocument/2006/relationships/hyperlink" Target="http://hawksey.info/tagsexplorer/arc.html?key=1juyIQsnL_T8tqzfzAVVjPctB4eqiafTghnL_xhvkrjk&amp;gid=400689247&amp;screenname=hexenbeest" TargetMode="External"/><Relationship Id="rId1612" Type="http://schemas.openxmlformats.org/officeDocument/2006/relationships/hyperlink" Target="http://hawksey.info/tagsexplorer/arc.html?key=1juyIQsnL_T8tqzfzAVVjPctB4eqiafTghnL_xhvkrjk&amp;gid=400689247&amp;screenname=hexham4pa" TargetMode="External"/><Relationship Id="rId1613" Type="http://schemas.openxmlformats.org/officeDocument/2006/relationships/hyperlink" Target="http://hawksey.info/tagsexplorer/arc.html?key=1juyIQsnL_T8tqzfzAVVjPctB4eqiafTghnL_xhvkrjk&amp;gid=400689247&amp;screenname=hic334" TargetMode="External"/><Relationship Id="rId1614" Type="http://schemas.openxmlformats.org/officeDocument/2006/relationships/hyperlink" Target="http://hawksey.info/tagsexplorer/arc.html?key=1juyIQsnL_T8tqzfzAVVjPctB4eqiafTghnL_xhvkrjk&amp;gid=400689247&amp;screenname=highcixiety" TargetMode="External"/><Relationship Id="rId1615" Type="http://schemas.openxmlformats.org/officeDocument/2006/relationships/hyperlink" Target="http://hawksey.info/tagsexplorer/arc.html?key=1juyIQsnL_T8tqzfzAVVjPctB4eqiafTghnL_xhvkrjk&amp;gid=400689247&amp;screenname=hillier_mandy" TargetMode="External"/><Relationship Id="rId1616" Type="http://schemas.openxmlformats.org/officeDocument/2006/relationships/hyperlink" Target="http://hawksey.info/tagsexplorer/arc.html?key=1juyIQsnL_T8tqzfzAVVjPctB4eqiafTghnL_xhvkrjk&amp;gid=400689247&amp;screenname=hilton_philip" TargetMode="External"/><Relationship Id="rId907" Type="http://schemas.openxmlformats.org/officeDocument/2006/relationships/hyperlink" Target="http://hawksey.info/tagsexplorer/arc.html?key=1juyIQsnL_T8tqzfzAVVjPctB4eqiafTghnL_xhvkrjk&amp;gid=400689247&amp;screenname=PatrickFbpe" TargetMode="External"/><Relationship Id="rId1617" Type="http://schemas.openxmlformats.org/officeDocument/2006/relationships/hyperlink" Target="http://hawksey.info/tagsexplorer/arc.html?key=1juyIQsnL_T8tqzfzAVVjPctB4eqiafTghnL_xhvkrjk&amp;gid=400689247&amp;screenname=hitchfan1" TargetMode="External"/><Relationship Id="rId906" Type="http://schemas.openxmlformats.org/officeDocument/2006/relationships/hyperlink" Target="http://hawksey.info/tagsexplorer/arc.html?key=1juyIQsnL_T8tqzfzAVVjPctB4eqiafTghnL_xhvkrjk&amp;gid=400689247&amp;screenname=Patrici89225734" TargetMode="External"/><Relationship Id="rId1618" Type="http://schemas.openxmlformats.org/officeDocument/2006/relationships/hyperlink" Target="http://hawksey.info/tagsexplorer/arc.html?key=1juyIQsnL_T8tqzfzAVVjPctB4eqiafTghnL_xhvkrjk&amp;gid=400689247&amp;screenname=holle_fraulein" TargetMode="External"/><Relationship Id="rId905" Type="http://schemas.openxmlformats.org/officeDocument/2006/relationships/hyperlink" Target="http://hawksey.info/tagsexplorer/arc.html?key=1juyIQsnL_T8tqzfzAVVjPctB4eqiafTghnL_xhvkrjk&amp;gid=400689247&amp;screenname=Patrici10534981" TargetMode="External"/><Relationship Id="rId1619" Type="http://schemas.openxmlformats.org/officeDocument/2006/relationships/hyperlink" Target="http://hawksey.info/tagsexplorer/arc.html?key=1juyIQsnL_T8tqzfzAVVjPctB4eqiafTghnL_xhvkrjk&amp;gid=400689247&amp;screenname=hooshymally" TargetMode="External"/><Relationship Id="rId904" Type="http://schemas.openxmlformats.org/officeDocument/2006/relationships/hyperlink" Target="http://hawksey.info/tagsexplorer/arc.html?key=1juyIQsnL_T8tqzfzAVVjPctB4eqiafTghnL_xhvkrjk&amp;gid=400689247&amp;screenname=Patrici06779076" TargetMode="External"/><Relationship Id="rId909" Type="http://schemas.openxmlformats.org/officeDocument/2006/relationships/hyperlink" Target="http://hawksey.info/tagsexplorer/arc.html?key=1juyIQsnL_T8tqzfzAVVjPctB4eqiafTghnL_xhvkrjk&amp;gid=400689247&amp;screenname=PatrickMDHunter" TargetMode="External"/><Relationship Id="rId908" Type="http://schemas.openxmlformats.org/officeDocument/2006/relationships/hyperlink" Target="http://hawksey.info/tagsexplorer/arc.html?key=1juyIQsnL_T8tqzfzAVVjPctB4eqiafTghnL_xhvkrjk&amp;gid=400689247&amp;screenname=PatrickJervis" TargetMode="External"/><Relationship Id="rId903" Type="http://schemas.openxmlformats.org/officeDocument/2006/relationships/hyperlink" Target="http://hawksey.info/tagsexplorer/arc.html?key=1juyIQsnL_T8tqzfzAVVjPctB4eqiafTghnL_xhvkrjk&amp;gid=400689247&amp;screenname=Patinahat2" TargetMode="External"/><Relationship Id="rId902" Type="http://schemas.openxmlformats.org/officeDocument/2006/relationships/hyperlink" Target="http://hawksey.info/tagsexplorer/arc.html?key=1juyIQsnL_T8tqzfzAVVjPctB4eqiafTghnL_xhvkrjk&amp;gid=400689247&amp;screenname=PatYoung" TargetMode="External"/><Relationship Id="rId901" Type="http://schemas.openxmlformats.org/officeDocument/2006/relationships/hyperlink" Target="http://hawksey.info/tagsexplorer/arc.html?key=1juyIQsnL_T8tqzfzAVVjPctB4eqiafTghnL_xhvkrjk&amp;gid=400689247&amp;screenname=PatTheHatter" TargetMode="External"/><Relationship Id="rId900" Type="http://schemas.openxmlformats.org/officeDocument/2006/relationships/hyperlink" Target="http://hawksey.info/tagsexplorer/arc.html?key=1juyIQsnL_T8tqzfzAVVjPctB4eqiafTghnL_xhvkrjk&amp;gid=400689247&amp;screenname=PatNeal6" TargetMode="External"/><Relationship Id="rId1600" Type="http://schemas.openxmlformats.org/officeDocument/2006/relationships/hyperlink" Target="http://hawksey.info/tagsexplorer/arc.html?key=1juyIQsnL_T8tqzfzAVVjPctB4eqiafTghnL_xhvkrjk&amp;gid=400689247&amp;screenname=handymelon" TargetMode="External"/><Relationship Id="rId1601" Type="http://schemas.openxmlformats.org/officeDocument/2006/relationships/hyperlink" Target="http://hawksey.info/tagsexplorer/arc.html?key=1juyIQsnL_T8tqzfzAVVjPctB4eqiafTghnL_xhvkrjk&amp;gid=400689247&amp;screenname=harding0764" TargetMode="External"/><Relationship Id="rId1602" Type="http://schemas.openxmlformats.org/officeDocument/2006/relationships/hyperlink" Target="http://hawksey.info/tagsexplorer/arc.html?key=1juyIQsnL_T8tqzfzAVVjPctB4eqiafTghnL_xhvkrjk&amp;gid=400689247&amp;screenname=harstf" TargetMode="External"/><Relationship Id="rId1603" Type="http://schemas.openxmlformats.org/officeDocument/2006/relationships/hyperlink" Target="http://hawksey.info/tagsexplorer/arc.html?key=1juyIQsnL_T8tqzfzAVVjPctB4eqiafTghnL_xhvkrjk&amp;gid=400689247&amp;screenname=hartsfleurs" TargetMode="External"/><Relationship Id="rId1604" Type="http://schemas.openxmlformats.org/officeDocument/2006/relationships/hyperlink" Target="http://hawksey.info/tagsexplorer/arc.html?key=1juyIQsnL_T8tqzfzAVVjPctB4eqiafTghnL_xhvkrjk&amp;gid=400689247&amp;screenname=hassanrh" TargetMode="External"/><Relationship Id="rId1605" Type="http://schemas.openxmlformats.org/officeDocument/2006/relationships/hyperlink" Target="http://hawksey.info/tagsexplorer/arc.html?key=1juyIQsnL_T8tqzfzAVVjPctB4eqiafTghnL_xhvkrjk&amp;gid=400689247&amp;screenname=hazelbagend" TargetMode="External"/><Relationship Id="rId1606" Type="http://schemas.openxmlformats.org/officeDocument/2006/relationships/hyperlink" Target="http://hawksey.info/tagsexplorer/arc.html?key=1juyIQsnL_T8tqzfzAVVjPctB4eqiafTghnL_xhvkrjk&amp;gid=400689247&amp;screenname=healthyopinion" TargetMode="External"/><Relationship Id="rId1607" Type="http://schemas.openxmlformats.org/officeDocument/2006/relationships/hyperlink" Target="http://hawksey.info/tagsexplorer/arc.html?key=1juyIQsnL_T8tqzfzAVVjPctB4eqiafTghnL_xhvkrjk&amp;gid=400689247&amp;screenname=heather63262308" TargetMode="External"/><Relationship Id="rId1608" Type="http://schemas.openxmlformats.org/officeDocument/2006/relationships/hyperlink" Target="http://hawksey.info/tagsexplorer/arc.html?key=1juyIQsnL_T8tqzfzAVVjPctB4eqiafTghnL_xhvkrjk&amp;gid=400689247&amp;screenname=helenamayb" TargetMode="External"/><Relationship Id="rId1609" Type="http://schemas.openxmlformats.org/officeDocument/2006/relationships/hyperlink" Target="http://hawksey.info/tagsexplorer/arc.html?key=1juyIQsnL_T8tqzfzAVVjPctB4eqiafTghnL_xhvkrjk&amp;gid=400689247&amp;screenname=helkala" TargetMode="External"/><Relationship Id="rId1631" Type="http://schemas.openxmlformats.org/officeDocument/2006/relationships/hyperlink" Target="http://hawksey.info/tagsexplorer/arc.html?key=1juyIQsnL_T8tqzfzAVVjPctB4eqiafTghnL_xhvkrjk&amp;gid=400689247&amp;screenname=iain4europe" TargetMode="External"/><Relationship Id="rId1632" Type="http://schemas.openxmlformats.org/officeDocument/2006/relationships/hyperlink" Target="http://hawksey.info/tagsexplorer/arc.html?key=1juyIQsnL_T8tqzfzAVVjPctB4eqiafTghnL_xhvkrjk&amp;gid=400689247&amp;screenname=ianbirrell" TargetMode="External"/><Relationship Id="rId1633" Type="http://schemas.openxmlformats.org/officeDocument/2006/relationships/hyperlink" Target="http://hawksey.info/tagsexplorer/arc.html?key=1juyIQsnL_T8tqzfzAVVjPctB4eqiafTghnL_xhvkrjk&amp;gid=400689247&amp;screenname=ianpwriter" TargetMode="External"/><Relationship Id="rId1634" Type="http://schemas.openxmlformats.org/officeDocument/2006/relationships/hyperlink" Target="http://hawksey.info/tagsexplorer/arc.html?key=1juyIQsnL_T8tqzfzAVVjPctB4eqiafTghnL_xhvkrjk&amp;gid=400689247&amp;screenname=ianvward" TargetMode="External"/><Relationship Id="rId1635" Type="http://schemas.openxmlformats.org/officeDocument/2006/relationships/hyperlink" Target="http://hawksey.info/tagsexplorer/arc.html?key=1juyIQsnL_T8tqzfzAVVjPctB4eqiafTghnL_xhvkrjk&amp;gid=400689247&amp;screenname=ianwshaw" TargetMode="External"/><Relationship Id="rId1636" Type="http://schemas.openxmlformats.org/officeDocument/2006/relationships/hyperlink" Target="http://hawksey.info/tagsexplorer/arc.html?key=1juyIQsnL_T8tqzfzAVVjPctB4eqiafTghnL_xhvkrjk&amp;gid=400689247&amp;screenname=icallen1" TargetMode="External"/><Relationship Id="rId1637" Type="http://schemas.openxmlformats.org/officeDocument/2006/relationships/hyperlink" Target="http://hawksey.info/tagsexplorer/arc.html?key=1juyIQsnL_T8tqzfzAVVjPctB4eqiafTghnL_xhvkrjk&amp;gid=400689247&amp;screenname=idlersj" TargetMode="External"/><Relationship Id="rId1638" Type="http://schemas.openxmlformats.org/officeDocument/2006/relationships/hyperlink" Target="http://hawksey.info/tagsexplorer/arc.html?key=1juyIQsnL_T8tqzfzAVVjPctB4eqiafTghnL_xhvkrjk&amp;gid=400689247&amp;screenname=ifg007" TargetMode="External"/><Relationship Id="rId929" Type="http://schemas.openxmlformats.org/officeDocument/2006/relationships/hyperlink" Target="http://hawksey.info/tagsexplorer/arc.html?key=1juyIQsnL_T8tqzfzAVVjPctB4eqiafTghnL_xhvkrjk&amp;gid=400689247&amp;screenname=PeterTelford" TargetMode="External"/><Relationship Id="rId1639" Type="http://schemas.openxmlformats.org/officeDocument/2006/relationships/hyperlink" Target="http://hawksey.info/tagsexplorer/arc.html?key=1juyIQsnL_T8tqzfzAVVjPctB4eqiafTghnL_xhvkrjk&amp;gid=400689247&amp;screenname=ifsbutsnmaybes" TargetMode="External"/><Relationship Id="rId928" Type="http://schemas.openxmlformats.org/officeDocument/2006/relationships/hyperlink" Target="http://hawksey.info/tagsexplorer/arc.html?key=1juyIQsnL_T8tqzfzAVVjPctB4eqiafTghnL_xhvkrjk&amp;gid=400689247&amp;screenname=PeterKenyon" TargetMode="External"/><Relationship Id="rId927" Type="http://schemas.openxmlformats.org/officeDocument/2006/relationships/hyperlink" Target="http://hawksey.info/tagsexplorer/arc.html?key=1juyIQsnL_T8tqzfzAVVjPctB4eqiafTghnL_xhvkrjk&amp;gid=400689247&amp;screenname=Peter24P" TargetMode="External"/><Relationship Id="rId926" Type="http://schemas.openxmlformats.org/officeDocument/2006/relationships/hyperlink" Target="http://hawksey.info/tagsexplorer/arc.html?key=1juyIQsnL_T8tqzfzAVVjPctB4eqiafTghnL_xhvkrjk&amp;gid=400689247&amp;screenname=PeteSKingston" TargetMode="External"/><Relationship Id="rId921" Type="http://schemas.openxmlformats.org/officeDocument/2006/relationships/hyperlink" Target="http://hawksey.info/tagsexplorer/arc.html?key=1juyIQsnL_T8tqzfzAVVjPctB4eqiafTghnL_xhvkrjk&amp;gid=400689247&amp;screenname=PedalTrill" TargetMode="External"/><Relationship Id="rId920" Type="http://schemas.openxmlformats.org/officeDocument/2006/relationships/hyperlink" Target="http://hawksey.info/tagsexplorer/arc.html?key=1juyIQsnL_T8tqzfzAVVjPctB4eqiafTghnL_xhvkrjk&amp;gid=400689247&amp;screenname=Paultomlin8" TargetMode="External"/><Relationship Id="rId925" Type="http://schemas.openxmlformats.org/officeDocument/2006/relationships/hyperlink" Target="http://hawksey.info/tagsexplorer/arc.html?key=1juyIQsnL_T8tqzfzAVVjPctB4eqiafTghnL_xhvkrjk&amp;gid=400689247&amp;screenname=PeteBeech1" TargetMode="External"/><Relationship Id="rId924" Type="http://schemas.openxmlformats.org/officeDocument/2006/relationships/hyperlink" Target="http://hawksey.info/tagsexplorer/arc.html?key=1juyIQsnL_T8tqzfzAVVjPctB4eqiafTghnL_xhvkrjk&amp;gid=400689247&amp;screenname=Permanentcuriou" TargetMode="External"/><Relationship Id="rId923" Type="http://schemas.openxmlformats.org/officeDocument/2006/relationships/hyperlink" Target="http://hawksey.info/tagsexplorer/arc.html?key=1juyIQsnL_T8tqzfzAVVjPctB4eqiafTghnL_xhvkrjk&amp;gid=400689247&amp;screenname=PeritaRisus" TargetMode="External"/><Relationship Id="rId922" Type="http://schemas.openxmlformats.org/officeDocument/2006/relationships/hyperlink" Target="http://hawksey.info/tagsexplorer/arc.html?key=1juyIQsnL_T8tqzfzAVVjPctB4eqiafTghnL_xhvkrjk&amp;gid=400689247&amp;screenname=PerformMonkey" TargetMode="External"/><Relationship Id="rId1630" Type="http://schemas.openxmlformats.org/officeDocument/2006/relationships/hyperlink" Target="http://hawksey.info/tagsexplorer/arc.html?key=1juyIQsnL_T8tqzfzAVVjPctB4eqiafTghnL_xhvkrjk&amp;gid=400689247&amp;screenname=iaeon" TargetMode="External"/><Relationship Id="rId1620" Type="http://schemas.openxmlformats.org/officeDocument/2006/relationships/hyperlink" Target="http://hawksey.info/tagsexplorer/arc.html?key=1juyIQsnL_T8tqzfzAVVjPctB4eqiafTghnL_xhvkrjk&amp;gid=400689247&amp;screenname=hope99915" TargetMode="External"/><Relationship Id="rId1621" Type="http://schemas.openxmlformats.org/officeDocument/2006/relationships/hyperlink" Target="http://hawksey.info/tagsexplorer/arc.html?key=1juyIQsnL_T8tqzfzAVVjPctB4eqiafTghnL_xhvkrjk&amp;gid=400689247&amp;screenname=hotmoklet" TargetMode="External"/><Relationship Id="rId1622" Type="http://schemas.openxmlformats.org/officeDocument/2006/relationships/hyperlink" Target="http://hawksey.info/tagsexplorer/arc.html?key=1juyIQsnL_T8tqzfzAVVjPctB4eqiafTghnL_xhvkrjk&amp;gid=400689247&amp;screenname=howell_karen" TargetMode="External"/><Relationship Id="rId1623" Type="http://schemas.openxmlformats.org/officeDocument/2006/relationships/hyperlink" Target="http://hawksey.info/tagsexplorer/arc.html?key=1juyIQsnL_T8tqzfzAVVjPctB4eqiafTghnL_xhvkrjk&amp;gid=400689247&amp;screenname=hugefoodlover" TargetMode="External"/><Relationship Id="rId1624" Type="http://schemas.openxmlformats.org/officeDocument/2006/relationships/hyperlink" Target="http://hawksey.info/tagsexplorer/arc.html?key=1juyIQsnL_T8tqzfzAVVjPctB4eqiafTghnL_xhvkrjk&amp;gid=400689247&amp;screenname=hugs_p" TargetMode="External"/><Relationship Id="rId1625" Type="http://schemas.openxmlformats.org/officeDocument/2006/relationships/hyperlink" Target="http://hawksey.info/tagsexplorer/arc.html?key=1juyIQsnL_T8tqzfzAVVjPctB4eqiafTghnL_xhvkrjk&amp;gid=400689247&amp;screenname=hullfair" TargetMode="External"/><Relationship Id="rId1626" Type="http://schemas.openxmlformats.org/officeDocument/2006/relationships/hyperlink" Target="http://hawksey.info/tagsexplorer/arc.html?key=1juyIQsnL_T8tqzfzAVVjPctB4eqiafTghnL_xhvkrjk&amp;gid=400689247&amp;screenname=hundredknots" TargetMode="External"/><Relationship Id="rId1627" Type="http://schemas.openxmlformats.org/officeDocument/2006/relationships/hyperlink" Target="http://hawksey.info/tagsexplorer/arc.html?key=1juyIQsnL_T8tqzfzAVVjPctB4eqiafTghnL_xhvkrjk&amp;gid=400689247&amp;screenname=huxleyisland" TargetMode="External"/><Relationship Id="rId918" Type="http://schemas.openxmlformats.org/officeDocument/2006/relationships/hyperlink" Target="http://hawksey.info/tagsexplorer/arc.html?key=1juyIQsnL_T8tqzfzAVVjPctB4eqiafTghnL_xhvkrjk&amp;gid=400689247&amp;screenname=PaulWhelan745" TargetMode="External"/><Relationship Id="rId1628" Type="http://schemas.openxmlformats.org/officeDocument/2006/relationships/hyperlink" Target="http://hawksey.info/tagsexplorer/arc.html?key=1juyIQsnL_T8tqzfzAVVjPctB4eqiafTghnL_xhvkrjk&amp;gid=400689247&amp;screenname=iAntsaoir" TargetMode="External"/><Relationship Id="rId917" Type="http://schemas.openxmlformats.org/officeDocument/2006/relationships/hyperlink" Target="http://hawksey.info/tagsexplorer/arc.html?key=1juyIQsnL_T8tqzfzAVVjPctB4eqiafTghnL_xhvkrjk&amp;gid=400689247&amp;screenname=PaulHug16804663" TargetMode="External"/><Relationship Id="rId1629" Type="http://schemas.openxmlformats.org/officeDocument/2006/relationships/hyperlink" Target="http://hawksey.info/tagsexplorer/arc.html?key=1juyIQsnL_T8tqzfzAVVjPctB4eqiafTghnL_xhvkrjk&amp;gid=400689247&amp;screenname=i_pinkwolfie" TargetMode="External"/><Relationship Id="rId916" Type="http://schemas.openxmlformats.org/officeDocument/2006/relationships/hyperlink" Target="http://hawksey.info/tagsexplorer/arc.html?key=1juyIQsnL_T8tqzfzAVVjPctB4eqiafTghnL_xhvkrjk&amp;gid=400689247&amp;screenname=PaulHawes" TargetMode="External"/><Relationship Id="rId915" Type="http://schemas.openxmlformats.org/officeDocument/2006/relationships/hyperlink" Target="http://hawksey.info/tagsexplorer/arc.html?key=1juyIQsnL_T8tqzfzAVVjPctB4eqiafTghnL_xhvkrjk&amp;gid=400689247&amp;screenname=PaulGosling1" TargetMode="External"/><Relationship Id="rId919" Type="http://schemas.openxmlformats.org/officeDocument/2006/relationships/hyperlink" Target="http://hawksey.info/tagsexplorer/arc.html?key=1juyIQsnL_T8tqzfzAVVjPctB4eqiafTghnL_xhvkrjk&amp;gid=400689247&amp;screenname=PaulWyatt2" TargetMode="External"/><Relationship Id="rId910" Type="http://schemas.openxmlformats.org/officeDocument/2006/relationships/hyperlink" Target="http://hawksey.info/tagsexplorer/arc.html?key=1juyIQsnL_T8tqzfzAVVjPctB4eqiafTghnL_xhvkrjk&amp;gid=400689247&amp;screenname=Patthedog5" TargetMode="External"/><Relationship Id="rId914" Type="http://schemas.openxmlformats.org/officeDocument/2006/relationships/hyperlink" Target="http://hawksey.info/tagsexplorer/arc.html?key=1juyIQsnL_T8tqzfzAVVjPctB4eqiafTghnL_xhvkrjk&amp;gid=400689247&amp;screenname=PaulGir80767244" TargetMode="External"/><Relationship Id="rId913" Type="http://schemas.openxmlformats.org/officeDocument/2006/relationships/hyperlink" Target="http://hawksey.info/tagsexplorer/arc.html?key=1juyIQsnL_T8tqzfzAVVjPctB4eqiafTghnL_xhvkrjk&amp;gid=400689247&amp;screenname=PaulCary" TargetMode="External"/><Relationship Id="rId912" Type="http://schemas.openxmlformats.org/officeDocument/2006/relationships/hyperlink" Target="http://hawksey.info/tagsexplorer/arc.html?key=1juyIQsnL_T8tqzfzAVVjPctB4eqiafTghnL_xhvkrjk&amp;gid=400689247&amp;screenname=Paul63B" TargetMode="External"/><Relationship Id="rId911" Type="http://schemas.openxmlformats.org/officeDocument/2006/relationships/hyperlink" Target="http://hawksey.info/tagsexplorer/arc.html?key=1juyIQsnL_T8tqzfzAVVjPctB4eqiafTghnL_xhvkrjk&amp;gid=400689247&amp;screenname=Paul62186251" TargetMode="External"/><Relationship Id="rId1697" Type="http://schemas.openxmlformats.org/officeDocument/2006/relationships/hyperlink" Target="http://hawksey.info/tagsexplorer/arc.html?key=1juyIQsnL_T8tqzfzAVVjPctB4eqiafTghnL_xhvkrjk&amp;gid=400689247&amp;screenname=jngraphs" TargetMode="External"/><Relationship Id="rId1698" Type="http://schemas.openxmlformats.org/officeDocument/2006/relationships/hyperlink" Target="http://hawksey.info/tagsexplorer/arc.html?key=1juyIQsnL_T8tqzfzAVVjPctB4eqiafTghnL_xhvkrjk&amp;gid=400689247&amp;screenname=joanna_nicolson" TargetMode="External"/><Relationship Id="rId1699" Type="http://schemas.openxmlformats.org/officeDocument/2006/relationships/hyperlink" Target="http://hawksey.info/tagsexplorer/arc.html?key=1juyIQsnL_T8tqzfzAVVjPctB4eqiafTghnL_xhvkrjk&amp;gid=400689247&amp;screenname=joannekarma" TargetMode="External"/><Relationship Id="rId866" Type="http://schemas.openxmlformats.org/officeDocument/2006/relationships/hyperlink" Target="http://hawksey.info/tagsexplorer/arc.html?key=1juyIQsnL_T8tqzfzAVVjPctB4eqiafTghnL_xhvkrjk&amp;gid=400689247&amp;screenname=Northern21a" TargetMode="External"/><Relationship Id="rId865" Type="http://schemas.openxmlformats.org/officeDocument/2006/relationships/hyperlink" Target="http://hawksey.info/tagsexplorer/arc.html?key=1juyIQsnL_T8tqzfzAVVjPctB4eqiafTghnL_xhvkrjk&amp;gid=400689247&amp;screenname=NorthDorset4Eur" TargetMode="External"/><Relationship Id="rId864" Type="http://schemas.openxmlformats.org/officeDocument/2006/relationships/hyperlink" Target="http://hawksey.info/tagsexplorer/arc.html?key=1juyIQsnL_T8tqzfzAVVjPctB4eqiafTghnL_xhvkrjk&amp;gid=400689247&amp;screenname=NormanStiff" TargetMode="External"/><Relationship Id="rId863" Type="http://schemas.openxmlformats.org/officeDocument/2006/relationships/hyperlink" Target="http://hawksey.info/tagsexplorer/arc.html?key=1juyIQsnL_T8tqzfzAVVjPctB4eqiafTghnL_xhvkrjk&amp;gid=400689247&amp;screenname=NoMiddleNameAH" TargetMode="External"/><Relationship Id="rId869" Type="http://schemas.openxmlformats.org/officeDocument/2006/relationships/hyperlink" Target="http://hawksey.info/tagsexplorer/arc.html?key=1juyIQsnL_T8tqzfzAVVjPctB4eqiafTghnL_xhvkrjk&amp;gid=400689247&amp;screenname=OK16096635" TargetMode="External"/><Relationship Id="rId868" Type="http://schemas.openxmlformats.org/officeDocument/2006/relationships/hyperlink" Target="http://hawksey.info/tagsexplorer/arc.html?key=1juyIQsnL_T8tqzfzAVVjPctB4eqiafTghnL_xhvkrjk&amp;gid=400689247&amp;screenname=NuncTempus" TargetMode="External"/><Relationship Id="rId867" Type="http://schemas.openxmlformats.org/officeDocument/2006/relationships/hyperlink" Target="http://hawksey.info/tagsexplorer/arc.html?key=1juyIQsnL_T8tqzfzAVVjPctB4eqiafTghnL_xhvkrjk&amp;gid=400689247&amp;screenname=Northum65478582" TargetMode="External"/><Relationship Id="rId1690" Type="http://schemas.openxmlformats.org/officeDocument/2006/relationships/hyperlink" Target="http://hawksey.info/tagsexplorer/arc.html?key=1juyIQsnL_T8tqzfzAVVjPctB4eqiafTghnL_xhvkrjk&amp;gid=400689247&amp;screenname=jfporchez" TargetMode="External"/><Relationship Id="rId1691" Type="http://schemas.openxmlformats.org/officeDocument/2006/relationships/hyperlink" Target="http://hawksey.info/tagsexplorer/arc.html?key=1juyIQsnL_T8tqzfzAVVjPctB4eqiafTghnL_xhvkrjk&amp;gid=400689247&amp;screenname=jillbed" TargetMode="External"/><Relationship Id="rId1692" Type="http://schemas.openxmlformats.org/officeDocument/2006/relationships/hyperlink" Target="http://hawksey.info/tagsexplorer/arc.html?key=1juyIQsnL_T8tqzfzAVVjPctB4eqiafTghnL_xhvkrjk&amp;gid=400689247&amp;screenname=jillybwrafter" TargetMode="External"/><Relationship Id="rId862" Type="http://schemas.openxmlformats.org/officeDocument/2006/relationships/hyperlink" Target="http://hawksey.info/tagsexplorer/arc.html?key=1juyIQsnL_T8tqzfzAVVjPctB4eqiafTghnL_xhvkrjk&amp;gid=400689247&amp;screenname=Nj99625368" TargetMode="External"/><Relationship Id="rId1693" Type="http://schemas.openxmlformats.org/officeDocument/2006/relationships/hyperlink" Target="http://hawksey.info/tagsexplorer/arc.html?key=1juyIQsnL_T8tqzfzAVVjPctB4eqiafTghnL_xhvkrjk&amp;gid=400689247&amp;screenname=jimmyvilla1961" TargetMode="External"/><Relationship Id="rId861" Type="http://schemas.openxmlformats.org/officeDocument/2006/relationships/hyperlink" Target="http://hawksey.info/tagsexplorer/arc.html?key=1juyIQsnL_T8tqzfzAVVjPctB4eqiafTghnL_xhvkrjk&amp;gid=400689247&amp;screenname=NissanEVuk" TargetMode="External"/><Relationship Id="rId1694" Type="http://schemas.openxmlformats.org/officeDocument/2006/relationships/hyperlink" Target="http://hawksey.info/tagsexplorer/arc.html?key=1juyIQsnL_T8tqzfzAVVjPctB4eqiafTghnL_xhvkrjk&amp;gid=400689247&amp;screenname=jimryan68" TargetMode="External"/><Relationship Id="rId860" Type="http://schemas.openxmlformats.org/officeDocument/2006/relationships/hyperlink" Target="http://hawksey.info/tagsexplorer/arc.html?key=1juyIQsnL_T8tqzfzAVVjPctB4eqiafTghnL_xhvkrjk&amp;gid=400689247&amp;screenname=Nikicinder" TargetMode="External"/><Relationship Id="rId1695" Type="http://schemas.openxmlformats.org/officeDocument/2006/relationships/hyperlink" Target="http://hawksey.info/tagsexplorer/arc.html?key=1juyIQsnL_T8tqzfzAVVjPctB4eqiafTghnL_xhvkrjk&amp;gid=400689247&amp;screenname=jj_sal" TargetMode="External"/><Relationship Id="rId1696" Type="http://schemas.openxmlformats.org/officeDocument/2006/relationships/hyperlink" Target="http://hawksey.info/tagsexplorer/arc.html?key=1juyIQsnL_T8tqzfzAVVjPctB4eqiafTghnL_xhvkrjk&amp;gid=400689247&amp;screenname=jmkorhonen" TargetMode="External"/><Relationship Id="rId1686" Type="http://schemas.openxmlformats.org/officeDocument/2006/relationships/hyperlink" Target="http://hawksey.info/tagsexplorer/arc.html?key=1juyIQsnL_T8tqzfzAVVjPctB4eqiafTghnL_xhvkrjk&amp;gid=400689247&amp;screenname=jeremysmith98" TargetMode="External"/><Relationship Id="rId1687" Type="http://schemas.openxmlformats.org/officeDocument/2006/relationships/hyperlink" Target="http://hawksey.info/tagsexplorer/arc.html?key=1juyIQsnL_T8tqzfzAVVjPctB4eqiafTghnL_xhvkrjk&amp;gid=400689247&amp;screenname=jet9341" TargetMode="External"/><Relationship Id="rId1688" Type="http://schemas.openxmlformats.org/officeDocument/2006/relationships/hyperlink" Target="http://hawksey.info/tagsexplorer/arc.html?key=1juyIQsnL_T8tqzfzAVVjPctB4eqiafTghnL_xhvkrjk&amp;gid=400689247&amp;screenname=jezobrien" TargetMode="External"/><Relationship Id="rId1689" Type="http://schemas.openxmlformats.org/officeDocument/2006/relationships/hyperlink" Target="http://hawksey.info/tagsexplorer/arc.html?key=1juyIQsnL_T8tqzfzAVVjPctB4eqiafTghnL_xhvkrjk&amp;gid=400689247&amp;screenname=jezrandall" TargetMode="External"/><Relationship Id="rId855" Type="http://schemas.openxmlformats.org/officeDocument/2006/relationships/hyperlink" Target="http://hawksey.info/tagsexplorer/arc.html?key=1juyIQsnL_T8tqzfzAVVjPctB4eqiafTghnL_xhvkrjk&amp;gid=400689247&amp;screenname=NickiDee_" TargetMode="External"/><Relationship Id="rId854" Type="http://schemas.openxmlformats.org/officeDocument/2006/relationships/hyperlink" Target="http://hawksey.info/tagsexplorer/arc.html?key=1juyIQsnL_T8tqzfzAVVjPctB4eqiafTghnL_xhvkrjk&amp;gid=400689247&amp;screenname=NickDelaney9" TargetMode="External"/><Relationship Id="rId853" Type="http://schemas.openxmlformats.org/officeDocument/2006/relationships/hyperlink" Target="http://hawksey.info/tagsexplorer/arc.html?key=1juyIQsnL_T8tqzfzAVVjPctB4eqiafTghnL_xhvkrjk&amp;gid=400689247&amp;screenname=NickDWhitehead" TargetMode="External"/><Relationship Id="rId852" Type="http://schemas.openxmlformats.org/officeDocument/2006/relationships/hyperlink" Target="http://hawksey.info/tagsexplorer/arc.html?key=1juyIQsnL_T8tqzfzAVVjPctB4eqiafTghnL_xhvkrjk&amp;gid=400689247&amp;screenname=NicCWells" TargetMode="External"/><Relationship Id="rId859" Type="http://schemas.openxmlformats.org/officeDocument/2006/relationships/hyperlink" Target="http://hawksey.info/tagsexplorer/arc.html?key=1juyIQsnL_T8tqzfzAVVjPctB4eqiafTghnL_xhvkrjk&amp;gid=400689247&amp;screenname=Nigelduffy8" TargetMode="External"/><Relationship Id="rId858" Type="http://schemas.openxmlformats.org/officeDocument/2006/relationships/hyperlink" Target="http://hawksey.info/tagsexplorer/arc.html?key=1juyIQsnL_T8tqzfzAVVjPctB4eqiafTghnL_xhvkrjk&amp;gid=400689247&amp;screenname=NigelNorman" TargetMode="External"/><Relationship Id="rId857" Type="http://schemas.openxmlformats.org/officeDocument/2006/relationships/hyperlink" Target="http://hawksey.info/tagsexplorer/arc.html?key=1juyIQsnL_T8tqzfzAVVjPctB4eqiafTghnL_xhvkrjk&amp;gid=400689247&amp;screenname=NigelHeal" TargetMode="External"/><Relationship Id="rId856" Type="http://schemas.openxmlformats.org/officeDocument/2006/relationships/hyperlink" Target="http://hawksey.info/tagsexplorer/arc.html?key=1juyIQsnL_T8tqzfzAVVjPctB4eqiafTghnL_xhvkrjk&amp;gid=400689247&amp;screenname=NigelBenar" TargetMode="External"/><Relationship Id="rId1680" Type="http://schemas.openxmlformats.org/officeDocument/2006/relationships/hyperlink" Target="http://hawksey.info/tagsexplorer/arc.html?key=1juyIQsnL_T8tqzfzAVVjPctB4eqiafTghnL_xhvkrjk&amp;gid=400689247&amp;screenname=jenjeffiner" TargetMode="External"/><Relationship Id="rId1681" Type="http://schemas.openxmlformats.org/officeDocument/2006/relationships/hyperlink" Target="http://hawksey.info/tagsexplorer/arc.html?key=1juyIQsnL_T8tqzfzAVVjPctB4eqiafTghnL_xhvkrjk&amp;gid=400689247&amp;screenname=jenkinskeith9" TargetMode="External"/><Relationship Id="rId851" Type="http://schemas.openxmlformats.org/officeDocument/2006/relationships/hyperlink" Target="http://hawksey.info/tagsexplorer/arc.html?key=1juyIQsnL_T8tqzfzAVVjPctB4eqiafTghnL_xhvkrjk&amp;gid=400689247&amp;screenname=NewroUgh" TargetMode="External"/><Relationship Id="rId1682" Type="http://schemas.openxmlformats.org/officeDocument/2006/relationships/hyperlink" Target="http://hawksey.info/tagsexplorer/arc.html?key=1juyIQsnL_T8tqzfzAVVjPctB4eqiafTghnL_xhvkrjk&amp;gid=400689247&amp;screenname=jenkt1" TargetMode="External"/><Relationship Id="rId850" Type="http://schemas.openxmlformats.org/officeDocument/2006/relationships/hyperlink" Target="http://hawksey.info/tagsexplorer/arc.html?key=1juyIQsnL_T8tqzfzAVVjPctB4eqiafTghnL_xhvkrjk&amp;gid=400689247&amp;screenname=New4aDay" TargetMode="External"/><Relationship Id="rId1683" Type="http://schemas.openxmlformats.org/officeDocument/2006/relationships/hyperlink" Target="http://hawksey.info/tagsexplorer/arc.html?key=1juyIQsnL_T8tqzfzAVVjPctB4eqiafTghnL_xhvkrjk&amp;gid=400689247&amp;screenname=jennynorthern21" TargetMode="External"/><Relationship Id="rId1684" Type="http://schemas.openxmlformats.org/officeDocument/2006/relationships/hyperlink" Target="http://hawksey.info/tagsexplorer/arc.html?key=1juyIQsnL_T8tqzfzAVVjPctB4eqiafTghnL_xhvkrjk&amp;gid=400689247&amp;screenname=jennyranderson" TargetMode="External"/><Relationship Id="rId1685" Type="http://schemas.openxmlformats.org/officeDocument/2006/relationships/hyperlink" Target="http://hawksey.info/tagsexplorer/arc.html?key=1juyIQsnL_T8tqzfzAVVjPctB4eqiafTghnL_xhvkrjk&amp;gid=400689247&amp;screenname=jennystew63" TargetMode="External"/><Relationship Id="rId888" Type="http://schemas.openxmlformats.org/officeDocument/2006/relationships/hyperlink" Target="http://hawksey.info/tagsexplorer/arc.html?key=1juyIQsnL_T8tqzfzAVVjPctB4eqiafTghnL_xhvkrjk&amp;gid=400689247&amp;screenname=PBTyrrell" TargetMode="External"/><Relationship Id="rId887" Type="http://schemas.openxmlformats.org/officeDocument/2006/relationships/hyperlink" Target="http://hawksey.info/tagsexplorer/arc.html?key=1juyIQsnL_T8tqzfzAVVjPctB4eqiafTghnL_xhvkrjk&amp;gid=400689247&amp;screenname=PAULKLAVAS1" TargetMode="External"/><Relationship Id="rId886" Type="http://schemas.openxmlformats.org/officeDocument/2006/relationships/hyperlink" Target="http://hawksey.info/tagsexplorer/arc.html?key=1juyIQsnL_T8tqzfzAVVjPctB4eqiafTghnL_xhvkrjk&amp;gid=400689247&amp;screenname=OwenLake" TargetMode="External"/><Relationship Id="rId885" Type="http://schemas.openxmlformats.org/officeDocument/2006/relationships/hyperlink" Target="http://hawksey.info/tagsexplorer/arc.html?key=1juyIQsnL_T8tqzfzAVVjPctB4eqiafTghnL_xhvkrjk&amp;gid=400689247&amp;screenname=OverUnderClover" TargetMode="External"/><Relationship Id="rId889" Type="http://schemas.openxmlformats.org/officeDocument/2006/relationships/hyperlink" Target="http://hawksey.info/tagsexplorer/arc.html?key=1juyIQsnL_T8tqzfzAVVjPctB4eqiafTghnL_xhvkrjk&amp;gid=400689247&amp;screenname=PGuppy" TargetMode="External"/><Relationship Id="rId880" Type="http://schemas.openxmlformats.org/officeDocument/2006/relationships/hyperlink" Target="http://hawksey.info/tagsexplorer/arc.html?key=1juyIQsnL_T8tqzfzAVVjPctB4eqiafTghnL_xhvkrjk&amp;gid=400689247&amp;screenname=Ospringe" TargetMode="External"/><Relationship Id="rId884" Type="http://schemas.openxmlformats.org/officeDocument/2006/relationships/hyperlink" Target="http://hawksey.info/tagsexplorer/arc.html?key=1juyIQsnL_T8tqzfzAVVjPctB4eqiafTghnL_xhvkrjk&amp;gid=400689247&amp;screenname=OurDawnie" TargetMode="External"/><Relationship Id="rId883" Type="http://schemas.openxmlformats.org/officeDocument/2006/relationships/hyperlink" Target="http://hawksey.info/tagsexplorer/arc.html?key=1juyIQsnL_T8tqzfzAVVjPctB4eqiafTghnL_xhvkrjk&amp;gid=400689247&amp;screenname=OudeLady" TargetMode="External"/><Relationship Id="rId882" Type="http://schemas.openxmlformats.org/officeDocument/2006/relationships/hyperlink" Target="http://hawksey.info/tagsexplorer/arc.html?key=1juyIQsnL_T8tqzfzAVVjPctB4eqiafTghnL_xhvkrjk&amp;gid=400689247&amp;screenname=OthelloFloof" TargetMode="External"/><Relationship Id="rId881" Type="http://schemas.openxmlformats.org/officeDocument/2006/relationships/hyperlink" Target="http://hawksey.info/tagsexplorer/arc.html?key=1juyIQsnL_T8tqzfzAVVjPctB4eqiafTghnL_xhvkrjk&amp;gid=400689247&amp;screenname=OssieBhoy" TargetMode="External"/><Relationship Id="rId877" Type="http://schemas.openxmlformats.org/officeDocument/2006/relationships/hyperlink" Target="http://hawksey.info/tagsexplorer/arc.html?key=1juyIQsnL_T8tqzfzAVVjPctB4eqiafTghnL_xhvkrjk&amp;gid=400689247&amp;screenname=OnCanter" TargetMode="External"/><Relationship Id="rId876" Type="http://schemas.openxmlformats.org/officeDocument/2006/relationships/hyperlink" Target="http://hawksey.info/tagsexplorer/arc.html?key=1juyIQsnL_T8tqzfzAVVjPctB4eqiafTghnL_xhvkrjk&amp;gid=400689247&amp;screenname=OliveEaton16" TargetMode="External"/><Relationship Id="rId875" Type="http://schemas.openxmlformats.org/officeDocument/2006/relationships/hyperlink" Target="http://hawksey.info/tagsexplorer/arc.html?key=1juyIQsnL_T8tqzfzAVVjPctB4eqiafTghnL_xhvkrjk&amp;gid=400689247&amp;screenname=Olicanarama" TargetMode="External"/><Relationship Id="rId874" Type="http://schemas.openxmlformats.org/officeDocument/2006/relationships/hyperlink" Target="http://hawksey.info/tagsexplorer/arc.html?key=1juyIQsnL_T8tqzfzAVVjPctB4eqiafTghnL_xhvkrjk&amp;gid=400689247&amp;screenname=Oldtimerabroad" TargetMode="External"/><Relationship Id="rId879" Type="http://schemas.openxmlformats.org/officeDocument/2006/relationships/hyperlink" Target="http://hawksey.info/tagsexplorer/arc.html?key=1juyIQsnL_T8tqzfzAVVjPctB4eqiafTghnL_xhvkrjk&amp;gid=400689247&amp;screenname=OneMoreGoodMan" TargetMode="External"/><Relationship Id="rId878" Type="http://schemas.openxmlformats.org/officeDocument/2006/relationships/hyperlink" Target="http://hawksey.info/tagsexplorer/arc.html?key=1juyIQsnL_T8tqzfzAVVjPctB4eqiafTghnL_xhvkrjk&amp;gid=400689247&amp;screenname=OnTheSofaUK" TargetMode="External"/><Relationship Id="rId873" Type="http://schemas.openxmlformats.org/officeDocument/2006/relationships/hyperlink" Target="http://hawksey.info/tagsexplorer/arc.html?key=1juyIQsnL_T8tqzfzAVVjPctB4eqiafTghnL_xhvkrjk&amp;gid=400689247&amp;screenname=Old_Ted_Euro" TargetMode="External"/><Relationship Id="rId872" Type="http://schemas.openxmlformats.org/officeDocument/2006/relationships/hyperlink" Target="http://hawksey.info/tagsexplorer/arc.html?key=1juyIQsnL_T8tqzfzAVVjPctB4eqiafTghnL_xhvkrjk&amp;gid=400689247&amp;screenname=OhYesItDid" TargetMode="External"/><Relationship Id="rId871" Type="http://schemas.openxmlformats.org/officeDocument/2006/relationships/hyperlink" Target="http://hawksey.info/tagsexplorer/arc.html?key=1juyIQsnL_T8tqzfzAVVjPctB4eqiafTghnL_xhvkrjk&amp;gid=400689247&amp;screenname=OdoyleCharlotte" TargetMode="External"/><Relationship Id="rId870" Type="http://schemas.openxmlformats.org/officeDocument/2006/relationships/hyperlink" Target="http://hawksey.info/tagsexplorer/arc.html?key=1juyIQsnL_T8tqzfzAVVjPctB4eqiafTghnL_xhvkrjk&amp;gid=400689247&amp;screenname=OScaramucci" TargetMode="External"/><Relationship Id="rId1653" Type="http://schemas.openxmlformats.org/officeDocument/2006/relationships/hyperlink" Target="http://hawksey.info/tagsexplorer/arc.html?key=1juyIQsnL_T8tqzfzAVVjPctB4eqiafTghnL_xhvkrjk&amp;gid=400689247&amp;screenname=its4me23" TargetMode="External"/><Relationship Id="rId1654" Type="http://schemas.openxmlformats.org/officeDocument/2006/relationships/hyperlink" Target="http://hawksey.info/tagsexplorer/arc.html?key=1juyIQsnL_T8tqzfzAVVjPctB4eqiafTghnL_xhvkrjk&amp;gid=400689247&amp;screenname=itsFrankBoff" TargetMode="External"/><Relationship Id="rId1655" Type="http://schemas.openxmlformats.org/officeDocument/2006/relationships/hyperlink" Target="http://hawksey.info/tagsexplorer/arc.html?key=1juyIQsnL_T8tqzfzAVVjPctB4eqiafTghnL_xhvkrjk&amp;gid=400689247&amp;screenname=ivoesdelbe" TargetMode="External"/><Relationship Id="rId1656" Type="http://schemas.openxmlformats.org/officeDocument/2006/relationships/hyperlink" Target="http://hawksey.info/tagsexplorer/arc.html?key=1juyIQsnL_T8tqzfzAVVjPctB4eqiafTghnL_xhvkrjk&amp;gid=400689247&amp;screenname=j_consilio" TargetMode="External"/><Relationship Id="rId1657" Type="http://schemas.openxmlformats.org/officeDocument/2006/relationships/hyperlink" Target="http://hawksey.info/tagsexplorer/arc.html?key=1juyIQsnL_T8tqzfzAVVjPctB4eqiafTghnL_xhvkrjk&amp;gid=400689247&amp;screenname=jackalsbynight" TargetMode="External"/><Relationship Id="rId1658" Type="http://schemas.openxmlformats.org/officeDocument/2006/relationships/hyperlink" Target="http://hawksey.info/tagsexplorer/arc.html?key=1juyIQsnL_T8tqzfzAVVjPctB4eqiafTghnL_xhvkrjk&amp;gid=400689247&amp;screenname=jackmahoney1810" TargetMode="External"/><Relationship Id="rId1659" Type="http://schemas.openxmlformats.org/officeDocument/2006/relationships/hyperlink" Target="http://hawksey.info/tagsexplorer/arc.html?key=1juyIQsnL_T8tqzfzAVVjPctB4eqiafTghnL_xhvkrjk&amp;gid=400689247&amp;screenname=jagxjr40" TargetMode="External"/><Relationship Id="rId829" Type="http://schemas.openxmlformats.org/officeDocument/2006/relationships/hyperlink" Target="http://hawksey.info/tagsexplorer/arc.html?key=1juyIQsnL_T8tqzfzAVVjPctB4eqiafTghnL_xhvkrjk&amp;gid=400689247&amp;screenname=MrsMoys" TargetMode="External"/><Relationship Id="rId828" Type="http://schemas.openxmlformats.org/officeDocument/2006/relationships/hyperlink" Target="http://hawksey.info/tagsexplorer/arc.html?key=1juyIQsnL_T8tqzfzAVVjPctB4eqiafTghnL_xhvkrjk&amp;gid=400689247&amp;screenname=MrsArcanum" TargetMode="External"/><Relationship Id="rId827" Type="http://schemas.openxmlformats.org/officeDocument/2006/relationships/hyperlink" Target="http://hawksey.info/tagsexplorer/arc.html?key=1juyIQsnL_T8tqzfzAVVjPctB4eqiafTghnL_xhvkrjk&amp;gid=400689247&amp;screenname=Mrruszka" TargetMode="External"/><Relationship Id="rId822" Type="http://schemas.openxmlformats.org/officeDocument/2006/relationships/hyperlink" Target="http://hawksey.info/tagsexplorer/arc.html?key=1juyIQsnL_T8tqzfzAVVjPctB4eqiafTghnL_xhvkrjk&amp;gid=400689247&amp;screenname=MrChrisBrand" TargetMode="External"/><Relationship Id="rId821" Type="http://schemas.openxmlformats.org/officeDocument/2006/relationships/hyperlink" Target="http://hawksey.info/tagsexplorer/arc.html?key=1juyIQsnL_T8tqzfzAVVjPctB4eqiafTghnL_xhvkrjk&amp;gid=400689247&amp;screenname=MrCarl_RLFan" TargetMode="External"/><Relationship Id="rId820" Type="http://schemas.openxmlformats.org/officeDocument/2006/relationships/hyperlink" Target="http://hawksey.info/tagsexplorer/arc.html?key=1juyIQsnL_T8tqzfzAVVjPctB4eqiafTghnL_xhvkrjk&amp;gid=400689247&amp;screenname=MourinCelia" TargetMode="External"/><Relationship Id="rId826" Type="http://schemas.openxmlformats.org/officeDocument/2006/relationships/hyperlink" Target="http://hawksey.info/tagsexplorer/arc.html?key=1juyIQsnL_T8tqzfzAVVjPctB4eqiafTghnL_xhvkrjk&amp;gid=400689247&amp;screenname=MrShodijo" TargetMode="External"/><Relationship Id="rId825" Type="http://schemas.openxmlformats.org/officeDocument/2006/relationships/hyperlink" Target="http://hawksey.info/tagsexplorer/arc.html?key=1juyIQsnL_T8tqzfzAVVjPctB4eqiafTghnL_xhvkrjk&amp;gid=400689247&amp;screenname=MrPJLowe" TargetMode="External"/><Relationship Id="rId824" Type="http://schemas.openxmlformats.org/officeDocument/2006/relationships/hyperlink" Target="http://hawksey.info/tagsexplorer/arc.html?key=1juyIQsnL_T8tqzfzAVVjPctB4eqiafTghnL_xhvkrjk&amp;gid=400689247&amp;screenname=MrN_Cooper" TargetMode="External"/><Relationship Id="rId823" Type="http://schemas.openxmlformats.org/officeDocument/2006/relationships/hyperlink" Target="http://hawksey.info/tagsexplorer/arc.html?key=1juyIQsnL_T8tqzfzAVVjPctB4eqiafTghnL_xhvkrjk&amp;gid=400689247&amp;screenname=MrESGrey" TargetMode="External"/><Relationship Id="rId1650" Type="http://schemas.openxmlformats.org/officeDocument/2006/relationships/hyperlink" Target="http://hawksey.info/tagsexplorer/arc.html?key=1juyIQsnL_T8tqzfzAVVjPctB4eqiafTghnL_xhvkrjk&amp;gid=400689247&amp;screenname=isolawilde306" TargetMode="External"/><Relationship Id="rId1651" Type="http://schemas.openxmlformats.org/officeDocument/2006/relationships/hyperlink" Target="http://hawksey.info/tagsexplorer/arc.html?key=1juyIQsnL_T8tqzfzAVVjPctB4eqiafTghnL_xhvkrjk&amp;gid=400689247&amp;screenname=isthisab0t" TargetMode="External"/><Relationship Id="rId1652" Type="http://schemas.openxmlformats.org/officeDocument/2006/relationships/hyperlink" Target="http://hawksey.info/tagsexplorer/arc.html?key=1juyIQsnL_T8tqzfzAVVjPctB4eqiafTghnL_xhvkrjk&amp;gid=400689247&amp;screenname=itchingseason" TargetMode="External"/><Relationship Id="rId1642" Type="http://schemas.openxmlformats.org/officeDocument/2006/relationships/hyperlink" Target="http://hawksey.info/tagsexplorer/arc.html?key=1juyIQsnL_T8tqzfzAVVjPctB4eqiafTghnL_xhvkrjk&amp;gid=400689247&amp;screenname=imagesconcept" TargetMode="External"/><Relationship Id="rId1643" Type="http://schemas.openxmlformats.org/officeDocument/2006/relationships/hyperlink" Target="http://hawksey.info/tagsexplorer/arc.html?key=1juyIQsnL_T8tqzfzAVVjPctB4eqiafTghnL_xhvkrjk&amp;gid=400689247&amp;screenname=inabster" TargetMode="External"/><Relationship Id="rId1644" Type="http://schemas.openxmlformats.org/officeDocument/2006/relationships/hyperlink" Target="http://hawksey.info/tagsexplorer/arc.html?key=1juyIQsnL_T8tqzfzAVVjPctB4eqiafTghnL_xhvkrjk&amp;gid=400689247&amp;screenname=infamousgrouser" TargetMode="External"/><Relationship Id="rId1645" Type="http://schemas.openxmlformats.org/officeDocument/2006/relationships/hyperlink" Target="http://hawksey.info/tagsexplorer/arc.html?key=1juyIQsnL_T8tqzfzAVVjPctB4eqiafTghnL_xhvkrjk&amp;gid=400689247&amp;screenname=infobancaetica" TargetMode="External"/><Relationship Id="rId1646" Type="http://schemas.openxmlformats.org/officeDocument/2006/relationships/hyperlink" Target="http://hawksey.info/tagsexplorer/arc.html?key=1juyIQsnL_T8tqzfzAVVjPctB4eqiafTghnL_xhvkrjk&amp;gid=400689247&amp;screenname=irelandseye" TargetMode="External"/><Relationship Id="rId1647" Type="http://schemas.openxmlformats.org/officeDocument/2006/relationships/hyperlink" Target="http://hawksey.info/tagsexplorer/arc.html?key=1juyIQsnL_T8tqzfzAVVjPctB4eqiafTghnL_xhvkrjk&amp;gid=400689247&amp;screenname=irishelt" TargetMode="External"/><Relationship Id="rId1648" Type="http://schemas.openxmlformats.org/officeDocument/2006/relationships/hyperlink" Target="http://hawksey.info/tagsexplorer/arc.html?key=1juyIQsnL_T8tqzfzAVVjPctB4eqiafTghnL_xhvkrjk&amp;gid=400689247&amp;screenname=ironknee61" TargetMode="External"/><Relationship Id="rId1649" Type="http://schemas.openxmlformats.org/officeDocument/2006/relationships/hyperlink" Target="http://hawksey.info/tagsexplorer/arc.html?key=1juyIQsnL_T8tqzfzAVVjPctB4eqiafTghnL_xhvkrjk&amp;gid=400689247&amp;screenname=isofarro" TargetMode="External"/><Relationship Id="rId819" Type="http://schemas.openxmlformats.org/officeDocument/2006/relationships/hyperlink" Target="http://hawksey.info/tagsexplorer/arc.html?key=1juyIQsnL_T8tqzfzAVVjPctB4eqiafTghnL_xhvkrjk&amp;gid=400689247&amp;screenname=Mountie31" TargetMode="External"/><Relationship Id="rId818" Type="http://schemas.openxmlformats.org/officeDocument/2006/relationships/hyperlink" Target="http://hawksey.info/tagsexplorer/arc.html?key=1juyIQsnL_T8tqzfzAVVjPctB4eqiafTghnL_xhvkrjk&amp;gid=400689247&amp;screenname=MorganLeahy" TargetMode="External"/><Relationship Id="rId817" Type="http://schemas.openxmlformats.org/officeDocument/2006/relationships/hyperlink" Target="http://hawksey.info/tagsexplorer/arc.html?key=1juyIQsnL_T8tqzfzAVVjPctB4eqiafTghnL_xhvkrjk&amp;gid=400689247&amp;screenname=MooreRosemary" TargetMode="External"/><Relationship Id="rId816" Type="http://schemas.openxmlformats.org/officeDocument/2006/relationships/hyperlink" Target="http://hawksey.info/tagsexplorer/arc.html?key=1juyIQsnL_T8tqzfzAVVjPctB4eqiafTghnL_xhvkrjk&amp;gid=400689247&amp;screenname=Moonstone1812" TargetMode="External"/><Relationship Id="rId811" Type="http://schemas.openxmlformats.org/officeDocument/2006/relationships/hyperlink" Target="http://hawksey.info/tagsexplorer/arc.html?key=1juyIQsnL_T8tqzfzAVVjPctB4eqiafTghnL_xhvkrjk&amp;gid=400689247&amp;screenname=MobilityCooper" TargetMode="External"/><Relationship Id="rId810" Type="http://schemas.openxmlformats.org/officeDocument/2006/relationships/hyperlink" Target="http://hawksey.info/tagsexplorer/arc.html?key=1juyIQsnL_T8tqzfzAVVjPctB4eqiafTghnL_xhvkrjk&amp;gid=400689247&amp;screenname=MobileJustice" TargetMode="External"/><Relationship Id="rId815" Type="http://schemas.openxmlformats.org/officeDocument/2006/relationships/hyperlink" Target="http://hawksey.info/tagsexplorer/arc.html?key=1juyIQsnL_T8tqzfzAVVjPctB4eqiafTghnL_xhvkrjk&amp;gid=400689247&amp;screenname=Monkiflops" TargetMode="External"/><Relationship Id="rId814" Type="http://schemas.openxmlformats.org/officeDocument/2006/relationships/hyperlink" Target="http://hawksey.info/tagsexplorer/arc.html?key=1juyIQsnL_T8tqzfzAVVjPctB4eqiafTghnL_xhvkrjk&amp;gid=400689247&amp;screenname=MomentsTo_2016" TargetMode="External"/><Relationship Id="rId813" Type="http://schemas.openxmlformats.org/officeDocument/2006/relationships/hyperlink" Target="http://hawksey.info/tagsexplorer/arc.html?key=1juyIQsnL_T8tqzfzAVVjPctB4eqiafTghnL_xhvkrjk&amp;gid=400689247&amp;screenname=Modern_Greenery" TargetMode="External"/><Relationship Id="rId812" Type="http://schemas.openxmlformats.org/officeDocument/2006/relationships/hyperlink" Target="http://hawksey.info/tagsexplorer/arc.html?key=1juyIQsnL_T8tqzfzAVVjPctB4eqiafTghnL_xhvkrjk&amp;gid=400689247&amp;screenname=Modan121" TargetMode="External"/><Relationship Id="rId1640" Type="http://schemas.openxmlformats.org/officeDocument/2006/relationships/hyperlink" Target="http://hawksey.info/tagsexplorer/arc.html?key=1juyIQsnL_T8tqzfzAVVjPctB4eqiafTghnL_xhvkrjk&amp;gid=400689247&amp;screenname=iii_turk" TargetMode="External"/><Relationship Id="rId1641" Type="http://schemas.openxmlformats.org/officeDocument/2006/relationships/hyperlink" Target="http://hawksey.info/tagsexplorer/arc.html?key=1juyIQsnL_T8tqzfzAVVjPctB4eqiafTghnL_xhvkrjk&amp;gid=400689247&amp;screenname=ilmomento" TargetMode="External"/><Relationship Id="rId1675" Type="http://schemas.openxmlformats.org/officeDocument/2006/relationships/hyperlink" Target="http://hawksey.info/tagsexplorer/arc.html?key=1juyIQsnL_T8tqzfzAVVjPctB4eqiafTghnL_xhvkrjk&amp;gid=400689247&amp;screenname=jccharnock" TargetMode="External"/><Relationship Id="rId1676" Type="http://schemas.openxmlformats.org/officeDocument/2006/relationships/hyperlink" Target="http://hawksey.info/tagsexplorer/arc.html?key=1juyIQsnL_T8tqzfzAVVjPctB4eqiafTghnL_xhvkrjk&amp;gid=400689247&amp;screenname=jcjumble" TargetMode="External"/><Relationship Id="rId1677" Type="http://schemas.openxmlformats.org/officeDocument/2006/relationships/hyperlink" Target="http://hawksey.info/tagsexplorer/arc.html?key=1juyIQsnL_T8tqzfzAVVjPctB4eqiafTghnL_xhvkrjk&amp;gid=400689247&amp;screenname=jdportes" TargetMode="External"/><Relationship Id="rId1678" Type="http://schemas.openxmlformats.org/officeDocument/2006/relationships/hyperlink" Target="http://hawksey.info/tagsexplorer/arc.html?key=1juyIQsnL_T8tqzfzAVVjPctB4eqiafTghnL_xhvkrjk&amp;gid=400689247&amp;screenname=jdutchman" TargetMode="External"/><Relationship Id="rId1679" Type="http://schemas.openxmlformats.org/officeDocument/2006/relationships/hyperlink" Target="http://hawksey.info/tagsexplorer/arc.html?key=1juyIQsnL_T8tqzfzAVVjPctB4eqiafTghnL_xhvkrjk&amp;gid=400689247&amp;screenname=jeanmedavis" TargetMode="External"/><Relationship Id="rId849" Type="http://schemas.openxmlformats.org/officeDocument/2006/relationships/hyperlink" Target="http://hawksey.info/tagsexplorer/arc.html?key=1juyIQsnL_T8tqzfzAVVjPctB4eqiafTghnL_xhvkrjk&amp;gid=400689247&amp;screenname=NeilsCub" TargetMode="External"/><Relationship Id="rId844" Type="http://schemas.openxmlformats.org/officeDocument/2006/relationships/hyperlink" Target="http://hawksey.info/tagsexplorer/arc.html?key=1juyIQsnL_T8tqzfzAVVjPctB4eqiafTghnL_xhvkrjk&amp;gid=400689247&amp;screenname=NaturalMessiah" TargetMode="External"/><Relationship Id="rId843" Type="http://schemas.openxmlformats.org/officeDocument/2006/relationships/hyperlink" Target="http://hawksey.info/tagsexplorer/arc.html?key=1juyIQsnL_T8tqzfzAVVjPctB4eqiafTghnL_xhvkrjk&amp;gid=400689247&amp;screenname=NathanJordan81" TargetMode="External"/><Relationship Id="rId842" Type="http://schemas.openxmlformats.org/officeDocument/2006/relationships/hyperlink" Target="http://hawksey.info/tagsexplorer/arc.html?key=1juyIQsnL_T8tqzfzAVVjPctB4eqiafTghnL_xhvkrjk&amp;gid=400689247&amp;screenname=NanaRavers" TargetMode="External"/><Relationship Id="rId841" Type="http://schemas.openxmlformats.org/officeDocument/2006/relationships/hyperlink" Target="http://hawksey.info/tagsexplorer/arc.html?key=1juyIQsnL_T8tqzfzAVVjPctB4eqiafTghnL_xhvkrjk&amp;gid=400689247&amp;screenname=NYLonGirl" TargetMode="External"/><Relationship Id="rId848" Type="http://schemas.openxmlformats.org/officeDocument/2006/relationships/hyperlink" Target="http://hawksey.info/tagsexplorer/arc.html?key=1juyIQsnL_T8tqzfzAVVjPctB4eqiafTghnL_xhvkrjk&amp;gid=400689247&amp;screenname=NeilMullens" TargetMode="External"/><Relationship Id="rId847" Type="http://schemas.openxmlformats.org/officeDocument/2006/relationships/hyperlink" Target="http://hawksey.info/tagsexplorer/arc.html?key=1juyIQsnL_T8tqzfzAVVjPctB4eqiafTghnL_xhvkrjk&amp;gid=400689247&amp;screenname=NeilJamesWeekes" TargetMode="External"/><Relationship Id="rId846" Type="http://schemas.openxmlformats.org/officeDocument/2006/relationships/hyperlink" Target="http://hawksey.info/tagsexplorer/arc.html?key=1juyIQsnL_T8tqzfzAVVjPctB4eqiafTghnL_xhvkrjk&amp;gid=400689247&amp;screenname=NeilDavoDavies1" TargetMode="External"/><Relationship Id="rId845" Type="http://schemas.openxmlformats.org/officeDocument/2006/relationships/hyperlink" Target="http://hawksey.info/tagsexplorer/arc.html?key=1juyIQsnL_T8tqzfzAVVjPctB4eqiafTghnL_xhvkrjk&amp;gid=400689247&amp;screenname=Nealy_OB" TargetMode="External"/><Relationship Id="rId1670" Type="http://schemas.openxmlformats.org/officeDocument/2006/relationships/hyperlink" Target="http://hawksey.info/tagsexplorer/arc.html?key=1juyIQsnL_T8tqzfzAVVjPctB4eqiafTghnL_xhvkrjk&amp;gid=400689247&amp;screenname=jantesays" TargetMode="External"/><Relationship Id="rId840" Type="http://schemas.openxmlformats.org/officeDocument/2006/relationships/hyperlink" Target="http://hawksey.info/tagsexplorer/arc.html?key=1juyIQsnL_T8tqzfzAVVjPctB4eqiafTghnL_xhvkrjk&amp;gid=400689247&amp;screenname=NIborn59" TargetMode="External"/><Relationship Id="rId1671" Type="http://schemas.openxmlformats.org/officeDocument/2006/relationships/hyperlink" Target="http://hawksey.info/tagsexplorer/arc.html?key=1juyIQsnL_T8tqzfzAVVjPctB4eqiafTghnL_xhvkrjk&amp;gid=400689247&amp;screenname=jasongdal2009" TargetMode="External"/><Relationship Id="rId1672" Type="http://schemas.openxmlformats.org/officeDocument/2006/relationships/hyperlink" Target="http://hawksey.info/tagsexplorer/arc.html?key=1juyIQsnL_T8tqzfzAVVjPctB4eqiafTghnL_xhvkrjk&amp;gid=400689247&amp;screenname=jaynehannahx" TargetMode="External"/><Relationship Id="rId1673" Type="http://schemas.openxmlformats.org/officeDocument/2006/relationships/hyperlink" Target="http://hawksey.info/tagsexplorer/arc.html?key=1juyIQsnL_T8tqzfzAVVjPctB4eqiafTghnL_xhvkrjk&amp;gid=400689247&amp;screenname=jayneinspain" TargetMode="External"/><Relationship Id="rId1674" Type="http://schemas.openxmlformats.org/officeDocument/2006/relationships/hyperlink" Target="http://hawksey.info/tagsexplorer/arc.html?key=1juyIQsnL_T8tqzfzAVVjPctB4eqiafTghnL_xhvkrjk&amp;gid=400689247&amp;screenname=jaypwright" TargetMode="External"/><Relationship Id="rId1664" Type="http://schemas.openxmlformats.org/officeDocument/2006/relationships/hyperlink" Target="http://hawksey.info/tagsexplorer/arc.html?key=1juyIQsnL_T8tqzfzAVVjPctB4eqiafTghnL_xhvkrjk&amp;gid=400689247&amp;screenname=jamessmyth17" TargetMode="External"/><Relationship Id="rId1665" Type="http://schemas.openxmlformats.org/officeDocument/2006/relationships/hyperlink" Target="http://hawksey.info/tagsexplorer/arc.html?key=1juyIQsnL_T8tqzfzAVVjPctB4eqiafTghnL_xhvkrjk&amp;gid=400689247&amp;screenname=jamie_saris" TargetMode="External"/><Relationship Id="rId1666" Type="http://schemas.openxmlformats.org/officeDocument/2006/relationships/hyperlink" Target="http://hawksey.info/tagsexplorer/arc.html?key=1juyIQsnL_T8tqzfzAVVjPctB4eqiafTghnL_xhvkrjk&amp;gid=400689247&amp;screenname=jan1mal" TargetMode="External"/><Relationship Id="rId1667" Type="http://schemas.openxmlformats.org/officeDocument/2006/relationships/hyperlink" Target="http://hawksey.info/tagsexplorer/arc.html?key=1juyIQsnL_T8tqzfzAVVjPctB4eqiafTghnL_xhvkrjk&amp;gid=400689247&amp;screenname=jane63c" TargetMode="External"/><Relationship Id="rId1668" Type="http://schemas.openxmlformats.org/officeDocument/2006/relationships/hyperlink" Target="http://hawksey.info/tagsexplorer/arc.html?key=1juyIQsnL_T8tqzfzAVVjPctB4eqiafTghnL_xhvkrjk&amp;gid=400689247&amp;screenname=janetm50723412" TargetMode="External"/><Relationship Id="rId1669" Type="http://schemas.openxmlformats.org/officeDocument/2006/relationships/hyperlink" Target="http://hawksey.info/tagsexplorer/arc.html?key=1juyIQsnL_T8tqzfzAVVjPctB4eqiafTghnL_xhvkrjk&amp;gid=400689247&amp;screenname=janfeghia" TargetMode="External"/><Relationship Id="rId839" Type="http://schemas.openxmlformats.org/officeDocument/2006/relationships/hyperlink" Target="http://hawksey.info/tagsexplorer/arc.html?key=1juyIQsnL_T8tqzfzAVVjPctB4eqiafTghnL_xhvkrjk&amp;gid=400689247&amp;screenname=NBowsie999" TargetMode="External"/><Relationship Id="rId838" Type="http://schemas.openxmlformats.org/officeDocument/2006/relationships/hyperlink" Target="http://hawksey.info/tagsexplorer/arc.html?key=1juyIQsnL_T8tqzfzAVVjPctB4eqiafTghnL_xhvkrjk&amp;gid=400689247&amp;screenname=Mz_Kitten" TargetMode="External"/><Relationship Id="rId833" Type="http://schemas.openxmlformats.org/officeDocument/2006/relationships/hyperlink" Target="http://hawksey.info/tagsexplorer/arc.html?key=1juyIQsnL_T8tqzfzAVVjPctB4eqiafTghnL_xhvkrjk&amp;gid=400689247&amp;screenname=MuddeiA" TargetMode="External"/><Relationship Id="rId832" Type="http://schemas.openxmlformats.org/officeDocument/2006/relationships/hyperlink" Target="http://hawksey.info/tagsexplorer/arc.html?key=1juyIQsnL_T8tqzfzAVVjPctB4eqiafTghnL_xhvkrjk&amp;gid=400689247&amp;screenname=MsTweets17" TargetMode="External"/><Relationship Id="rId831" Type="http://schemas.openxmlformats.org/officeDocument/2006/relationships/hyperlink" Target="http://hawksey.info/tagsexplorer/arc.html?key=1juyIQsnL_T8tqzfzAVVjPctB4eqiafTghnL_xhvkrjk&amp;gid=400689247&amp;screenname=MsHenshall" TargetMode="External"/><Relationship Id="rId830" Type="http://schemas.openxmlformats.org/officeDocument/2006/relationships/hyperlink" Target="http://hawksey.info/tagsexplorer/arc.html?key=1juyIQsnL_T8tqzfzAVVjPctB4eqiafTghnL_xhvkrjk&amp;gid=400689247&amp;screenname=MsAlliance" TargetMode="External"/><Relationship Id="rId837" Type="http://schemas.openxmlformats.org/officeDocument/2006/relationships/hyperlink" Target="http://hawksey.info/tagsexplorer/arc.html?key=1juyIQsnL_T8tqzfzAVVjPctB4eqiafTghnL_xhvkrjk&amp;gid=400689247&amp;screenname=Myerskate92Kate" TargetMode="External"/><Relationship Id="rId836" Type="http://schemas.openxmlformats.org/officeDocument/2006/relationships/hyperlink" Target="http://hawksey.info/tagsexplorer/arc.html?key=1juyIQsnL_T8tqzfzAVVjPctB4eqiafTghnL_xhvkrjk&amp;gid=400689247&amp;screenname=MutliRaceMan" TargetMode="External"/><Relationship Id="rId835" Type="http://schemas.openxmlformats.org/officeDocument/2006/relationships/hyperlink" Target="http://hawksey.info/tagsexplorer/arc.html?key=1juyIQsnL_T8tqzfzAVVjPctB4eqiafTghnL_xhvkrjk&amp;gid=400689247&amp;screenname=Munku1" TargetMode="External"/><Relationship Id="rId834" Type="http://schemas.openxmlformats.org/officeDocument/2006/relationships/hyperlink" Target="http://hawksey.info/tagsexplorer/arc.html?key=1juyIQsnL_T8tqzfzAVVjPctB4eqiafTghnL_xhvkrjk&amp;gid=400689247&amp;screenname=MuffitOfTea" TargetMode="External"/><Relationship Id="rId1660" Type="http://schemas.openxmlformats.org/officeDocument/2006/relationships/hyperlink" Target="http://hawksey.info/tagsexplorer/arc.html?key=1juyIQsnL_T8tqzfzAVVjPctB4eqiafTghnL_xhvkrjk&amp;gid=400689247&amp;screenname=jamdodger4" TargetMode="External"/><Relationship Id="rId1661" Type="http://schemas.openxmlformats.org/officeDocument/2006/relationships/hyperlink" Target="http://hawksey.info/tagsexplorer/arc.html?key=1juyIQsnL_T8tqzfzAVVjPctB4eqiafTghnL_xhvkrjk&amp;gid=400689247&amp;screenname=james__eu" TargetMode="External"/><Relationship Id="rId1662" Type="http://schemas.openxmlformats.org/officeDocument/2006/relationships/hyperlink" Target="http://hawksey.info/tagsexplorer/arc.html?key=1juyIQsnL_T8tqzfzAVVjPctB4eqiafTghnL_xhvkrjk&amp;gid=400689247&amp;screenname=jamesmb" TargetMode="External"/><Relationship Id="rId1663" Type="http://schemas.openxmlformats.org/officeDocument/2006/relationships/hyperlink" Target="http://hawksey.info/tagsexplorer/arc.html?key=1juyIQsnL_T8tqzfzAVVjPctB4eqiafTghnL_xhvkrjk&amp;gid=400689247&amp;screenname=jamespfeffer" TargetMode="External"/><Relationship Id="rId2148" Type="http://schemas.openxmlformats.org/officeDocument/2006/relationships/hyperlink" Target="http://hawksey.info/tagsexplorer/arc.html?key=1juyIQsnL_T8tqzfzAVVjPctB4eqiafTghnL_xhvkrjk&amp;gid=400689247&amp;screenname=tom_tomrayner" TargetMode="External"/><Relationship Id="rId2149" Type="http://schemas.openxmlformats.org/officeDocument/2006/relationships/hyperlink" Target="http://hawksey.info/tagsexplorer/arc.html?key=1juyIQsnL_T8tqzfzAVVjPctB4eqiafTghnL_xhvkrjk&amp;gid=400689247&amp;screenname=tomm_baldwin" TargetMode="External"/><Relationship Id="rId2140" Type="http://schemas.openxmlformats.org/officeDocument/2006/relationships/hyperlink" Target="http://hawksey.info/tagsexplorer/arc.html?key=1juyIQsnL_T8tqzfzAVVjPctB4eqiafTghnL_xhvkrjk&amp;gid=400689247&amp;screenname=timg33" TargetMode="External"/><Relationship Id="rId2141" Type="http://schemas.openxmlformats.org/officeDocument/2006/relationships/hyperlink" Target="http://hawksey.info/tagsexplorer/arc.html?key=1juyIQsnL_T8tqzfzAVVjPctB4eqiafTghnL_xhvkrjk&amp;gid=400689247&amp;screenname=timolarch" TargetMode="External"/><Relationship Id="rId2142" Type="http://schemas.openxmlformats.org/officeDocument/2006/relationships/hyperlink" Target="http://hawksey.info/tagsexplorer/arc.html?key=1juyIQsnL_T8tqzfzAVVjPctB4eqiafTghnL_xhvkrjk&amp;gid=400689247&amp;screenname=tintin9990" TargetMode="External"/><Relationship Id="rId2143" Type="http://schemas.openxmlformats.org/officeDocument/2006/relationships/hyperlink" Target="http://hawksey.info/tagsexplorer/arc.html?key=1juyIQsnL_T8tqzfzAVVjPctB4eqiafTghnL_xhvkrjk&amp;gid=400689247&amp;screenname=toadflaxmillion" TargetMode="External"/><Relationship Id="rId2144" Type="http://schemas.openxmlformats.org/officeDocument/2006/relationships/hyperlink" Target="http://hawksey.info/tagsexplorer/arc.html?key=1juyIQsnL_T8tqzfzAVVjPctB4eqiafTghnL_xhvkrjk&amp;gid=400689247&amp;screenname=toadovision" TargetMode="External"/><Relationship Id="rId2145" Type="http://schemas.openxmlformats.org/officeDocument/2006/relationships/hyperlink" Target="http://hawksey.info/tagsexplorer/arc.html?key=1juyIQsnL_T8tqzfzAVVjPctB4eqiafTghnL_xhvkrjk&amp;gid=400689247&amp;screenname=tober70986277" TargetMode="External"/><Relationship Id="rId2146" Type="http://schemas.openxmlformats.org/officeDocument/2006/relationships/hyperlink" Target="http://hawksey.info/tagsexplorer/arc.html?key=1juyIQsnL_T8tqzfzAVVjPctB4eqiafTghnL_xhvkrjk&amp;gid=400689247&amp;screenname=tobyh45" TargetMode="External"/><Relationship Id="rId2147" Type="http://schemas.openxmlformats.org/officeDocument/2006/relationships/hyperlink" Target="http://hawksey.info/tagsexplorer/arc.html?key=1juyIQsnL_T8tqzfzAVVjPctB4eqiafTghnL_xhvkrjk&amp;gid=400689247&amp;screenname=tobymutz101" TargetMode="External"/><Relationship Id="rId2137" Type="http://schemas.openxmlformats.org/officeDocument/2006/relationships/hyperlink" Target="http://hawksey.info/tagsexplorer/arc.html?key=1juyIQsnL_T8tqzfzAVVjPctB4eqiafTghnL_xhvkrjk&amp;gid=400689247&amp;screenname=thomaslynda123" TargetMode="External"/><Relationship Id="rId2138" Type="http://schemas.openxmlformats.org/officeDocument/2006/relationships/hyperlink" Target="http://hawksey.info/tagsexplorer/arc.html?key=1juyIQsnL_T8tqzfzAVVjPctB4eqiafTghnL_xhvkrjk&amp;gid=400689247&amp;screenname=tiger_ayres" TargetMode="External"/><Relationship Id="rId2139" Type="http://schemas.openxmlformats.org/officeDocument/2006/relationships/hyperlink" Target="http://hawksey.info/tagsexplorer/arc.html?key=1juyIQsnL_T8tqzfzAVVjPctB4eqiafTghnL_xhvkrjk&amp;gid=400689247&amp;screenname=tim_urbancrap" TargetMode="External"/><Relationship Id="rId2130" Type="http://schemas.openxmlformats.org/officeDocument/2006/relationships/hyperlink" Target="http://hawksey.info/tagsexplorer/arc.html?key=1juyIQsnL_T8tqzfzAVVjPctB4eqiafTghnL_xhvkrjk&amp;gid=400689247&amp;screenname=theradgeygadgey" TargetMode="External"/><Relationship Id="rId2131" Type="http://schemas.openxmlformats.org/officeDocument/2006/relationships/hyperlink" Target="http://hawksey.info/tagsexplorer/arc.html?key=1juyIQsnL_T8tqzfzAVVjPctB4eqiafTghnL_xhvkrjk&amp;gid=400689247&amp;screenname=therealdaverich" TargetMode="External"/><Relationship Id="rId2132" Type="http://schemas.openxmlformats.org/officeDocument/2006/relationships/hyperlink" Target="http://hawksey.info/tagsexplorer/arc.html?key=1juyIQsnL_T8tqzfzAVVjPctB4eqiafTghnL_xhvkrjk&amp;gid=400689247&amp;screenname=therealkaz01" TargetMode="External"/><Relationship Id="rId2133" Type="http://schemas.openxmlformats.org/officeDocument/2006/relationships/hyperlink" Target="http://hawksey.info/tagsexplorer/arc.html?key=1juyIQsnL_T8tqzfzAVVjPctB4eqiafTghnL_xhvkrjk&amp;gid=400689247&amp;screenname=thestefanmann" TargetMode="External"/><Relationship Id="rId2134" Type="http://schemas.openxmlformats.org/officeDocument/2006/relationships/hyperlink" Target="http://hawksey.info/tagsexplorer/arc.html?key=1juyIQsnL_T8tqzfzAVVjPctB4eqiafTghnL_xhvkrjk&amp;gid=400689247&amp;screenname=thetakappa73" TargetMode="External"/><Relationship Id="rId2135" Type="http://schemas.openxmlformats.org/officeDocument/2006/relationships/hyperlink" Target="http://hawksey.info/tagsexplorer/arc.html?key=1juyIQsnL_T8tqzfzAVVjPctB4eqiafTghnL_xhvkrjk&amp;gid=400689247&amp;screenname=thetopcaptain" TargetMode="External"/><Relationship Id="rId2136" Type="http://schemas.openxmlformats.org/officeDocument/2006/relationships/hyperlink" Target="http://hawksey.info/tagsexplorer/arc.html?key=1juyIQsnL_T8tqzfzAVVjPctB4eqiafTghnL_xhvkrjk&amp;gid=400689247&amp;screenname=thinkingiamwait" TargetMode="External"/><Relationship Id="rId2160" Type="http://schemas.openxmlformats.org/officeDocument/2006/relationships/hyperlink" Target="http://hawksey.info/tagsexplorer/arc.html?key=1juyIQsnL_T8tqzfzAVVjPctB4eqiafTghnL_xhvkrjk&amp;gid=400689247&amp;screenname=tottaylor1" TargetMode="External"/><Relationship Id="rId2161" Type="http://schemas.openxmlformats.org/officeDocument/2006/relationships/hyperlink" Target="http://hawksey.info/tagsexplorer/arc.html?key=1juyIQsnL_T8tqzfzAVVjPctB4eqiafTghnL_xhvkrjk&amp;gid=400689247&amp;screenname=touchst0ne" TargetMode="External"/><Relationship Id="rId2162" Type="http://schemas.openxmlformats.org/officeDocument/2006/relationships/hyperlink" Target="http://hawksey.info/tagsexplorer/arc.html?key=1juyIQsnL_T8tqzfzAVVjPctB4eqiafTghnL_xhvkrjk&amp;gid=400689247&amp;screenname=tr54vor" TargetMode="External"/><Relationship Id="rId2163" Type="http://schemas.openxmlformats.org/officeDocument/2006/relationships/hyperlink" Target="http://hawksey.info/tagsexplorer/arc.html?key=1juyIQsnL_T8tqzfzAVVjPctB4eqiafTghnL_xhvkrjk&amp;gid=400689247&amp;screenname=traceymhodgson" TargetMode="External"/><Relationship Id="rId2164" Type="http://schemas.openxmlformats.org/officeDocument/2006/relationships/hyperlink" Target="http://hawksey.info/tagsexplorer/arc.html?key=1juyIQsnL_T8tqzfzAVVjPctB4eqiafTghnL_xhvkrjk&amp;gid=400689247&amp;screenname=travellersuzy" TargetMode="External"/><Relationship Id="rId2165" Type="http://schemas.openxmlformats.org/officeDocument/2006/relationships/hyperlink" Target="http://hawksey.info/tagsexplorer/arc.html?key=1juyIQsnL_T8tqzfzAVVjPctB4eqiafTghnL_xhvkrjk&amp;gid=400689247&amp;screenname=trewennack" TargetMode="External"/><Relationship Id="rId2166" Type="http://schemas.openxmlformats.org/officeDocument/2006/relationships/hyperlink" Target="http://hawksey.info/tagsexplorer/arc.html?key=1juyIQsnL_T8tqzfzAVVjPctB4eqiafTghnL_xhvkrjk&amp;gid=400689247&amp;screenname=trish4leave" TargetMode="External"/><Relationship Id="rId2167" Type="http://schemas.openxmlformats.org/officeDocument/2006/relationships/hyperlink" Target="http://hawksey.info/tagsexplorer/arc.html?key=1juyIQsnL_T8tqzfzAVVjPctB4eqiafTghnL_xhvkrjk&amp;gid=400689247&amp;screenname=trish_mn" TargetMode="External"/><Relationship Id="rId2168" Type="http://schemas.openxmlformats.org/officeDocument/2006/relationships/hyperlink" Target="http://hawksey.info/tagsexplorer/arc.html?key=1juyIQsnL_T8tqzfzAVVjPctB4eqiafTghnL_xhvkrjk&amp;gid=400689247&amp;screenname=trixietrottsba1" TargetMode="External"/><Relationship Id="rId2169" Type="http://schemas.openxmlformats.org/officeDocument/2006/relationships/hyperlink" Target="http://hawksey.info/tagsexplorer/arc.html?key=1juyIQsnL_T8tqzfzAVVjPctB4eqiafTghnL_xhvkrjk&amp;gid=400689247&amp;screenname=tucker_sharon" TargetMode="External"/><Relationship Id="rId2159" Type="http://schemas.openxmlformats.org/officeDocument/2006/relationships/hyperlink" Target="http://hawksey.info/tagsexplorer/arc.html?key=1juyIQsnL_T8tqzfzAVVjPctB4eqiafTghnL_xhvkrjk&amp;gid=400689247&amp;screenname=tory_lies" TargetMode="External"/><Relationship Id="rId2150" Type="http://schemas.openxmlformats.org/officeDocument/2006/relationships/hyperlink" Target="http://hawksey.info/tagsexplorer/arc.html?key=1juyIQsnL_T8tqzfzAVVjPctB4eqiafTghnL_xhvkrjk&amp;gid=400689247&amp;screenname=tommy54w" TargetMode="External"/><Relationship Id="rId2151" Type="http://schemas.openxmlformats.org/officeDocument/2006/relationships/hyperlink" Target="http://hawksey.info/tagsexplorer/arc.html?key=1juyIQsnL_T8tqzfzAVVjPctB4eqiafTghnL_xhvkrjk&amp;gid=400689247&amp;screenname=tomprimrose" TargetMode="External"/><Relationship Id="rId2152" Type="http://schemas.openxmlformats.org/officeDocument/2006/relationships/hyperlink" Target="http://hawksey.info/tagsexplorer/arc.html?key=1juyIQsnL_T8tqzfzAVVjPctB4eqiafTghnL_xhvkrjk&amp;gid=400689247&amp;screenname=tomski_hiscox" TargetMode="External"/><Relationship Id="rId2153" Type="http://schemas.openxmlformats.org/officeDocument/2006/relationships/hyperlink" Target="http://hawksey.info/tagsexplorer/arc.html?key=1juyIQsnL_T8tqzfzAVVjPctB4eqiafTghnL_xhvkrjk&amp;gid=400689247&amp;screenname=tonyach1972" TargetMode="External"/><Relationship Id="rId2154" Type="http://schemas.openxmlformats.org/officeDocument/2006/relationships/hyperlink" Target="http://hawksey.info/tagsexplorer/arc.html?key=1juyIQsnL_T8tqzfzAVVjPctB4eqiafTghnL_xhvkrjk&amp;gid=400689247&amp;screenname=tonybohan" TargetMode="External"/><Relationship Id="rId2155" Type="http://schemas.openxmlformats.org/officeDocument/2006/relationships/hyperlink" Target="http://hawksey.info/tagsexplorer/arc.html?key=1juyIQsnL_T8tqzfzAVVjPctB4eqiafTghnL_xhvkrjk&amp;gid=400689247&amp;screenname=tonybwlch" TargetMode="External"/><Relationship Id="rId2156" Type="http://schemas.openxmlformats.org/officeDocument/2006/relationships/hyperlink" Target="http://hawksey.info/tagsexplorer/arc.html?key=1juyIQsnL_T8tqzfzAVVjPctB4eqiafTghnL_xhvkrjk&amp;gid=400689247&amp;screenname=tonydoyle57" TargetMode="External"/><Relationship Id="rId2157" Type="http://schemas.openxmlformats.org/officeDocument/2006/relationships/hyperlink" Target="http://hawksey.info/tagsexplorer/arc.html?key=1juyIQsnL_T8tqzfzAVVjPctB4eqiafTghnL_xhvkrjk&amp;gid=400689247&amp;screenname=tonyforde007" TargetMode="External"/><Relationship Id="rId2158" Type="http://schemas.openxmlformats.org/officeDocument/2006/relationships/hyperlink" Target="http://hawksey.info/tagsexplorer/arc.html?key=1juyIQsnL_T8tqzfzAVVjPctB4eqiafTghnL_xhvkrjk&amp;gid=400689247&amp;screenname=toomuchbrexit" TargetMode="External"/><Relationship Id="rId2104" Type="http://schemas.openxmlformats.org/officeDocument/2006/relationships/hyperlink" Target="http://hawksey.info/tagsexplorer/arc.html?key=1juyIQsnL_T8tqzfzAVVjPctB4eqiafTghnL_xhvkrjk&amp;gid=400689247&amp;screenname=superdupedoodle" TargetMode="External"/><Relationship Id="rId2105" Type="http://schemas.openxmlformats.org/officeDocument/2006/relationships/hyperlink" Target="http://hawksey.info/tagsexplorer/arc.html?key=1juyIQsnL_T8tqzfzAVVjPctB4eqiafTghnL_xhvkrjk&amp;gid=400689247&amp;screenname=susiereaphoto" TargetMode="External"/><Relationship Id="rId2106" Type="http://schemas.openxmlformats.org/officeDocument/2006/relationships/hyperlink" Target="http://hawksey.info/tagsexplorer/arc.html?key=1juyIQsnL_T8tqzfzAVVjPctB4eqiafTghnL_xhvkrjk&amp;gid=400689247&amp;screenname=susyJack123" TargetMode="External"/><Relationship Id="rId2107" Type="http://schemas.openxmlformats.org/officeDocument/2006/relationships/hyperlink" Target="http://hawksey.info/tagsexplorer/arc.html?key=1juyIQsnL_T8tqzfzAVVjPctB4eqiafTghnL_xhvkrjk&amp;gid=400689247&amp;screenname=suthers" TargetMode="External"/><Relationship Id="rId2108" Type="http://schemas.openxmlformats.org/officeDocument/2006/relationships/hyperlink" Target="http://hawksey.info/tagsexplorer/arc.html?key=1juyIQsnL_T8tqzfzAVVjPctB4eqiafTghnL_xhvkrjk&amp;gid=400689247&amp;screenname=suzeb57" TargetMode="External"/><Relationship Id="rId2109" Type="http://schemas.openxmlformats.org/officeDocument/2006/relationships/hyperlink" Target="http://hawksey.info/tagsexplorer/arc.html?key=1juyIQsnL_T8tqzfzAVVjPctB4eqiafTghnL_xhvkrjk&amp;gid=400689247&amp;screenname=svelji" TargetMode="External"/><Relationship Id="rId2100" Type="http://schemas.openxmlformats.org/officeDocument/2006/relationships/hyperlink" Target="http://hawksey.info/tagsexplorer/arc.html?key=1juyIQsnL_T8tqzfzAVVjPctB4eqiafTghnL_xhvkrjk&amp;gid=400689247&amp;screenname=stuindy" TargetMode="External"/><Relationship Id="rId2101" Type="http://schemas.openxmlformats.org/officeDocument/2006/relationships/hyperlink" Target="http://hawksey.info/tagsexplorer/arc.html?key=1juyIQsnL_T8tqzfzAVVjPctB4eqiafTghnL_xhvkrjk&amp;gid=400689247&amp;screenname=stultarna" TargetMode="External"/><Relationship Id="rId2102" Type="http://schemas.openxmlformats.org/officeDocument/2006/relationships/hyperlink" Target="http://hawksey.info/tagsexplorer/arc.html?key=1juyIQsnL_T8tqzfzAVVjPctB4eqiafTghnL_xhvkrjk&amp;gid=400689247&amp;screenname=suecor" TargetMode="External"/><Relationship Id="rId2103" Type="http://schemas.openxmlformats.org/officeDocument/2006/relationships/hyperlink" Target="http://hawksey.info/tagsexplorer/arc.html?key=1juyIQsnL_T8tqzfzAVVjPctB4eqiafTghnL_xhvkrjk&amp;gid=400689247&amp;screenname=suecresswell01" TargetMode="External"/><Relationship Id="rId899" Type="http://schemas.openxmlformats.org/officeDocument/2006/relationships/hyperlink" Target="http://hawksey.info/tagsexplorer/arc.html?key=1juyIQsnL_T8tqzfzAVVjPctB4eqiafTghnL_xhvkrjk&amp;gid=400689247&amp;screenname=PatAlexTea" TargetMode="External"/><Relationship Id="rId898" Type="http://schemas.openxmlformats.org/officeDocument/2006/relationships/hyperlink" Target="http://hawksey.info/tagsexplorer/arc.html?key=1juyIQsnL_T8tqzfzAVVjPctB4eqiafTghnL_xhvkrjk&amp;gid=400689247&amp;screenname=PapaFrew" TargetMode="External"/><Relationship Id="rId897" Type="http://schemas.openxmlformats.org/officeDocument/2006/relationships/hyperlink" Target="http://hawksey.info/tagsexplorer/arc.html?key=1juyIQsnL_T8tqzfzAVVjPctB4eqiafTghnL_xhvkrjk&amp;gid=400689247&amp;screenname=Panbocchh" TargetMode="External"/><Relationship Id="rId896" Type="http://schemas.openxmlformats.org/officeDocument/2006/relationships/hyperlink" Target="http://hawksey.info/tagsexplorer/arc.html?key=1juyIQsnL_T8tqzfzAVVjPctB4eqiafTghnL_xhvkrjk&amp;gid=400689247&amp;screenname=PalmerTim1" TargetMode="External"/><Relationship Id="rId891" Type="http://schemas.openxmlformats.org/officeDocument/2006/relationships/hyperlink" Target="http://hawksey.info/tagsexplorer/arc.html?key=1juyIQsnL_T8tqzfzAVVjPctB4eqiafTghnL_xhvkrjk&amp;gid=400689247&amp;screenname=PJWestlake" TargetMode="External"/><Relationship Id="rId890" Type="http://schemas.openxmlformats.org/officeDocument/2006/relationships/hyperlink" Target="http://hawksey.info/tagsexplorer/arc.html?key=1juyIQsnL_T8tqzfzAVVjPctB4eqiafTghnL_xhvkrjk&amp;gid=400689247&amp;screenname=PHandwright" TargetMode="External"/><Relationship Id="rId895" Type="http://schemas.openxmlformats.org/officeDocument/2006/relationships/hyperlink" Target="http://hawksey.info/tagsexplorer/arc.html?key=1juyIQsnL_T8tqzfzAVVjPctB4eqiafTghnL_xhvkrjk&amp;gid=400689247&amp;screenname=PalmaHelene" TargetMode="External"/><Relationship Id="rId894" Type="http://schemas.openxmlformats.org/officeDocument/2006/relationships/hyperlink" Target="http://hawksey.info/tagsexplorer/arc.html?key=1juyIQsnL_T8tqzfzAVVjPctB4eqiafTghnL_xhvkrjk&amp;gid=400689247&amp;screenname=PaisleyJanine" TargetMode="External"/><Relationship Id="rId893" Type="http://schemas.openxmlformats.org/officeDocument/2006/relationships/hyperlink" Target="http://hawksey.info/tagsexplorer/arc.html?key=1juyIQsnL_T8tqzfzAVVjPctB4eqiafTghnL_xhvkrjk&amp;gid=400689247&amp;screenname=PaddyNenagh" TargetMode="External"/><Relationship Id="rId892" Type="http://schemas.openxmlformats.org/officeDocument/2006/relationships/hyperlink" Target="http://hawksey.info/tagsexplorer/arc.html?key=1juyIQsnL_T8tqzfzAVVjPctB4eqiafTghnL_xhvkrjk&amp;gid=400689247&amp;screenname=PShootLFWW" TargetMode="External"/><Relationship Id="rId2126" Type="http://schemas.openxmlformats.org/officeDocument/2006/relationships/hyperlink" Target="http://hawksey.info/tagsexplorer/arc.html?key=1juyIQsnL_T8tqzfzAVVjPctB4eqiafTghnL_xhvkrjk&amp;gid=400689247&amp;screenname=thefossiler" TargetMode="External"/><Relationship Id="rId2127" Type="http://schemas.openxmlformats.org/officeDocument/2006/relationships/hyperlink" Target="http://hawksey.info/tagsexplorer/arc.html?key=1juyIQsnL_T8tqzfzAVVjPctB4eqiafTghnL_xhvkrjk&amp;gid=400689247&amp;screenname=thelastaerie" TargetMode="External"/><Relationship Id="rId2128" Type="http://schemas.openxmlformats.org/officeDocument/2006/relationships/hyperlink" Target="http://hawksey.info/tagsexplorer/arc.html?key=1juyIQsnL_T8tqzfzAVVjPctB4eqiafTghnL_xhvkrjk&amp;gid=400689247&amp;screenname=themarkloan" TargetMode="External"/><Relationship Id="rId2129" Type="http://schemas.openxmlformats.org/officeDocument/2006/relationships/hyperlink" Target="http://hawksey.info/tagsexplorer/arc.html?key=1juyIQsnL_T8tqzfzAVVjPctB4eqiafTghnL_xhvkrjk&amp;gid=400689247&amp;screenname=thepetermesser" TargetMode="External"/><Relationship Id="rId2120" Type="http://schemas.openxmlformats.org/officeDocument/2006/relationships/hyperlink" Target="http://hawksey.info/tagsexplorer/arc.html?key=1juyIQsnL_T8tqzfzAVVjPctB4eqiafTghnL_xhvkrjk&amp;gid=400689247&amp;screenname=taylorkwinship" TargetMode="External"/><Relationship Id="rId2121" Type="http://schemas.openxmlformats.org/officeDocument/2006/relationships/hyperlink" Target="http://hawksey.info/tagsexplorer/arc.html?key=1juyIQsnL_T8tqzfzAVVjPctB4eqiafTghnL_xhvkrjk&amp;gid=400689247&amp;screenname=teablott" TargetMode="External"/><Relationship Id="rId2122" Type="http://schemas.openxmlformats.org/officeDocument/2006/relationships/hyperlink" Target="http://hawksey.info/tagsexplorer/arc.html?key=1juyIQsnL_T8tqzfzAVVjPctB4eqiafTghnL_xhvkrjk&amp;gid=400689247&amp;screenname=tearea13" TargetMode="External"/><Relationship Id="rId2123" Type="http://schemas.openxmlformats.org/officeDocument/2006/relationships/hyperlink" Target="http://hawksey.info/tagsexplorer/arc.html?key=1juyIQsnL_T8tqzfzAVVjPctB4eqiafTghnL_xhvkrjk&amp;gid=400689247&amp;screenname=telmckeown" TargetMode="External"/><Relationship Id="rId2124" Type="http://schemas.openxmlformats.org/officeDocument/2006/relationships/hyperlink" Target="http://hawksey.info/tagsexplorer/arc.html?key=1juyIQsnL_T8tqzfzAVVjPctB4eqiafTghnL_xhvkrjk&amp;gid=400689247&amp;screenname=the_dantona" TargetMode="External"/><Relationship Id="rId2125" Type="http://schemas.openxmlformats.org/officeDocument/2006/relationships/hyperlink" Target="http://hawksey.info/tagsexplorer/arc.html?key=1juyIQsnL_T8tqzfzAVVjPctB4eqiafTghnL_xhvkrjk&amp;gid=400689247&amp;screenname=thedragonaunt" TargetMode="External"/><Relationship Id="rId2115" Type="http://schemas.openxmlformats.org/officeDocument/2006/relationships/hyperlink" Target="http://hawksey.info/tagsexplorer/arc.html?key=1juyIQsnL_T8tqzfzAVVjPctB4eqiafTghnL_xhvkrjk&amp;gid=400689247&amp;screenname=t_pressland" TargetMode="External"/><Relationship Id="rId2116" Type="http://schemas.openxmlformats.org/officeDocument/2006/relationships/hyperlink" Target="http://hawksey.info/tagsexplorer/arc.html?key=1juyIQsnL_T8tqzfzAVVjPctB4eqiafTghnL_xhvkrjk&amp;gid=400689247&amp;screenname=tad123" TargetMode="External"/><Relationship Id="rId2117" Type="http://schemas.openxmlformats.org/officeDocument/2006/relationships/hyperlink" Target="http://hawksey.info/tagsexplorer/arc.html?key=1juyIQsnL_T8tqzfzAVVjPctB4eqiafTghnL_xhvkrjk&amp;gid=400689247&amp;screenname=tanita_tikaram" TargetMode="External"/><Relationship Id="rId2118" Type="http://schemas.openxmlformats.org/officeDocument/2006/relationships/hyperlink" Target="http://hawksey.info/tagsexplorer/arc.html?key=1juyIQsnL_T8tqzfzAVVjPctB4eqiafTghnL_xhvkrjk&amp;gid=400689247&amp;screenname=tarisgal42" TargetMode="External"/><Relationship Id="rId2119" Type="http://schemas.openxmlformats.org/officeDocument/2006/relationships/hyperlink" Target="http://hawksey.info/tagsexplorer/arc.html?key=1juyIQsnL_T8tqzfzAVVjPctB4eqiafTghnL_xhvkrjk&amp;gid=400689247&amp;screenname=tartancobweb" TargetMode="External"/><Relationship Id="rId2110" Type="http://schemas.openxmlformats.org/officeDocument/2006/relationships/hyperlink" Target="http://hawksey.info/tagsexplorer/arc.html?key=1juyIQsnL_T8tqzfzAVVjPctB4eqiafTghnL_xhvkrjk&amp;gid=400689247&amp;screenname=swanseagds" TargetMode="External"/><Relationship Id="rId2111" Type="http://schemas.openxmlformats.org/officeDocument/2006/relationships/hyperlink" Target="http://hawksey.info/tagsexplorer/arc.html?key=1juyIQsnL_T8tqzfzAVVjPctB4eqiafTghnL_xhvkrjk&amp;gid=400689247&amp;screenname=swishthedragon" TargetMode="External"/><Relationship Id="rId2112" Type="http://schemas.openxmlformats.org/officeDocument/2006/relationships/hyperlink" Target="http://hawksey.info/tagsexplorer/arc.html?key=1juyIQsnL_T8tqzfzAVVjPctB4eqiafTghnL_xhvkrjk&amp;gid=400689247&amp;screenname=swpp12" TargetMode="External"/><Relationship Id="rId2113" Type="http://schemas.openxmlformats.org/officeDocument/2006/relationships/hyperlink" Target="http://hawksey.info/tagsexplorer/arc.html?key=1juyIQsnL_T8tqzfzAVVjPctB4eqiafTghnL_xhvkrjk&amp;gid=400689247&amp;screenname=sydturner1" TargetMode="External"/><Relationship Id="rId2114" Type="http://schemas.openxmlformats.org/officeDocument/2006/relationships/hyperlink" Target="http://hawksey.info/tagsexplorer/arc.html?key=1juyIQsnL_T8tqzfzAVVjPctB4eqiafTghnL_xhvkrjk&amp;gid=400689247&amp;screenname=systonhouse"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38"/>
    <col customWidth="1" min="2" max="2" width="19.88"/>
    <col customWidth="1" min="3" max="3" width="61.75"/>
  </cols>
  <sheetData>
    <row r="1" ht="24.75" customHeight="1">
      <c r="A1" s="1" t="s">
        <v>0</v>
      </c>
      <c r="C1" s="2"/>
    </row>
    <row r="2" ht="18.0" customHeight="1">
      <c r="A2" s="3" t="s">
        <v>1</v>
      </c>
      <c r="C2" s="2"/>
    </row>
    <row r="3" ht="24.75" customHeight="1">
      <c r="A3" s="4" t="s">
        <v>2</v>
      </c>
      <c r="C3" s="2"/>
    </row>
    <row r="4" ht="24.75" customHeight="1">
      <c r="A4" s="5" t="s">
        <v>3</v>
      </c>
      <c r="B4" s="6"/>
      <c r="C4" s="7" t="str">
        <f>IMAGE(getGABeacon("UA-48225260-1",B9),3)</f>
        <v/>
      </c>
    </row>
    <row r="5" ht="23.25" customHeight="1">
      <c r="A5" s="8" t="s">
        <v>4</v>
      </c>
      <c r="C5" s="2"/>
    </row>
    <row r="6" ht="25.5" customHeight="1">
      <c r="A6" s="5" t="s">
        <v>5</v>
      </c>
      <c r="C6" s="2"/>
    </row>
    <row r="7" ht="25.5" customHeight="1">
      <c r="A7" s="8" t="s">
        <v>6</v>
      </c>
      <c r="C7" s="2"/>
    </row>
    <row r="8" ht="14.25" customHeight="1">
      <c r="A8" s="9"/>
      <c r="B8" s="10"/>
      <c r="C8" s="11"/>
    </row>
    <row r="9" ht="24.75" customHeight="1">
      <c r="A9" s="12" t="s">
        <v>7</v>
      </c>
      <c r="B9" s="13" t="s">
        <v>8</v>
      </c>
      <c r="C9" s="14"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15"/>
      <c r="B10" s="16"/>
      <c r="C10" s="11"/>
    </row>
    <row r="11" ht="37.5" customHeight="1">
      <c r="A11" s="17" t="s">
        <v>9</v>
      </c>
      <c r="C11" s="2"/>
    </row>
    <row r="12" ht="24.75" customHeight="1">
      <c r="A12" s="5" t="s">
        <v>10</v>
      </c>
      <c r="C12" s="2"/>
    </row>
    <row r="13" ht="23.25" customHeight="1">
      <c r="A13" s="18" t="s">
        <v>11</v>
      </c>
      <c r="B13" s="19" t="s">
        <v>12</v>
      </c>
      <c r="C13" s="20"/>
    </row>
    <row r="14" ht="23.25" hidden="1" customHeight="1">
      <c r="A14" s="18" t="s">
        <v>13</v>
      </c>
      <c r="B14" s="21" t="s">
        <v>14</v>
      </c>
      <c r="C14" s="22" t="s">
        <v>15</v>
      </c>
    </row>
    <row r="15" ht="23.25" customHeight="1">
      <c r="A15" s="18" t="s">
        <v>16</v>
      </c>
      <c r="B15" s="21">
        <v>0.0</v>
      </c>
      <c r="C15" s="23" t="s">
        <v>17</v>
      </c>
    </row>
    <row r="16" ht="23.25" customHeight="1">
      <c r="A16" s="18" t="s">
        <v>18</v>
      </c>
      <c r="B16" s="24">
        <v>3000.0</v>
      </c>
      <c r="C16" s="25" t="s">
        <v>19</v>
      </c>
    </row>
    <row r="17" ht="23.25" customHeight="1">
      <c r="A17" s="12" t="s">
        <v>20</v>
      </c>
      <c r="B17" s="26" t="s">
        <v>21</v>
      </c>
      <c r="C17" s="27"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5" t="s">
        <v>22</v>
      </c>
      <c r="C18" s="2"/>
    </row>
    <row r="19" ht="21.0" customHeight="1">
      <c r="A19" s="28" t="s">
        <v>23</v>
      </c>
      <c r="B19" s="29">
        <f>COUNTA(Archive!A:A)-1</f>
        <v>3007</v>
      </c>
      <c r="C19" s="30"/>
    </row>
    <row r="20" ht="21.0" customHeight="1">
      <c r="A20" s="28" t="s">
        <v>24</v>
      </c>
      <c r="B20" s="31">
        <f>IFERROR(__xludf.DUMMYFUNCTION("COUNTA(UNIQUE(Archive!A:A))-1"),3006.0)</f>
        <v>3006</v>
      </c>
      <c r="C20" s="30"/>
    </row>
    <row r="21" ht="21.0" customHeight="1">
      <c r="A21" s="32" t="s">
        <v>25</v>
      </c>
      <c r="B21" s="33">
        <f>MIN(Archive!H:H)</f>
        <v>44682.94916</v>
      </c>
      <c r="C21" s="30"/>
    </row>
    <row r="22" ht="21.0" customHeight="1">
      <c r="A22" s="32" t="s">
        <v>26</v>
      </c>
      <c r="B22" s="34">
        <f>MAX(Archive!H:H)</f>
        <v>44683.47786</v>
      </c>
      <c r="C22" s="30"/>
    </row>
    <row r="23" ht="31.5" customHeight="1">
      <c r="A23" s="5" t="s">
        <v>27</v>
      </c>
      <c r="C23" s="2"/>
    </row>
    <row r="24" ht="25.5" customHeight="1">
      <c r="A24" s="35" t="s">
        <v>28</v>
      </c>
      <c r="C24" s="2"/>
    </row>
    <row r="25" ht="23.25" customHeight="1">
      <c r="A25" s="36" t="s">
        <v>29</v>
      </c>
      <c r="C25" s="2"/>
    </row>
    <row r="26" ht="18.75" customHeight="1">
      <c r="A26" s="37"/>
      <c r="B26" s="38" t="str">
        <f>HYPERLINK("http://hawksey.info/tagsexplorer/?key="&amp;getSheetKey(B9)&amp;"&amp;gid="&amp;getSheetGID("Archive"), "TAGSExplorer")</f>
        <v>TAGSExplorer</v>
      </c>
      <c r="C26" s="39" t="s">
        <v>30</v>
      </c>
    </row>
    <row r="27" ht="9.0" customHeight="1">
      <c r="A27" s="37"/>
      <c r="B27" s="40"/>
      <c r="C27" s="30"/>
    </row>
    <row r="28" ht="19.5" customHeight="1">
      <c r="A28" s="37"/>
      <c r="B28" s="38" t="str">
        <f>HYPERLINK("http://hawksey.info/tagsexplorer/arc.html?key="&amp;getSheetKey(B9)&amp;"&amp;gid="&amp;getSheetGID("Archive"), "TAGS Archive")</f>
        <v>TAGS Archive</v>
      </c>
      <c r="C28" s="41" t="s">
        <v>31</v>
      </c>
    </row>
    <row r="29" ht="16.5" customHeight="1">
      <c r="A29" s="37"/>
      <c r="B29" s="42"/>
      <c r="C29" s="30"/>
    </row>
    <row r="30" ht="33.75" customHeight="1">
      <c r="A30" s="5" t="s">
        <v>32</v>
      </c>
      <c r="C30" s="2"/>
    </row>
    <row r="31" ht="33.75" customHeight="1">
      <c r="A31" s="43"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2"/>
    </row>
    <row r="32" ht="24.0" customHeight="1">
      <c r="A32" s="44" t="str">
        <f>IFERROR(__xludf.DUMMYFUNCTION("""COMPUTED_VALUE"""),"http://tags.hawksey.info/")</f>
        <v>http://tags.hawksey.info/</v>
      </c>
      <c r="C32" s="2"/>
    </row>
    <row r="33" ht="15.0" customHeight="1">
      <c r="A33" s="45"/>
      <c r="B33" s="45"/>
      <c r="C33" s="46"/>
    </row>
    <row r="34" ht="8.25" customHeight="1">
      <c r="A34" s="47"/>
      <c r="B34" s="47"/>
      <c r="C34" s="48"/>
    </row>
  </sheetData>
  <mergeCells count="15">
    <mergeCell ref="A12:C12"/>
    <mergeCell ref="A18:C18"/>
    <mergeCell ref="A23:C23"/>
    <mergeCell ref="A24:C24"/>
    <mergeCell ref="A25:C25"/>
    <mergeCell ref="A30:C30"/>
    <mergeCell ref="A31:C31"/>
    <mergeCell ref="A32:C32"/>
    <mergeCell ref="A1:C1"/>
    <mergeCell ref="A2:C2"/>
    <mergeCell ref="A3:C3"/>
    <mergeCell ref="A5:C5"/>
    <mergeCell ref="A6:C6"/>
    <mergeCell ref="A7:C7"/>
    <mergeCell ref="A11:C11"/>
  </mergeCells>
  <dataValidations>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decimal" allowBlank="1" sqref="B16">
      <formula1>1.0</formula1>
      <formula2>18000.0</formula2>
    </dataValidation>
    <dataValidation type="list" allowBlank="1" showInputMessage="1" prompt="Click and enter a value from the list of items" sqref="B14">
      <formula1>"continuous"</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3" max="6" width="42.0"/>
  </cols>
  <sheetData>
    <row r="1">
      <c r="A1" s="49" t="s">
        <v>33</v>
      </c>
      <c r="B1" s="50" t="s">
        <v>34</v>
      </c>
      <c r="C1" s="51" t="s">
        <v>35</v>
      </c>
      <c r="D1" s="51" t="s">
        <v>36</v>
      </c>
      <c r="E1" s="51" t="s">
        <v>37</v>
      </c>
      <c r="F1" s="51"/>
      <c r="G1" s="50" t="s">
        <v>38</v>
      </c>
      <c r="H1" s="52" t="s">
        <v>39</v>
      </c>
      <c r="I1" s="50" t="s">
        <v>40</v>
      </c>
      <c r="J1" s="50" t="s">
        <v>41</v>
      </c>
      <c r="K1" s="50" t="s">
        <v>42</v>
      </c>
      <c r="L1" s="50" t="s">
        <v>43</v>
      </c>
      <c r="M1" s="50" t="s">
        <v>44</v>
      </c>
      <c r="N1" s="50" t="s">
        <v>45</v>
      </c>
      <c r="O1" s="53" t="s">
        <v>46</v>
      </c>
      <c r="P1" s="53" t="s">
        <v>47</v>
      </c>
      <c r="Q1" s="50" t="s">
        <v>48</v>
      </c>
      <c r="R1" s="50" t="s">
        <v>49</v>
      </c>
      <c r="S1" s="50" t="s">
        <v>50</v>
      </c>
      <c r="T1" s="50" t="s">
        <v>51</v>
      </c>
      <c r="U1" s="53" t="s">
        <v>52</v>
      </c>
    </row>
    <row r="2">
      <c r="A2" s="54" t="s">
        <v>53</v>
      </c>
      <c r="B2" s="50" t="s">
        <v>54</v>
      </c>
      <c r="C2" s="51" t="s">
        <v>55</v>
      </c>
      <c r="D2" s="51" t="s">
        <v>56</v>
      </c>
      <c r="E2" s="51" t="s">
        <v>57</v>
      </c>
      <c r="F2" s="51"/>
      <c r="G2" s="50" t="s">
        <v>58</v>
      </c>
      <c r="H2" s="52">
        <v>44683.477858796294</v>
      </c>
      <c r="I2" s="50"/>
      <c r="J2" s="50"/>
      <c r="K2" s="50"/>
      <c r="L2" s="50"/>
      <c r="M2" s="50" t="s">
        <v>59</v>
      </c>
      <c r="N2" s="50"/>
      <c r="O2" s="53" t="s">
        <v>60</v>
      </c>
      <c r="P2" s="55" t="s">
        <v>61</v>
      </c>
      <c r="Q2" s="50">
        <v>3090.0</v>
      </c>
      <c r="R2" s="50">
        <v>1677.0</v>
      </c>
      <c r="S2" s="50" t="s">
        <v>62</v>
      </c>
      <c r="T2" s="56" t="s">
        <v>63</v>
      </c>
      <c r="U2" s="53" t="s">
        <v>64</v>
      </c>
    </row>
    <row r="3">
      <c r="A3" s="54" t="s">
        <v>65</v>
      </c>
      <c r="B3" s="50" t="s">
        <v>66</v>
      </c>
      <c r="C3" s="51" t="s">
        <v>55</v>
      </c>
      <c r="D3" s="51" t="s">
        <v>56</v>
      </c>
      <c r="E3" s="51" t="s">
        <v>67</v>
      </c>
      <c r="F3" s="51"/>
      <c r="G3" s="50" t="s">
        <v>68</v>
      </c>
      <c r="H3" s="52">
        <v>44683.476736111115</v>
      </c>
      <c r="I3" s="50"/>
      <c r="J3" s="50"/>
      <c r="K3" s="50"/>
      <c r="L3" s="50"/>
      <c r="M3" s="50" t="s">
        <v>69</v>
      </c>
      <c r="N3" s="50"/>
      <c r="O3" s="53" t="s">
        <v>70</v>
      </c>
      <c r="P3" s="55" t="s">
        <v>71</v>
      </c>
      <c r="Q3" s="50">
        <v>371.0</v>
      </c>
      <c r="R3" s="50">
        <v>1621.0</v>
      </c>
      <c r="S3" s="50" t="s">
        <v>72</v>
      </c>
      <c r="T3" s="56" t="s">
        <v>73</v>
      </c>
      <c r="U3" s="53" t="s">
        <v>64</v>
      </c>
    </row>
    <row r="4">
      <c r="A4" s="54" t="s">
        <v>74</v>
      </c>
      <c r="B4" s="50" t="s">
        <v>75</v>
      </c>
      <c r="C4" s="51" t="s">
        <v>55</v>
      </c>
      <c r="D4" s="51" t="s">
        <v>56</v>
      </c>
      <c r="E4" s="51" t="s">
        <v>67</v>
      </c>
      <c r="F4" s="51"/>
      <c r="G4" s="50" t="s">
        <v>76</v>
      </c>
      <c r="H4" s="52">
        <v>44683.47672453704</v>
      </c>
      <c r="I4" s="50"/>
      <c r="J4" s="50"/>
      <c r="K4" s="50"/>
      <c r="L4" s="50"/>
      <c r="M4" s="50" t="s">
        <v>77</v>
      </c>
      <c r="N4" s="50"/>
      <c r="O4" s="53" t="s">
        <v>60</v>
      </c>
      <c r="P4" s="55" t="s">
        <v>78</v>
      </c>
      <c r="Q4" s="50">
        <v>2762.0</v>
      </c>
      <c r="R4" s="50">
        <v>312.0</v>
      </c>
      <c r="S4" s="50" t="s">
        <v>79</v>
      </c>
      <c r="T4" s="56" t="s">
        <v>80</v>
      </c>
      <c r="U4" s="53" t="s">
        <v>64</v>
      </c>
    </row>
    <row r="5">
      <c r="A5" s="54" t="s">
        <v>81</v>
      </c>
      <c r="B5" s="50" t="s">
        <v>82</v>
      </c>
      <c r="C5" s="51" t="s">
        <v>55</v>
      </c>
      <c r="D5" s="51" t="s">
        <v>56</v>
      </c>
      <c r="E5" s="51" t="s">
        <v>57</v>
      </c>
      <c r="F5" s="51"/>
      <c r="G5" s="50" t="s">
        <v>83</v>
      </c>
      <c r="H5" s="52">
        <v>44683.47609953704</v>
      </c>
      <c r="I5" s="50"/>
      <c r="J5" s="50"/>
      <c r="K5" s="50"/>
      <c r="L5" s="50"/>
      <c r="M5" s="50" t="s">
        <v>84</v>
      </c>
      <c r="N5" s="50"/>
      <c r="O5" s="53" t="s">
        <v>70</v>
      </c>
      <c r="P5" s="55" t="s">
        <v>85</v>
      </c>
      <c r="Q5" s="50">
        <v>271.0</v>
      </c>
      <c r="R5" s="50">
        <v>296.0</v>
      </c>
      <c r="S5" s="50" t="s">
        <v>86</v>
      </c>
      <c r="T5" s="56" t="s">
        <v>87</v>
      </c>
      <c r="U5" s="53" t="s">
        <v>64</v>
      </c>
    </row>
    <row r="6">
      <c r="A6" s="54" t="s">
        <v>88</v>
      </c>
      <c r="B6" s="50" t="s">
        <v>89</v>
      </c>
      <c r="C6" s="51" t="s">
        <v>55</v>
      </c>
      <c r="D6" s="51" t="s">
        <v>56</v>
      </c>
      <c r="E6" s="51" t="s">
        <v>67</v>
      </c>
      <c r="F6" s="51"/>
      <c r="G6" s="50" t="s">
        <v>90</v>
      </c>
      <c r="H6" s="52">
        <v>44683.475590277776</v>
      </c>
      <c r="I6" s="50"/>
      <c r="J6" s="50"/>
      <c r="K6" s="50"/>
      <c r="L6" s="50"/>
      <c r="M6" s="50" t="s">
        <v>91</v>
      </c>
      <c r="N6" s="50"/>
      <c r="O6" s="53" t="s">
        <v>92</v>
      </c>
      <c r="P6" s="55" t="s">
        <v>93</v>
      </c>
      <c r="Q6" s="50">
        <v>2634.0</v>
      </c>
      <c r="R6" s="50">
        <v>4984.0</v>
      </c>
      <c r="S6" s="50" t="s">
        <v>94</v>
      </c>
      <c r="T6" s="56" t="s">
        <v>95</v>
      </c>
      <c r="U6" s="53" t="s">
        <v>64</v>
      </c>
    </row>
    <row r="7">
      <c r="A7" s="54" t="s">
        <v>96</v>
      </c>
      <c r="B7" s="50" t="s">
        <v>97</v>
      </c>
      <c r="C7" s="51" t="s">
        <v>55</v>
      </c>
      <c r="D7" s="51" t="s">
        <v>56</v>
      </c>
      <c r="E7" s="51" t="s">
        <v>67</v>
      </c>
      <c r="F7" s="51"/>
      <c r="G7" s="50" t="s">
        <v>98</v>
      </c>
      <c r="H7" s="52">
        <v>44683.47509259259</v>
      </c>
      <c r="I7" s="50"/>
      <c r="J7" s="50"/>
      <c r="K7" s="50"/>
      <c r="L7" s="50"/>
      <c r="M7" s="50" t="s">
        <v>99</v>
      </c>
      <c r="N7" s="50"/>
      <c r="O7" s="53" t="s">
        <v>60</v>
      </c>
      <c r="P7" s="55" t="s">
        <v>100</v>
      </c>
      <c r="Q7" s="50">
        <v>5298.0</v>
      </c>
      <c r="R7" s="50">
        <v>5408.0</v>
      </c>
      <c r="S7" s="50" t="s">
        <v>101</v>
      </c>
      <c r="T7" s="56" t="s">
        <v>102</v>
      </c>
      <c r="U7" s="53" t="s">
        <v>64</v>
      </c>
    </row>
    <row r="8">
      <c r="A8" s="54" t="s">
        <v>103</v>
      </c>
      <c r="B8" s="50" t="s">
        <v>104</v>
      </c>
      <c r="C8" s="51" t="s">
        <v>55</v>
      </c>
      <c r="D8" s="51" t="s">
        <v>56</v>
      </c>
      <c r="E8" s="51" t="s">
        <v>57</v>
      </c>
      <c r="F8" s="51"/>
      <c r="G8" s="50" t="s">
        <v>105</v>
      </c>
      <c r="H8" s="52">
        <v>44683.47498842592</v>
      </c>
      <c r="I8" s="50"/>
      <c r="J8" s="50"/>
      <c r="K8" s="50"/>
      <c r="L8" s="50"/>
      <c r="M8" s="50" t="s">
        <v>106</v>
      </c>
      <c r="N8" s="50"/>
      <c r="O8" s="53" t="s">
        <v>92</v>
      </c>
      <c r="P8" s="55" t="s">
        <v>107</v>
      </c>
      <c r="Q8" s="50">
        <v>29.0</v>
      </c>
      <c r="R8" s="50">
        <v>423.0</v>
      </c>
      <c r="S8" s="50" t="s">
        <v>108</v>
      </c>
      <c r="T8" s="56" t="s">
        <v>109</v>
      </c>
      <c r="U8" s="53" t="s">
        <v>64</v>
      </c>
    </row>
    <row r="9">
      <c r="A9" s="54" t="s">
        <v>110</v>
      </c>
      <c r="B9" s="50" t="s">
        <v>111</v>
      </c>
      <c r="C9" s="51" t="s">
        <v>55</v>
      </c>
      <c r="D9" s="51" t="s">
        <v>56</v>
      </c>
      <c r="E9" s="51" t="s">
        <v>67</v>
      </c>
      <c r="F9" s="51"/>
      <c r="G9" s="50" t="s">
        <v>112</v>
      </c>
      <c r="H9" s="52">
        <v>44683.47497685185</v>
      </c>
      <c r="I9" s="50"/>
      <c r="J9" s="50"/>
      <c r="K9" s="50"/>
      <c r="L9" s="50"/>
      <c r="M9" s="50" t="s">
        <v>113</v>
      </c>
      <c r="N9" s="50"/>
      <c r="O9" s="53" t="s">
        <v>70</v>
      </c>
      <c r="P9" s="55" t="s">
        <v>114</v>
      </c>
      <c r="Q9" s="50">
        <v>709.0</v>
      </c>
      <c r="R9" s="50">
        <v>1008.0</v>
      </c>
      <c r="S9" s="50"/>
      <c r="T9" s="56" t="s">
        <v>115</v>
      </c>
      <c r="U9" s="53" t="s">
        <v>64</v>
      </c>
    </row>
    <row r="10">
      <c r="A10" s="54" t="s">
        <v>116</v>
      </c>
      <c r="B10" s="50" t="s">
        <v>117</v>
      </c>
      <c r="C10" s="51" t="s">
        <v>55</v>
      </c>
      <c r="D10" s="51" t="s">
        <v>118</v>
      </c>
      <c r="E10" s="51" t="s">
        <v>57</v>
      </c>
      <c r="F10" s="51"/>
      <c r="G10" s="50" t="s">
        <v>119</v>
      </c>
      <c r="H10" s="52">
        <v>44683.474907407406</v>
      </c>
      <c r="I10" s="50"/>
      <c r="J10" s="50"/>
      <c r="K10" s="50"/>
      <c r="L10" s="50"/>
      <c r="M10" s="50" t="s">
        <v>120</v>
      </c>
      <c r="N10" s="50"/>
      <c r="O10" s="53" t="s">
        <v>60</v>
      </c>
      <c r="P10" s="55" t="s">
        <v>121</v>
      </c>
      <c r="Q10" s="50">
        <v>1300.0</v>
      </c>
      <c r="R10" s="50">
        <v>3028.0</v>
      </c>
      <c r="S10" s="50" t="s">
        <v>122</v>
      </c>
      <c r="T10" s="56" t="s">
        <v>123</v>
      </c>
      <c r="U10" s="53" t="s">
        <v>64</v>
      </c>
    </row>
    <row r="11">
      <c r="A11" s="54" t="s">
        <v>124</v>
      </c>
      <c r="B11" s="50" t="s">
        <v>125</v>
      </c>
      <c r="C11" s="51" t="s">
        <v>55</v>
      </c>
      <c r="D11" s="51" t="s">
        <v>118</v>
      </c>
      <c r="E11" s="51" t="s">
        <v>57</v>
      </c>
      <c r="F11" s="51"/>
      <c r="G11" s="50" t="s">
        <v>126</v>
      </c>
      <c r="H11" s="52">
        <v>44683.47435185185</v>
      </c>
      <c r="I11" s="50"/>
      <c r="J11" s="50"/>
      <c r="K11" s="50"/>
      <c r="L11" s="50"/>
      <c r="M11" s="50" t="s">
        <v>127</v>
      </c>
      <c r="N11" s="50"/>
      <c r="O11" s="53" t="s">
        <v>92</v>
      </c>
      <c r="P11" s="55" t="s">
        <v>128</v>
      </c>
      <c r="Q11" s="50">
        <v>3677.0</v>
      </c>
      <c r="R11" s="50">
        <v>4864.0</v>
      </c>
      <c r="S11" s="50" t="s">
        <v>129</v>
      </c>
      <c r="T11" s="56" t="s">
        <v>130</v>
      </c>
      <c r="U11" s="53" t="s">
        <v>64</v>
      </c>
    </row>
    <row r="12">
      <c r="A12" s="54" t="s">
        <v>131</v>
      </c>
      <c r="B12" s="50" t="s">
        <v>132</v>
      </c>
      <c r="C12" s="51" t="s">
        <v>55</v>
      </c>
      <c r="D12" s="51" t="s">
        <v>56</v>
      </c>
      <c r="E12" s="51" t="s">
        <v>67</v>
      </c>
      <c r="F12" s="51"/>
      <c r="G12" s="50" t="s">
        <v>133</v>
      </c>
      <c r="H12" s="52">
        <v>44683.4734375</v>
      </c>
      <c r="I12" s="50"/>
      <c r="J12" s="50"/>
      <c r="K12" s="50"/>
      <c r="L12" s="50"/>
      <c r="M12" s="50" t="s">
        <v>134</v>
      </c>
      <c r="N12" s="50"/>
      <c r="O12" s="53" t="s">
        <v>92</v>
      </c>
      <c r="P12" s="55" t="s">
        <v>135</v>
      </c>
      <c r="Q12" s="50">
        <v>715.0</v>
      </c>
      <c r="R12" s="50">
        <v>3340.0</v>
      </c>
      <c r="S12" s="50" t="s">
        <v>136</v>
      </c>
      <c r="T12" s="56" t="s">
        <v>137</v>
      </c>
      <c r="U12" s="53" t="s">
        <v>64</v>
      </c>
    </row>
    <row r="13">
      <c r="A13" s="54" t="s">
        <v>138</v>
      </c>
      <c r="B13" s="50" t="s">
        <v>139</v>
      </c>
      <c r="C13" s="51" t="s">
        <v>55</v>
      </c>
      <c r="D13" s="51" t="s">
        <v>56</v>
      </c>
      <c r="E13" s="51" t="s">
        <v>57</v>
      </c>
      <c r="F13" s="51"/>
      <c r="G13" s="50" t="s">
        <v>140</v>
      </c>
      <c r="H13" s="52">
        <v>44683.47305555556</v>
      </c>
      <c r="I13" s="50"/>
      <c r="J13" s="50"/>
      <c r="K13" s="50"/>
      <c r="L13" s="50"/>
      <c r="M13" s="50" t="s">
        <v>141</v>
      </c>
      <c r="N13" s="50"/>
      <c r="O13" s="53" t="s">
        <v>70</v>
      </c>
      <c r="P13" s="55" t="s">
        <v>142</v>
      </c>
      <c r="Q13" s="50">
        <v>53.0</v>
      </c>
      <c r="R13" s="50">
        <v>242.0</v>
      </c>
      <c r="S13" s="50" t="s">
        <v>143</v>
      </c>
      <c r="T13" s="56" t="s">
        <v>144</v>
      </c>
      <c r="U13" s="53" t="s">
        <v>64</v>
      </c>
    </row>
    <row r="14">
      <c r="A14" s="54" t="s">
        <v>145</v>
      </c>
      <c r="B14" s="50" t="s">
        <v>146</v>
      </c>
      <c r="C14" s="51" t="s">
        <v>55</v>
      </c>
      <c r="D14" s="51" t="s">
        <v>56</v>
      </c>
      <c r="E14" s="51" t="s">
        <v>57</v>
      </c>
      <c r="F14" s="51"/>
      <c r="G14" s="50" t="s">
        <v>147</v>
      </c>
      <c r="H14" s="52">
        <v>44683.47267361111</v>
      </c>
      <c r="I14" s="50"/>
      <c r="J14" s="50"/>
      <c r="K14" s="50"/>
      <c r="L14" s="50"/>
      <c r="M14" s="50" t="s">
        <v>148</v>
      </c>
      <c r="N14" s="50"/>
      <c r="O14" s="53" t="s">
        <v>92</v>
      </c>
      <c r="P14" s="55" t="s">
        <v>149</v>
      </c>
      <c r="Q14" s="50">
        <v>1340.0</v>
      </c>
      <c r="R14" s="50">
        <v>560.0</v>
      </c>
      <c r="S14" s="50" t="s">
        <v>150</v>
      </c>
      <c r="T14" s="56" t="s">
        <v>151</v>
      </c>
      <c r="U14" s="53" t="s">
        <v>64</v>
      </c>
    </row>
    <row r="15">
      <c r="A15" s="54" t="s">
        <v>152</v>
      </c>
      <c r="B15" s="50" t="s">
        <v>153</v>
      </c>
      <c r="C15" s="51" t="s">
        <v>55</v>
      </c>
      <c r="D15" s="51" t="s">
        <v>56</v>
      </c>
      <c r="E15" s="51" t="s">
        <v>57</v>
      </c>
      <c r="F15" s="51"/>
      <c r="G15" s="50" t="s">
        <v>154</v>
      </c>
      <c r="H15" s="52">
        <v>44683.47170138889</v>
      </c>
      <c r="I15" s="50"/>
      <c r="J15" s="50"/>
      <c r="K15" s="50"/>
      <c r="L15" s="50"/>
      <c r="M15" s="50" t="s">
        <v>155</v>
      </c>
      <c r="N15" s="50"/>
      <c r="O15" s="53" t="s">
        <v>70</v>
      </c>
      <c r="P15" s="55" t="s">
        <v>156</v>
      </c>
      <c r="Q15" s="50">
        <v>65.0</v>
      </c>
      <c r="R15" s="50">
        <v>799.0</v>
      </c>
      <c r="S15" s="50"/>
      <c r="T15" s="56" t="s">
        <v>157</v>
      </c>
      <c r="U15" s="53" t="s">
        <v>64</v>
      </c>
    </row>
    <row r="16">
      <c r="A16" s="54" t="s">
        <v>158</v>
      </c>
      <c r="B16" s="50" t="s">
        <v>159</v>
      </c>
      <c r="C16" s="51" t="s">
        <v>55</v>
      </c>
      <c r="D16" s="51" t="s">
        <v>118</v>
      </c>
      <c r="E16" s="51" t="s">
        <v>67</v>
      </c>
      <c r="F16" s="51"/>
      <c r="G16" s="50" t="s">
        <v>160</v>
      </c>
      <c r="H16" s="52">
        <v>44683.47142361111</v>
      </c>
      <c r="I16" s="50"/>
      <c r="J16" s="50"/>
      <c r="K16" s="50"/>
      <c r="L16" s="50"/>
      <c r="M16" s="50" t="s">
        <v>161</v>
      </c>
      <c r="N16" s="50"/>
      <c r="O16" s="53" t="s">
        <v>70</v>
      </c>
      <c r="P16" s="55" t="s">
        <v>162</v>
      </c>
      <c r="Q16" s="50">
        <v>114.0</v>
      </c>
      <c r="R16" s="50">
        <v>508.0</v>
      </c>
      <c r="S16" s="50" t="s">
        <v>163</v>
      </c>
      <c r="T16" s="56" t="s">
        <v>164</v>
      </c>
      <c r="U16" s="53" t="s">
        <v>64</v>
      </c>
    </row>
    <row r="17">
      <c r="A17" s="54" t="s">
        <v>165</v>
      </c>
      <c r="B17" s="50" t="s">
        <v>166</v>
      </c>
      <c r="C17" s="51" t="s">
        <v>55</v>
      </c>
      <c r="D17" s="51" t="s">
        <v>118</v>
      </c>
      <c r="E17" s="51" t="s">
        <v>57</v>
      </c>
      <c r="F17" s="51"/>
      <c r="G17" s="50" t="s">
        <v>167</v>
      </c>
      <c r="H17" s="52">
        <v>44683.47048611111</v>
      </c>
      <c r="I17" s="50"/>
      <c r="J17" s="50"/>
      <c r="K17" s="50"/>
      <c r="L17" s="50"/>
      <c r="M17" s="50" t="s">
        <v>168</v>
      </c>
      <c r="N17" s="50"/>
      <c r="O17" s="53" t="s">
        <v>92</v>
      </c>
      <c r="P17" s="55" t="s">
        <v>169</v>
      </c>
      <c r="Q17" s="50">
        <v>249.0</v>
      </c>
      <c r="R17" s="50">
        <v>432.0</v>
      </c>
      <c r="S17" s="50"/>
      <c r="T17" s="56" t="s">
        <v>170</v>
      </c>
      <c r="U17" s="53" t="s">
        <v>64</v>
      </c>
    </row>
    <row r="18">
      <c r="A18" s="54" t="s">
        <v>171</v>
      </c>
      <c r="B18" s="50" t="s">
        <v>172</v>
      </c>
      <c r="C18" s="51" t="s">
        <v>55</v>
      </c>
      <c r="D18" s="51" t="s">
        <v>118</v>
      </c>
      <c r="E18" s="51" t="s">
        <v>57</v>
      </c>
      <c r="F18" s="51"/>
      <c r="G18" s="50" t="s">
        <v>173</v>
      </c>
      <c r="H18" s="52">
        <v>44683.47021990741</v>
      </c>
      <c r="I18" s="50"/>
      <c r="J18" s="50"/>
      <c r="K18" s="50"/>
      <c r="L18" s="50"/>
      <c r="M18" s="50" t="s">
        <v>174</v>
      </c>
      <c r="N18" s="50"/>
      <c r="O18" s="53" t="s">
        <v>92</v>
      </c>
      <c r="P18" s="55" t="s">
        <v>175</v>
      </c>
      <c r="Q18" s="50">
        <v>549.0</v>
      </c>
      <c r="R18" s="50">
        <v>861.0</v>
      </c>
      <c r="S18" s="50" t="s">
        <v>129</v>
      </c>
      <c r="T18" s="56" t="s">
        <v>176</v>
      </c>
      <c r="U18" s="53" t="s">
        <v>64</v>
      </c>
    </row>
    <row r="19">
      <c r="A19" s="54" t="s">
        <v>177</v>
      </c>
      <c r="B19" s="50" t="s">
        <v>178</v>
      </c>
      <c r="C19" s="51" t="s">
        <v>179</v>
      </c>
      <c r="D19" s="51" t="s">
        <v>56</v>
      </c>
      <c r="E19" s="51" t="s">
        <v>67</v>
      </c>
      <c r="F19" s="51"/>
      <c r="G19" s="50" t="s">
        <v>180</v>
      </c>
      <c r="H19" s="52">
        <v>44683.470034722224</v>
      </c>
      <c r="I19" s="50"/>
      <c r="J19" s="50"/>
      <c r="K19" s="50" t="s">
        <v>181</v>
      </c>
      <c r="L19" s="50" t="s">
        <v>182</v>
      </c>
      <c r="M19" s="50" t="s">
        <v>183</v>
      </c>
      <c r="N19" s="50" t="s">
        <v>184</v>
      </c>
      <c r="O19" s="53" t="s">
        <v>70</v>
      </c>
      <c r="P19" s="55" t="s">
        <v>185</v>
      </c>
      <c r="Q19" s="50">
        <v>3017.0</v>
      </c>
      <c r="R19" s="50">
        <v>3236.0</v>
      </c>
      <c r="S19" s="50" t="s">
        <v>186</v>
      </c>
      <c r="T19" s="56" t="s">
        <v>187</v>
      </c>
      <c r="U19" s="53" t="s">
        <v>188</v>
      </c>
    </row>
    <row r="20">
      <c r="A20" s="54" t="s">
        <v>189</v>
      </c>
      <c r="B20" s="50" t="s">
        <v>190</v>
      </c>
      <c r="C20" s="51" t="s">
        <v>55</v>
      </c>
      <c r="D20" s="51" t="s">
        <v>56</v>
      </c>
      <c r="E20" s="51" t="s">
        <v>57</v>
      </c>
      <c r="F20" s="51"/>
      <c r="G20" s="50" t="s">
        <v>180</v>
      </c>
      <c r="H20" s="52">
        <v>44683.470034722224</v>
      </c>
      <c r="I20" s="50"/>
      <c r="J20" s="50"/>
      <c r="K20" s="50"/>
      <c r="L20" s="50"/>
      <c r="M20" s="50" t="s">
        <v>191</v>
      </c>
      <c r="N20" s="50"/>
      <c r="O20" s="53" t="s">
        <v>60</v>
      </c>
      <c r="P20" s="55" t="s">
        <v>192</v>
      </c>
      <c r="Q20" s="50">
        <v>2287.0</v>
      </c>
      <c r="R20" s="50">
        <v>4131.0</v>
      </c>
      <c r="S20" s="50" t="s">
        <v>193</v>
      </c>
      <c r="T20" s="56" t="s">
        <v>194</v>
      </c>
      <c r="U20" s="53" t="s">
        <v>64</v>
      </c>
    </row>
    <row r="21">
      <c r="A21" s="54" t="s">
        <v>195</v>
      </c>
      <c r="B21" s="50" t="s">
        <v>196</v>
      </c>
      <c r="C21" s="51" t="s">
        <v>55</v>
      </c>
      <c r="D21" s="51" t="s">
        <v>56</v>
      </c>
      <c r="E21" s="51" t="s">
        <v>67</v>
      </c>
      <c r="F21" s="51"/>
      <c r="G21" s="50" t="s">
        <v>197</v>
      </c>
      <c r="H21" s="52">
        <v>44683.469814814816</v>
      </c>
      <c r="I21" s="50"/>
      <c r="J21" s="50"/>
      <c r="K21" s="50"/>
      <c r="L21" s="50"/>
      <c r="M21" s="50" t="s">
        <v>198</v>
      </c>
      <c r="N21" s="50"/>
      <c r="O21" s="53" t="s">
        <v>92</v>
      </c>
      <c r="P21" s="55" t="s">
        <v>199</v>
      </c>
      <c r="Q21" s="50">
        <v>556.0</v>
      </c>
      <c r="R21" s="50">
        <v>1872.0</v>
      </c>
      <c r="S21" s="50"/>
      <c r="T21" s="56" t="s">
        <v>200</v>
      </c>
      <c r="U21" s="53" t="s">
        <v>64</v>
      </c>
    </row>
    <row r="22">
      <c r="A22" s="54" t="s">
        <v>201</v>
      </c>
      <c r="B22" s="50" t="s">
        <v>202</v>
      </c>
      <c r="C22" s="51" t="s">
        <v>55</v>
      </c>
      <c r="D22" s="51" t="s">
        <v>56</v>
      </c>
      <c r="E22" s="51" t="s">
        <v>67</v>
      </c>
      <c r="F22" s="51"/>
      <c r="G22" s="50" t="s">
        <v>203</v>
      </c>
      <c r="H22" s="52">
        <v>44683.469664351855</v>
      </c>
      <c r="I22" s="50"/>
      <c r="J22" s="50"/>
      <c r="K22" s="50"/>
      <c r="L22" s="50"/>
      <c r="M22" s="50" t="s">
        <v>204</v>
      </c>
      <c r="N22" s="50"/>
      <c r="O22" s="53" t="s">
        <v>70</v>
      </c>
      <c r="P22" s="55" t="s">
        <v>205</v>
      </c>
      <c r="Q22" s="50">
        <v>1595.0</v>
      </c>
      <c r="R22" s="50">
        <v>2301.0</v>
      </c>
      <c r="S22" s="50"/>
      <c r="T22" s="56" t="s">
        <v>206</v>
      </c>
      <c r="U22" s="53" t="s">
        <v>64</v>
      </c>
    </row>
    <row r="23">
      <c r="A23" s="54" t="s">
        <v>207</v>
      </c>
      <c r="B23" s="50" t="s">
        <v>208</v>
      </c>
      <c r="C23" s="51" t="s">
        <v>55</v>
      </c>
      <c r="D23" s="51" t="s">
        <v>56</v>
      </c>
      <c r="E23" s="51" t="s">
        <v>57</v>
      </c>
      <c r="F23" s="51"/>
      <c r="G23" s="50" t="s">
        <v>209</v>
      </c>
      <c r="H23" s="52">
        <v>44683.469548611116</v>
      </c>
      <c r="I23" s="50"/>
      <c r="J23" s="50"/>
      <c r="K23" s="50"/>
      <c r="L23" s="50"/>
      <c r="M23" s="50" t="s">
        <v>210</v>
      </c>
      <c r="N23" s="50"/>
      <c r="O23" s="53" t="s">
        <v>92</v>
      </c>
      <c r="P23" s="55" t="s">
        <v>211</v>
      </c>
      <c r="Q23" s="50">
        <v>471.0</v>
      </c>
      <c r="R23" s="50">
        <v>665.0</v>
      </c>
      <c r="S23" s="50"/>
      <c r="T23" s="56" t="s">
        <v>212</v>
      </c>
      <c r="U23" s="53" t="s">
        <v>64</v>
      </c>
    </row>
    <row r="24">
      <c r="A24" s="54" t="s">
        <v>213</v>
      </c>
      <c r="B24" s="50" t="s">
        <v>214</v>
      </c>
      <c r="C24" s="51" t="s">
        <v>55</v>
      </c>
      <c r="D24" s="51" t="s">
        <v>56</v>
      </c>
      <c r="E24" s="51" t="s">
        <v>57</v>
      </c>
      <c r="F24" s="51"/>
      <c r="G24" s="50" t="s">
        <v>215</v>
      </c>
      <c r="H24" s="52">
        <v>44683.46870370371</v>
      </c>
      <c r="I24" s="50"/>
      <c r="J24" s="50"/>
      <c r="K24" s="50"/>
      <c r="L24" s="50"/>
      <c r="M24" s="50" t="s">
        <v>216</v>
      </c>
      <c r="N24" s="50"/>
      <c r="O24" s="53" t="s">
        <v>217</v>
      </c>
      <c r="P24" s="55" t="s">
        <v>218</v>
      </c>
      <c r="Q24" s="50">
        <v>39.0</v>
      </c>
      <c r="R24" s="50">
        <v>133.0</v>
      </c>
      <c r="S24" s="50" t="s">
        <v>219</v>
      </c>
      <c r="T24" s="56" t="s">
        <v>220</v>
      </c>
      <c r="U24" s="53" t="s">
        <v>64</v>
      </c>
    </row>
    <row r="25">
      <c r="A25" s="54" t="s">
        <v>221</v>
      </c>
      <c r="B25" s="50" t="s">
        <v>222</v>
      </c>
      <c r="C25" s="51" t="s">
        <v>55</v>
      </c>
      <c r="D25" s="51" t="s">
        <v>56</v>
      </c>
      <c r="E25" s="51" t="s">
        <v>57</v>
      </c>
      <c r="F25" s="51"/>
      <c r="G25" s="50" t="s">
        <v>223</v>
      </c>
      <c r="H25" s="52">
        <v>44683.468576388885</v>
      </c>
      <c r="I25" s="50"/>
      <c r="J25" s="50"/>
      <c r="K25" s="50"/>
      <c r="L25" s="50"/>
      <c r="M25" s="50" t="s">
        <v>224</v>
      </c>
      <c r="N25" s="50"/>
      <c r="O25" s="53" t="s">
        <v>70</v>
      </c>
      <c r="P25" s="55" t="s">
        <v>225</v>
      </c>
      <c r="Q25" s="50">
        <v>947.0</v>
      </c>
      <c r="R25" s="50">
        <v>1068.0</v>
      </c>
      <c r="S25" s="50" t="s">
        <v>226</v>
      </c>
      <c r="T25" s="56" t="s">
        <v>227</v>
      </c>
      <c r="U25" s="53" t="s">
        <v>64</v>
      </c>
    </row>
    <row r="26">
      <c r="A26" s="54" t="s">
        <v>228</v>
      </c>
      <c r="B26" s="50" t="s">
        <v>229</v>
      </c>
      <c r="C26" s="51" t="s">
        <v>55</v>
      </c>
      <c r="D26" s="51" t="s">
        <v>56</v>
      </c>
      <c r="E26" s="51" t="s">
        <v>57</v>
      </c>
      <c r="F26" s="51"/>
      <c r="G26" s="50" t="s">
        <v>230</v>
      </c>
      <c r="H26" s="52">
        <v>44683.468553240746</v>
      </c>
      <c r="I26" s="50"/>
      <c r="J26" s="50"/>
      <c r="K26" s="50"/>
      <c r="L26" s="50"/>
      <c r="M26" s="50" t="s">
        <v>231</v>
      </c>
      <c r="N26" s="50"/>
      <c r="O26" s="53" t="s">
        <v>70</v>
      </c>
      <c r="P26" s="55" t="s">
        <v>232</v>
      </c>
      <c r="Q26" s="50">
        <v>297.0</v>
      </c>
      <c r="R26" s="50">
        <v>600.0</v>
      </c>
      <c r="S26" s="50"/>
      <c r="T26" s="56" t="s">
        <v>233</v>
      </c>
      <c r="U26" s="53" t="s">
        <v>64</v>
      </c>
    </row>
    <row r="27">
      <c r="A27" s="54" t="s">
        <v>234</v>
      </c>
      <c r="B27" s="50" t="s">
        <v>235</v>
      </c>
      <c r="C27" s="51" t="s">
        <v>55</v>
      </c>
      <c r="D27" s="51" t="s">
        <v>56</v>
      </c>
      <c r="E27" s="51" t="s">
        <v>57</v>
      </c>
      <c r="F27" s="51"/>
      <c r="G27" s="50" t="s">
        <v>236</v>
      </c>
      <c r="H27" s="52">
        <v>44683.46828703704</v>
      </c>
      <c r="I27" s="50"/>
      <c r="J27" s="50"/>
      <c r="K27" s="50"/>
      <c r="L27" s="50"/>
      <c r="M27" s="50" t="s">
        <v>237</v>
      </c>
      <c r="N27" s="50"/>
      <c r="O27" s="53" t="s">
        <v>92</v>
      </c>
      <c r="P27" s="55" t="s">
        <v>238</v>
      </c>
      <c r="Q27" s="50">
        <v>2646.0</v>
      </c>
      <c r="R27" s="50">
        <v>3917.0</v>
      </c>
      <c r="S27" s="50" t="s">
        <v>239</v>
      </c>
      <c r="T27" s="56" t="s">
        <v>240</v>
      </c>
      <c r="U27" s="53" t="s">
        <v>64</v>
      </c>
    </row>
    <row r="28">
      <c r="A28" s="54" t="s">
        <v>241</v>
      </c>
      <c r="B28" s="50" t="s">
        <v>242</v>
      </c>
      <c r="C28" s="51" t="s">
        <v>55</v>
      </c>
      <c r="D28" s="51" t="s">
        <v>56</v>
      </c>
      <c r="E28" s="51" t="s">
        <v>67</v>
      </c>
      <c r="F28" s="51"/>
      <c r="G28" s="50" t="s">
        <v>243</v>
      </c>
      <c r="H28" s="52">
        <v>44683.46807870371</v>
      </c>
      <c r="I28" s="50"/>
      <c r="J28" s="50"/>
      <c r="K28" s="50"/>
      <c r="L28" s="50"/>
      <c r="M28" s="50" t="s">
        <v>244</v>
      </c>
      <c r="N28" s="50"/>
      <c r="O28" s="53" t="s">
        <v>92</v>
      </c>
      <c r="P28" s="55" t="s">
        <v>245</v>
      </c>
      <c r="Q28" s="50">
        <v>399.0</v>
      </c>
      <c r="R28" s="50">
        <v>601.0</v>
      </c>
      <c r="S28" s="50" t="s">
        <v>246</v>
      </c>
      <c r="T28" s="56" t="s">
        <v>247</v>
      </c>
      <c r="U28" s="53" t="s">
        <v>64</v>
      </c>
    </row>
    <row r="29">
      <c r="A29" s="54" t="s">
        <v>248</v>
      </c>
      <c r="B29" s="50" t="s">
        <v>249</v>
      </c>
      <c r="C29" s="51" t="s">
        <v>55</v>
      </c>
      <c r="D29" s="51" t="s">
        <v>56</v>
      </c>
      <c r="E29" s="51" t="s">
        <v>67</v>
      </c>
      <c r="F29" s="51"/>
      <c r="G29" s="50" t="s">
        <v>250</v>
      </c>
      <c r="H29" s="52">
        <v>44683.46803240741</v>
      </c>
      <c r="I29" s="50"/>
      <c r="J29" s="50"/>
      <c r="K29" s="50"/>
      <c r="L29" s="50"/>
      <c r="M29" s="50" t="s">
        <v>251</v>
      </c>
      <c r="N29" s="50"/>
      <c r="O29" s="53" t="s">
        <v>60</v>
      </c>
      <c r="P29" s="55" t="s">
        <v>252</v>
      </c>
      <c r="Q29" s="50">
        <v>1206.0</v>
      </c>
      <c r="R29" s="50">
        <v>1483.0</v>
      </c>
      <c r="S29" s="50" t="s">
        <v>253</v>
      </c>
      <c r="T29" s="56" t="s">
        <v>254</v>
      </c>
      <c r="U29" s="53" t="s">
        <v>64</v>
      </c>
    </row>
    <row r="30">
      <c r="A30" s="54" t="s">
        <v>255</v>
      </c>
      <c r="B30" s="50" t="s">
        <v>256</v>
      </c>
      <c r="C30" s="51" t="s">
        <v>55</v>
      </c>
      <c r="D30" s="51" t="s">
        <v>56</v>
      </c>
      <c r="E30" s="51" t="s">
        <v>57</v>
      </c>
      <c r="F30" s="51"/>
      <c r="G30" s="50" t="s">
        <v>257</v>
      </c>
      <c r="H30" s="52">
        <v>44683.46802083333</v>
      </c>
      <c r="I30" s="50"/>
      <c r="J30" s="50"/>
      <c r="K30" s="50"/>
      <c r="L30" s="50"/>
      <c r="M30" s="50" t="s">
        <v>258</v>
      </c>
      <c r="N30" s="50"/>
      <c r="O30" s="53" t="s">
        <v>70</v>
      </c>
      <c r="P30" s="55" t="s">
        <v>259</v>
      </c>
      <c r="Q30" s="50">
        <v>539.0</v>
      </c>
      <c r="R30" s="50">
        <v>1402.0</v>
      </c>
      <c r="S30" s="50" t="s">
        <v>260</v>
      </c>
      <c r="T30" s="56" t="s">
        <v>261</v>
      </c>
      <c r="U30" s="53" t="s">
        <v>64</v>
      </c>
    </row>
    <row r="31">
      <c r="A31" s="54" t="s">
        <v>262</v>
      </c>
      <c r="B31" s="50" t="s">
        <v>263</v>
      </c>
      <c r="C31" s="51" t="s">
        <v>55</v>
      </c>
      <c r="D31" s="51" t="s">
        <v>56</v>
      </c>
      <c r="E31" s="51" t="s">
        <v>67</v>
      </c>
      <c r="F31" s="51"/>
      <c r="G31" s="50" t="s">
        <v>264</v>
      </c>
      <c r="H31" s="52">
        <v>44683.46774305556</v>
      </c>
      <c r="I31" s="50"/>
      <c r="J31" s="50"/>
      <c r="K31" s="50"/>
      <c r="L31" s="50"/>
      <c r="M31" s="50" t="s">
        <v>265</v>
      </c>
      <c r="N31" s="50"/>
      <c r="O31" s="53" t="s">
        <v>217</v>
      </c>
      <c r="P31" s="55" t="s">
        <v>266</v>
      </c>
      <c r="Q31" s="50">
        <v>545.0</v>
      </c>
      <c r="R31" s="50">
        <v>883.0</v>
      </c>
      <c r="S31" s="50" t="s">
        <v>267</v>
      </c>
      <c r="T31" s="56" t="s">
        <v>268</v>
      </c>
      <c r="U31" s="53" t="s">
        <v>64</v>
      </c>
    </row>
    <row r="32">
      <c r="A32" s="54" t="s">
        <v>269</v>
      </c>
      <c r="B32" s="50" t="s">
        <v>270</v>
      </c>
      <c r="C32" s="51" t="s">
        <v>55</v>
      </c>
      <c r="D32" s="51" t="s">
        <v>56</v>
      </c>
      <c r="E32" s="51" t="s">
        <v>57</v>
      </c>
      <c r="F32" s="51"/>
      <c r="G32" s="50" t="s">
        <v>271</v>
      </c>
      <c r="H32" s="52">
        <v>44683.46741898148</v>
      </c>
      <c r="I32" s="50"/>
      <c r="J32" s="50"/>
      <c r="K32" s="50"/>
      <c r="L32" s="50"/>
      <c r="M32" s="50" t="s">
        <v>272</v>
      </c>
      <c r="N32" s="50"/>
      <c r="O32" s="53" t="s">
        <v>92</v>
      </c>
      <c r="P32" s="55" t="s">
        <v>273</v>
      </c>
      <c r="Q32" s="50">
        <v>1336.0</v>
      </c>
      <c r="R32" s="50">
        <v>4362.0</v>
      </c>
      <c r="S32" s="50" t="s">
        <v>274</v>
      </c>
      <c r="T32" s="56" t="s">
        <v>275</v>
      </c>
      <c r="U32" s="53" t="s">
        <v>64</v>
      </c>
    </row>
    <row r="33">
      <c r="A33" s="54" t="s">
        <v>276</v>
      </c>
      <c r="B33" s="50" t="s">
        <v>277</v>
      </c>
      <c r="C33" s="51" t="s">
        <v>55</v>
      </c>
      <c r="D33" s="51" t="s">
        <v>56</v>
      </c>
      <c r="E33" s="51" t="s">
        <v>57</v>
      </c>
      <c r="F33" s="51"/>
      <c r="G33" s="50" t="s">
        <v>278</v>
      </c>
      <c r="H33" s="52">
        <v>44683.46724537037</v>
      </c>
      <c r="I33" s="50"/>
      <c r="J33" s="50"/>
      <c r="K33" s="50"/>
      <c r="L33" s="50"/>
      <c r="M33" s="50" t="s">
        <v>279</v>
      </c>
      <c r="N33" s="50"/>
      <c r="O33" s="53" t="s">
        <v>70</v>
      </c>
      <c r="P33" s="55" t="s">
        <v>280</v>
      </c>
      <c r="Q33" s="50">
        <v>1302.0</v>
      </c>
      <c r="R33" s="50">
        <v>2453.0</v>
      </c>
      <c r="S33" s="50" t="s">
        <v>281</v>
      </c>
      <c r="T33" s="56" t="s">
        <v>282</v>
      </c>
      <c r="U33" s="53" t="s">
        <v>64</v>
      </c>
    </row>
    <row r="34">
      <c r="A34" s="54" t="s">
        <v>283</v>
      </c>
      <c r="B34" s="50" t="s">
        <v>284</v>
      </c>
      <c r="C34" s="51" t="s">
        <v>55</v>
      </c>
      <c r="D34" s="51" t="s">
        <v>56</v>
      </c>
      <c r="E34" s="51" t="s">
        <v>67</v>
      </c>
      <c r="F34" s="51"/>
      <c r="G34" s="50" t="s">
        <v>285</v>
      </c>
      <c r="H34" s="52">
        <v>44683.4671875</v>
      </c>
      <c r="I34" s="50"/>
      <c r="J34" s="50"/>
      <c r="K34" s="50"/>
      <c r="L34" s="50"/>
      <c r="M34" s="50" t="s">
        <v>286</v>
      </c>
      <c r="N34" s="50"/>
      <c r="O34" s="53" t="s">
        <v>70</v>
      </c>
      <c r="P34" s="55" t="s">
        <v>287</v>
      </c>
      <c r="Q34" s="50">
        <v>263.0</v>
      </c>
      <c r="R34" s="50">
        <v>521.0</v>
      </c>
      <c r="S34" s="50" t="s">
        <v>288</v>
      </c>
      <c r="T34" s="56" t="s">
        <v>289</v>
      </c>
      <c r="U34" s="53" t="s">
        <v>64</v>
      </c>
    </row>
    <row r="35">
      <c r="A35" s="54" t="s">
        <v>290</v>
      </c>
      <c r="B35" s="50" t="s">
        <v>291</v>
      </c>
      <c r="C35" s="51" t="s">
        <v>55</v>
      </c>
      <c r="D35" s="51" t="s">
        <v>56</v>
      </c>
      <c r="E35" s="51" t="s">
        <v>57</v>
      </c>
      <c r="F35" s="51"/>
      <c r="G35" s="50" t="s">
        <v>292</v>
      </c>
      <c r="H35" s="52">
        <v>44683.46686342593</v>
      </c>
      <c r="I35" s="50"/>
      <c r="J35" s="50"/>
      <c r="K35" s="50"/>
      <c r="L35" s="50"/>
      <c r="M35" s="50" t="s">
        <v>293</v>
      </c>
      <c r="N35" s="50"/>
      <c r="O35" s="53" t="s">
        <v>70</v>
      </c>
      <c r="P35" s="55" t="s">
        <v>294</v>
      </c>
      <c r="Q35" s="50">
        <v>1617.0</v>
      </c>
      <c r="R35" s="50">
        <v>2069.0</v>
      </c>
      <c r="S35" s="50" t="s">
        <v>295</v>
      </c>
      <c r="T35" s="56" t="s">
        <v>296</v>
      </c>
      <c r="U35" s="53" t="s">
        <v>64</v>
      </c>
    </row>
    <row r="36">
      <c r="A36" s="54" t="s">
        <v>297</v>
      </c>
      <c r="B36" s="50" t="s">
        <v>298</v>
      </c>
      <c r="C36" s="51" t="s">
        <v>299</v>
      </c>
      <c r="D36" s="51" t="s">
        <v>300</v>
      </c>
      <c r="E36" s="51" t="s">
        <v>57</v>
      </c>
      <c r="F36" s="51"/>
      <c r="G36" s="50" t="s">
        <v>301</v>
      </c>
      <c r="H36" s="52">
        <v>44683.46643518518</v>
      </c>
      <c r="I36" s="50"/>
      <c r="J36" s="50"/>
      <c r="K36" s="50"/>
      <c r="L36" s="50"/>
      <c r="M36" s="50" t="s">
        <v>302</v>
      </c>
      <c r="N36" s="50"/>
      <c r="O36" s="53" t="s">
        <v>92</v>
      </c>
      <c r="P36" s="55" t="s">
        <v>303</v>
      </c>
      <c r="Q36" s="50">
        <v>4136.0</v>
      </c>
      <c r="R36" s="50">
        <v>4374.0</v>
      </c>
      <c r="S36" s="50" t="s">
        <v>304</v>
      </c>
      <c r="T36" s="56" t="s">
        <v>305</v>
      </c>
      <c r="U36" s="53" t="s">
        <v>306</v>
      </c>
    </row>
    <row r="37">
      <c r="A37" s="54" t="s">
        <v>307</v>
      </c>
      <c r="B37" s="50" t="s">
        <v>308</v>
      </c>
      <c r="C37" s="51" t="s">
        <v>55</v>
      </c>
      <c r="D37" s="51" t="s">
        <v>56</v>
      </c>
      <c r="E37" s="51" t="s">
        <v>57</v>
      </c>
      <c r="F37" s="51"/>
      <c r="G37" s="50" t="s">
        <v>309</v>
      </c>
      <c r="H37" s="52">
        <v>44683.46622685185</v>
      </c>
      <c r="I37" s="50"/>
      <c r="J37" s="50"/>
      <c r="K37" s="50"/>
      <c r="L37" s="50"/>
      <c r="M37" s="50" t="s">
        <v>310</v>
      </c>
      <c r="N37" s="50"/>
      <c r="O37" s="53" t="s">
        <v>60</v>
      </c>
      <c r="P37" s="55" t="s">
        <v>311</v>
      </c>
      <c r="Q37" s="50">
        <v>110.0</v>
      </c>
      <c r="R37" s="50">
        <v>221.0</v>
      </c>
      <c r="S37" s="50" t="s">
        <v>312</v>
      </c>
      <c r="T37" s="56" t="s">
        <v>313</v>
      </c>
      <c r="U37" s="53" t="s">
        <v>64</v>
      </c>
    </row>
    <row r="38">
      <c r="A38" s="54" t="s">
        <v>307</v>
      </c>
      <c r="B38" s="50" t="s">
        <v>308</v>
      </c>
      <c r="C38" s="51" t="s">
        <v>55</v>
      </c>
      <c r="D38" s="51" t="s">
        <v>56</v>
      </c>
      <c r="E38" s="51" t="s">
        <v>57</v>
      </c>
      <c r="F38" s="51"/>
      <c r="G38" s="50" t="s">
        <v>309</v>
      </c>
      <c r="H38" s="52">
        <v>44683.46622685185</v>
      </c>
      <c r="I38" s="50"/>
      <c r="J38" s="50"/>
      <c r="K38" s="50"/>
      <c r="L38" s="50"/>
      <c r="M38" s="50" t="s">
        <v>310</v>
      </c>
      <c r="N38" s="50"/>
      <c r="O38" s="53" t="s">
        <v>60</v>
      </c>
      <c r="P38" s="55" t="s">
        <v>311</v>
      </c>
      <c r="Q38" s="50">
        <v>110.0</v>
      </c>
      <c r="R38" s="50">
        <v>221.0</v>
      </c>
      <c r="S38" s="50" t="s">
        <v>312</v>
      </c>
      <c r="T38" s="56" t="s">
        <v>313</v>
      </c>
      <c r="U38" s="53" t="s">
        <v>64</v>
      </c>
    </row>
    <row r="39">
      <c r="A39" s="54" t="s">
        <v>314</v>
      </c>
      <c r="B39" s="50" t="s">
        <v>315</v>
      </c>
      <c r="C39" s="51" t="s">
        <v>316</v>
      </c>
      <c r="D39" s="51" t="s">
        <v>300</v>
      </c>
      <c r="E39" s="51" t="s">
        <v>57</v>
      </c>
      <c r="F39" s="51"/>
      <c r="G39" s="50" t="s">
        <v>317</v>
      </c>
      <c r="H39" s="52">
        <v>44683.46605324074</v>
      </c>
      <c r="I39" s="50"/>
      <c r="J39" s="50"/>
      <c r="K39" s="50"/>
      <c r="L39" s="50"/>
      <c r="M39" s="50" t="s">
        <v>318</v>
      </c>
      <c r="N39" s="50"/>
      <c r="O39" s="53" t="s">
        <v>60</v>
      </c>
      <c r="P39" s="55" t="s">
        <v>319</v>
      </c>
      <c r="Q39" s="50">
        <v>1140.0</v>
      </c>
      <c r="R39" s="50">
        <v>322.0</v>
      </c>
      <c r="S39" s="50" t="s">
        <v>320</v>
      </c>
      <c r="T39" s="56" t="s">
        <v>321</v>
      </c>
      <c r="U39" s="53" t="s">
        <v>322</v>
      </c>
    </row>
    <row r="40">
      <c r="A40" s="54" t="s">
        <v>323</v>
      </c>
      <c r="B40" s="50" t="s">
        <v>298</v>
      </c>
      <c r="C40" s="51" t="s">
        <v>324</v>
      </c>
      <c r="D40" s="51" t="s">
        <v>300</v>
      </c>
      <c r="E40" s="51" t="s">
        <v>57</v>
      </c>
      <c r="F40" s="51"/>
      <c r="G40" s="50" t="s">
        <v>325</v>
      </c>
      <c r="H40" s="52">
        <v>44683.46603009259</v>
      </c>
      <c r="I40" s="50"/>
      <c r="J40" s="50"/>
      <c r="K40" s="50"/>
      <c r="L40" s="50"/>
      <c r="M40" s="50" t="s">
        <v>302</v>
      </c>
      <c r="N40" s="50"/>
      <c r="O40" s="53" t="s">
        <v>92</v>
      </c>
      <c r="P40" s="55" t="s">
        <v>303</v>
      </c>
      <c r="Q40" s="50">
        <v>4136.0</v>
      </c>
      <c r="R40" s="50">
        <v>4374.0</v>
      </c>
      <c r="S40" s="50" t="s">
        <v>304</v>
      </c>
      <c r="T40" s="56" t="s">
        <v>326</v>
      </c>
      <c r="U40" s="53" t="s">
        <v>327</v>
      </c>
    </row>
    <row r="41">
      <c r="A41" s="54" t="s">
        <v>328</v>
      </c>
      <c r="B41" s="50" t="s">
        <v>315</v>
      </c>
      <c r="C41" s="51" t="s">
        <v>329</v>
      </c>
      <c r="D41" s="51" t="s">
        <v>300</v>
      </c>
      <c r="E41" s="51" t="s">
        <v>57</v>
      </c>
      <c r="F41" s="51"/>
      <c r="G41" s="50" t="s">
        <v>330</v>
      </c>
      <c r="H41" s="52">
        <v>44683.46600694444</v>
      </c>
      <c r="I41" s="50"/>
      <c r="J41" s="50"/>
      <c r="K41" s="50"/>
      <c r="L41" s="50"/>
      <c r="M41" s="50" t="s">
        <v>318</v>
      </c>
      <c r="N41" s="50"/>
      <c r="O41" s="53" t="s">
        <v>60</v>
      </c>
      <c r="P41" s="55" t="s">
        <v>319</v>
      </c>
      <c r="Q41" s="50">
        <v>1140.0</v>
      </c>
      <c r="R41" s="50">
        <v>322.0</v>
      </c>
      <c r="S41" s="50" t="s">
        <v>320</v>
      </c>
      <c r="T41" s="56" t="s">
        <v>331</v>
      </c>
      <c r="U41" s="53" t="s">
        <v>332</v>
      </c>
    </row>
    <row r="42">
      <c r="A42" s="54" t="s">
        <v>333</v>
      </c>
      <c r="B42" s="50" t="s">
        <v>334</v>
      </c>
      <c r="C42" s="51" t="s">
        <v>335</v>
      </c>
      <c r="D42" s="51" t="s">
        <v>300</v>
      </c>
      <c r="E42" s="51" t="s">
        <v>67</v>
      </c>
      <c r="F42" s="51"/>
      <c r="G42" s="50" t="s">
        <v>330</v>
      </c>
      <c r="H42" s="52">
        <v>44683.46600694444</v>
      </c>
      <c r="I42" s="50"/>
      <c r="J42" s="50"/>
      <c r="K42" s="50"/>
      <c r="L42" s="50"/>
      <c r="M42" s="50" t="s">
        <v>336</v>
      </c>
      <c r="N42" s="50"/>
      <c r="O42" s="53" t="s">
        <v>60</v>
      </c>
      <c r="P42" s="55" t="s">
        <v>337</v>
      </c>
      <c r="Q42" s="50">
        <v>4791.0</v>
      </c>
      <c r="R42" s="50">
        <v>5261.0</v>
      </c>
      <c r="S42" s="50"/>
      <c r="T42" s="56" t="s">
        <v>338</v>
      </c>
      <c r="U42" s="53" t="s">
        <v>339</v>
      </c>
    </row>
    <row r="43">
      <c r="A43" s="54" t="s">
        <v>340</v>
      </c>
      <c r="B43" s="50" t="s">
        <v>341</v>
      </c>
      <c r="C43" s="51" t="s">
        <v>342</v>
      </c>
      <c r="D43" s="51" t="s">
        <v>300</v>
      </c>
      <c r="E43" s="51" t="s">
        <v>57</v>
      </c>
      <c r="F43" s="51"/>
      <c r="G43" s="50" t="s">
        <v>343</v>
      </c>
      <c r="H43" s="52">
        <v>44683.4659837963</v>
      </c>
      <c r="I43" s="50"/>
      <c r="J43" s="50"/>
      <c r="K43" s="50"/>
      <c r="L43" s="50"/>
      <c r="M43" s="50" t="s">
        <v>344</v>
      </c>
      <c r="N43" s="50"/>
      <c r="O43" s="53" t="s">
        <v>70</v>
      </c>
      <c r="P43" s="55" t="s">
        <v>345</v>
      </c>
      <c r="Q43" s="50">
        <v>1063.0</v>
      </c>
      <c r="R43" s="50">
        <v>977.0</v>
      </c>
      <c r="S43" s="50" t="s">
        <v>346</v>
      </c>
      <c r="T43" s="56" t="s">
        <v>347</v>
      </c>
      <c r="U43" s="53" t="s">
        <v>348</v>
      </c>
    </row>
    <row r="44">
      <c r="A44" s="54" t="s">
        <v>349</v>
      </c>
      <c r="B44" s="50" t="s">
        <v>315</v>
      </c>
      <c r="C44" s="51" t="s">
        <v>335</v>
      </c>
      <c r="D44" s="51" t="s">
        <v>300</v>
      </c>
      <c r="E44" s="51" t="s">
        <v>57</v>
      </c>
      <c r="F44" s="51"/>
      <c r="G44" s="50" t="s">
        <v>343</v>
      </c>
      <c r="H44" s="52">
        <v>44683.4659837963</v>
      </c>
      <c r="I44" s="50"/>
      <c r="J44" s="50"/>
      <c r="K44" s="50"/>
      <c r="L44" s="50"/>
      <c r="M44" s="50" t="s">
        <v>318</v>
      </c>
      <c r="N44" s="50"/>
      <c r="O44" s="53" t="s">
        <v>60</v>
      </c>
      <c r="P44" s="55" t="s">
        <v>319</v>
      </c>
      <c r="Q44" s="50">
        <v>1140.0</v>
      </c>
      <c r="R44" s="50">
        <v>322.0</v>
      </c>
      <c r="S44" s="50" t="s">
        <v>320</v>
      </c>
      <c r="T44" s="56" t="s">
        <v>350</v>
      </c>
      <c r="U44" s="53" t="s">
        <v>339</v>
      </c>
    </row>
    <row r="45">
      <c r="A45" s="54" t="s">
        <v>351</v>
      </c>
      <c r="B45" s="50" t="s">
        <v>352</v>
      </c>
      <c r="C45" s="51" t="s">
        <v>316</v>
      </c>
      <c r="D45" s="51" t="s">
        <v>300</v>
      </c>
      <c r="E45" s="51" t="s">
        <v>57</v>
      </c>
      <c r="F45" s="51"/>
      <c r="G45" s="50" t="s">
        <v>343</v>
      </c>
      <c r="H45" s="52">
        <v>44683.4659837963</v>
      </c>
      <c r="I45" s="50"/>
      <c r="J45" s="50"/>
      <c r="K45" s="50"/>
      <c r="L45" s="50"/>
      <c r="M45" s="50" t="s">
        <v>353</v>
      </c>
      <c r="N45" s="50"/>
      <c r="O45" s="53" t="s">
        <v>92</v>
      </c>
      <c r="P45" s="55" t="s">
        <v>354</v>
      </c>
      <c r="Q45" s="50">
        <v>17.0</v>
      </c>
      <c r="R45" s="50">
        <v>142.0</v>
      </c>
      <c r="S45" s="50" t="s">
        <v>246</v>
      </c>
      <c r="T45" s="56" t="s">
        <v>355</v>
      </c>
      <c r="U45" s="53" t="s">
        <v>322</v>
      </c>
    </row>
    <row r="46">
      <c r="A46" s="54" t="s">
        <v>356</v>
      </c>
      <c r="B46" s="50" t="s">
        <v>352</v>
      </c>
      <c r="C46" s="51" t="s">
        <v>329</v>
      </c>
      <c r="D46" s="51" t="s">
        <v>300</v>
      </c>
      <c r="E46" s="51" t="s">
        <v>67</v>
      </c>
      <c r="F46" s="51"/>
      <c r="G46" s="50" t="s">
        <v>357</v>
      </c>
      <c r="H46" s="52">
        <v>44683.46591435185</v>
      </c>
      <c r="I46" s="50"/>
      <c r="J46" s="50"/>
      <c r="K46" s="50"/>
      <c r="L46" s="50"/>
      <c r="M46" s="50" t="s">
        <v>353</v>
      </c>
      <c r="N46" s="50"/>
      <c r="O46" s="53" t="s">
        <v>92</v>
      </c>
      <c r="P46" s="55" t="s">
        <v>354</v>
      </c>
      <c r="Q46" s="50">
        <v>17.0</v>
      </c>
      <c r="R46" s="50">
        <v>142.0</v>
      </c>
      <c r="S46" s="50" t="s">
        <v>246</v>
      </c>
      <c r="T46" s="56" t="s">
        <v>358</v>
      </c>
      <c r="U46" s="53" t="s">
        <v>332</v>
      </c>
    </row>
    <row r="47">
      <c r="A47" s="54" t="s">
        <v>359</v>
      </c>
      <c r="B47" s="50" t="s">
        <v>178</v>
      </c>
      <c r="C47" s="51" t="s">
        <v>316</v>
      </c>
      <c r="D47" s="51" t="s">
        <v>56</v>
      </c>
      <c r="E47" s="51" t="s">
        <v>57</v>
      </c>
      <c r="F47" s="51"/>
      <c r="G47" s="50" t="s">
        <v>360</v>
      </c>
      <c r="H47" s="52">
        <v>44683.46590277778</v>
      </c>
      <c r="I47" s="50"/>
      <c r="J47" s="50"/>
      <c r="K47" s="50"/>
      <c r="L47" s="50"/>
      <c r="M47" s="50" t="s">
        <v>183</v>
      </c>
      <c r="N47" s="50"/>
      <c r="O47" s="53" t="s">
        <v>70</v>
      </c>
      <c r="P47" s="55" t="s">
        <v>185</v>
      </c>
      <c r="Q47" s="50">
        <v>3017.0</v>
      </c>
      <c r="R47" s="50">
        <v>3236.0</v>
      </c>
      <c r="S47" s="50" t="s">
        <v>186</v>
      </c>
      <c r="T47" s="56" t="s">
        <v>361</v>
      </c>
      <c r="U47" s="53" t="s">
        <v>322</v>
      </c>
    </row>
    <row r="48">
      <c r="A48" s="54" t="s">
        <v>362</v>
      </c>
      <c r="B48" s="50" t="s">
        <v>334</v>
      </c>
      <c r="C48" s="51" t="s">
        <v>363</v>
      </c>
      <c r="D48" s="51" t="s">
        <v>300</v>
      </c>
      <c r="E48" s="51" t="s">
        <v>57</v>
      </c>
      <c r="F48" s="51"/>
      <c r="G48" s="50" t="s">
        <v>364</v>
      </c>
      <c r="H48" s="52">
        <v>44683.46586805556</v>
      </c>
      <c r="I48" s="50"/>
      <c r="J48" s="50"/>
      <c r="K48" s="50"/>
      <c r="L48" s="50"/>
      <c r="M48" s="50" t="s">
        <v>336</v>
      </c>
      <c r="N48" s="50"/>
      <c r="O48" s="53" t="s">
        <v>60</v>
      </c>
      <c r="P48" s="55" t="s">
        <v>337</v>
      </c>
      <c r="Q48" s="50">
        <v>4791.0</v>
      </c>
      <c r="R48" s="50">
        <v>5261.0</v>
      </c>
      <c r="S48" s="50"/>
      <c r="T48" s="56" t="s">
        <v>365</v>
      </c>
      <c r="U48" s="53" t="s">
        <v>332</v>
      </c>
    </row>
    <row r="49">
      <c r="A49" s="54" t="s">
        <v>366</v>
      </c>
      <c r="B49" s="50" t="s">
        <v>334</v>
      </c>
      <c r="C49" s="51" t="s">
        <v>367</v>
      </c>
      <c r="D49" s="51" t="s">
        <v>56</v>
      </c>
      <c r="E49" s="51" t="s">
        <v>57</v>
      </c>
      <c r="F49" s="51"/>
      <c r="G49" s="50" t="s">
        <v>368</v>
      </c>
      <c r="H49" s="52">
        <v>44683.4657175926</v>
      </c>
      <c r="I49" s="50"/>
      <c r="J49" s="50"/>
      <c r="K49" s="50"/>
      <c r="L49" s="50"/>
      <c r="M49" s="50" t="s">
        <v>336</v>
      </c>
      <c r="N49" s="50"/>
      <c r="O49" s="53" t="s">
        <v>60</v>
      </c>
      <c r="P49" s="55" t="s">
        <v>337</v>
      </c>
      <c r="Q49" s="50">
        <v>4791.0</v>
      </c>
      <c r="R49" s="50">
        <v>5261.0</v>
      </c>
      <c r="S49" s="50"/>
      <c r="T49" s="56" t="s">
        <v>369</v>
      </c>
      <c r="U49" s="53" t="s">
        <v>370</v>
      </c>
    </row>
    <row r="50">
      <c r="A50" s="54" t="s">
        <v>371</v>
      </c>
      <c r="B50" s="50" t="s">
        <v>352</v>
      </c>
      <c r="C50" s="51" t="s">
        <v>335</v>
      </c>
      <c r="D50" s="51" t="s">
        <v>56</v>
      </c>
      <c r="E50" s="51" t="s">
        <v>57</v>
      </c>
      <c r="F50" s="51"/>
      <c r="G50" s="50" t="s">
        <v>372</v>
      </c>
      <c r="H50" s="52">
        <v>44683.4656712963</v>
      </c>
      <c r="I50" s="50"/>
      <c r="J50" s="50"/>
      <c r="K50" s="50"/>
      <c r="L50" s="50"/>
      <c r="M50" s="50" t="s">
        <v>353</v>
      </c>
      <c r="N50" s="50"/>
      <c r="O50" s="53" t="s">
        <v>92</v>
      </c>
      <c r="P50" s="55" t="s">
        <v>354</v>
      </c>
      <c r="Q50" s="50">
        <v>17.0</v>
      </c>
      <c r="R50" s="50">
        <v>142.0</v>
      </c>
      <c r="S50" s="50" t="s">
        <v>246</v>
      </c>
      <c r="T50" s="56" t="s">
        <v>373</v>
      </c>
      <c r="U50" s="53" t="s">
        <v>339</v>
      </c>
    </row>
    <row r="51">
      <c r="A51" s="54" t="s">
        <v>374</v>
      </c>
      <c r="B51" s="50" t="s">
        <v>375</v>
      </c>
      <c r="C51" s="51" t="s">
        <v>363</v>
      </c>
      <c r="D51" s="51" t="s">
        <v>118</v>
      </c>
      <c r="E51" s="51" t="s">
        <v>57</v>
      </c>
      <c r="F51" s="51"/>
      <c r="G51" s="50" t="s">
        <v>376</v>
      </c>
      <c r="H51" s="52">
        <v>44683.46564814815</v>
      </c>
      <c r="I51" s="50"/>
      <c r="J51" s="50"/>
      <c r="K51" s="50"/>
      <c r="L51" s="50"/>
      <c r="M51" s="50" t="s">
        <v>377</v>
      </c>
      <c r="N51" s="50"/>
      <c r="O51" s="53" t="s">
        <v>92</v>
      </c>
      <c r="P51" s="55" t="s">
        <v>378</v>
      </c>
      <c r="Q51" s="50">
        <v>561.0</v>
      </c>
      <c r="R51" s="50">
        <v>1315.0</v>
      </c>
      <c r="S51" s="50" t="s">
        <v>379</v>
      </c>
      <c r="T51" s="56" t="s">
        <v>380</v>
      </c>
      <c r="U51" s="53" t="s">
        <v>332</v>
      </c>
    </row>
    <row r="52">
      <c r="A52" s="54" t="s">
        <v>381</v>
      </c>
      <c r="B52" s="50" t="s">
        <v>382</v>
      </c>
      <c r="C52" s="51" t="s">
        <v>367</v>
      </c>
      <c r="D52" s="51" t="s">
        <v>56</v>
      </c>
      <c r="E52" s="51" t="s">
        <v>57</v>
      </c>
      <c r="F52" s="51"/>
      <c r="G52" s="50" t="s">
        <v>383</v>
      </c>
      <c r="H52" s="52">
        <v>44683.46560185185</v>
      </c>
      <c r="I52" s="50"/>
      <c r="J52" s="50"/>
      <c r="K52" s="50"/>
      <c r="L52" s="50"/>
      <c r="M52" s="50" t="s">
        <v>384</v>
      </c>
      <c r="N52" s="50"/>
      <c r="O52" s="53" t="s">
        <v>92</v>
      </c>
      <c r="P52" s="55" t="s">
        <v>385</v>
      </c>
      <c r="Q52" s="50">
        <v>534.0</v>
      </c>
      <c r="R52" s="50">
        <v>844.0</v>
      </c>
      <c r="S52" s="50" t="s">
        <v>386</v>
      </c>
      <c r="T52" s="56" t="s">
        <v>387</v>
      </c>
      <c r="U52" s="53" t="s">
        <v>370</v>
      </c>
    </row>
    <row r="53">
      <c r="A53" s="54" t="s">
        <v>388</v>
      </c>
      <c r="B53" s="50" t="s">
        <v>352</v>
      </c>
      <c r="C53" s="51" t="s">
        <v>363</v>
      </c>
      <c r="D53" s="51" t="s">
        <v>300</v>
      </c>
      <c r="E53" s="51" t="s">
        <v>67</v>
      </c>
      <c r="F53" s="51"/>
      <c r="G53" s="50" t="s">
        <v>389</v>
      </c>
      <c r="H53" s="52">
        <v>44683.46553240741</v>
      </c>
      <c r="I53" s="50"/>
      <c r="J53" s="50"/>
      <c r="K53" s="50"/>
      <c r="L53" s="50"/>
      <c r="M53" s="50" t="s">
        <v>353</v>
      </c>
      <c r="N53" s="50"/>
      <c r="O53" s="53" t="s">
        <v>92</v>
      </c>
      <c r="P53" s="55" t="s">
        <v>354</v>
      </c>
      <c r="Q53" s="50">
        <v>17.0</v>
      </c>
      <c r="R53" s="50">
        <v>142.0</v>
      </c>
      <c r="S53" s="50" t="s">
        <v>246</v>
      </c>
      <c r="T53" s="56" t="s">
        <v>390</v>
      </c>
      <c r="U53" s="53" t="s">
        <v>332</v>
      </c>
    </row>
    <row r="54">
      <c r="A54" s="54" t="s">
        <v>391</v>
      </c>
      <c r="B54" s="50" t="s">
        <v>341</v>
      </c>
      <c r="C54" s="51" t="s">
        <v>316</v>
      </c>
      <c r="D54" s="51" t="s">
        <v>118</v>
      </c>
      <c r="E54" s="51" t="s">
        <v>67</v>
      </c>
      <c r="F54" s="51"/>
      <c r="G54" s="50" t="s">
        <v>392</v>
      </c>
      <c r="H54" s="52">
        <v>44683.46548611111</v>
      </c>
      <c r="I54" s="50"/>
      <c r="J54" s="50"/>
      <c r="K54" s="50"/>
      <c r="L54" s="50"/>
      <c r="M54" s="50" t="s">
        <v>344</v>
      </c>
      <c r="N54" s="50"/>
      <c r="O54" s="53" t="s">
        <v>70</v>
      </c>
      <c r="P54" s="55" t="s">
        <v>345</v>
      </c>
      <c r="Q54" s="50">
        <v>1063.0</v>
      </c>
      <c r="R54" s="50">
        <v>977.0</v>
      </c>
      <c r="S54" s="50" t="s">
        <v>346</v>
      </c>
      <c r="T54" s="56" t="s">
        <v>393</v>
      </c>
      <c r="U54" s="53" t="s">
        <v>322</v>
      </c>
    </row>
    <row r="55">
      <c r="A55" s="54" t="s">
        <v>394</v>
      </c>
      <c r="B55" s="50" t="s">
        <v>395</v>
      </c>
      <c r="C55" s="51" t="s">
        <v>396</v>
      </c>
      <c r="D55" s="51" t="s">
        <v>118</v>
      </c>
      <c r="E55" s="51" t="s">
        <v>67</v>
      </c>
      <c r="F55" s="51"/>
      <c r="G55" s="50" t="s">
        <v>397</v>
      </c>
      <c r="H55" s="52">
        <v>44683.465474537035</v>
      </c>
      <c r="I55" s="50"/>
      <c r="J55" s="50"/>
      <c r="K55" s="50"/>
      <c r="L55" s="50"/>
      <c r="M55" s="50" t="s">
        <v>398</v>
      </c>
      <c r="N55" s="50"/>
      <c r="O55" s="53" t="s">
        <v>399</v>
      </c>
      <c r="P55" s="55" t="s">
        <v>400</v>
      </c>
      <c r="Q55" s="50">
        <v>780.0</v>
      </c>
      <c r="R55" s="50">
        <v>36.0</v>
      </c>
      <c r="S55" s="50" t="s">
        <v>219</v>
      </c>
      <c r="T55" s="56" t="s">
        <v>401</v>
      </c>
      <c r="U55" s="53" t="s">
        <v>402</v>
      </c>
    </row>
    <row r="56">
      <c r="A56" s="54" t="s">
        <v>403</v>
      </c>
      <c r="B56" s="50" t="s">
        <v>404</v>
      </c>
      <c r="C56" s="51" t="s">
        <v>316</v>
      </c>
      <c r="D56" s="51" t="s">
        <v>300</v>
      </c>
      <c r="E56" s="51" t="s">
        <v>67</v>
      </c>
      <c r="F56" s="51"/>
      <c r="G56" s="50" t="s">
        <v>405</v>
      </c>
      <c r="H56" s="52">
        <v>44683.46543981481</v>
      </c>
      <c r="I56" s="50"/>
      <c r="J56" s="50"/>
      <c r="K56" s="50"/>
      <c r="L56" s="50"/>
      <c r="M56" s="50" t="s">
        <v>406</v>
      </c>
      <c r="N56" s="50"/>
      <c r="O56" s="53" t="s">
        <v>60</v>
      </c>
      <c r="P56" s="55" t="s">
        <v>407</v>
      </c>
      <c r="Q56" s="50">
        <v>2146.0</v>
      </c>
      <c r="R56" s="50">
        <v>2488.0</v>
      </c>
      <c r="S56" s="50"/>
      <c r="T56" s="56" t="s">
        <v>408</v>
      </c>
      <c r="U56" s="53" t="s">
        <v>322</v>
      </c>
    </row>
    <row r="57">
      <c r="A57" s="54" t="s">
        <v>409</v>
      </c>
      <c r="B57" s="50" t="s">
        <v>410</v>
      </c>
      <c r="C57" s="51" t="s">
        <v>316</v>
      </c>
      <c r="D57" s="51" t="s">
        <v>300</v>
      </c>
      <c r="E57" s="51" t="s">
        <v>67</v>
      </c>
      <c r="F57" s="51"/>
      <c r="G57" s="50" t="s">
        <v>411</v>
      </c>
      <c r="H57" s="52">
        <v>44683.46542824074</v>
      </c>
      <c r="I57" s="50"/>
      <c r="J57" s="50"/>
      <c r="K57" s="50"/>
      <c r="L57" s="50"/>
      <c r="M57" s="50" t="s">
        <v>412</v>
      </c>
      <c r="N57" s="50"/>
      <c r="O57" s="53" t="s">
        <v>92</v>
      </c>
      <c r="P57" s="55" t="s">
        <v>413</v>
      </c>
      <c r="Q57" s="50">
        <v>3728.0</v>
      </c>
      <c r="R57" s="50">
        <v>4801.0</v>
      </c>
      <c r="S57" s="50"/>
      <c r="T57" s="56" t="s">
        <v>414</v>
      </c>
      <c r="U57" s="53" t="s">
        <v>322</v>
      </c>
    </row>
    <row r="58">
      <c r="A58" s="54" t="s">
        <v>415</v>
      </c>
      <c r="B58" s="50" t="s">
        <v>375</v>
      </c>
      <c r="C58" s="51" t="s">
        <v>335</v>
      </c>
      <c r="D58" s="51" t="s">
        <v>118</v>
      </c>
      <c r="E58" s="51" t="s">
        <v>67</v>
      </c>
      <c r="F58" s="51"/>
      <c r="G58" s="50" t="s">
        <v>416</v>
      </c>
      <c r="H58" s="52">
        <v>44683.465416666666</v>
      </c>
      <c r="I58" s="50"/>
      <c r="J58" s="50"/>
      <c r="K58" s="50"/>
      <c r="L58" s="50"/>
      <c r="M58" s="50" t="s">
        <v>377</v>
      </c>
      <c r="N58" s="50"/>
      <c r="O58" s="53" t="s">
        <v>92</v>
      </c>
      <c r="P58" s="55" t="s">
        <v>378</v>
      </c>
      <c r="Q58" s="50">
        <v>561.0</v>
      </c>
      <c r="R58" s="50">
        <v>1315.0</v>
      </c>
      <c r="S58" s="50" t="s">
        <v>379</v>
      </c>
      <c r="T58" s="56" t="s">
        <v>417</v>
      </c>
      <c r="U58" s="53" t="s">
        <v>339</v>
      </c>
    </row>
    <row r="59">
      <c r="A59" s="54" t="s">
        <v>418</v>
      </c>
      <c r="B59" s="50" t="s">
        <v>419</v>
      </c>
      <c r="C59" s="51" t="s">
        <v>367</v>
      </c>
      <c r="D59" s="51" t="s">
        <v>300</v>
      </c>
      <c r="E59" s="51" t="s">
        <v>57</v>
      </c>
      <c r="F59" s="51"/>
      <c r="G59" s="50" t="s">
        <v>420</v>
      </c>
      <c r="H59" s="52">
        <v>44683.46539351852</v>
      </c>
      <c r="I59" s="50"/>
      <c r="J59" s="50"/>
      <c r="K59" s="50"/>
      <c r="L59" s="50"/>
      <c r="M59" s="50" t="s">
        <v>421</v>
      </c>
      <c r="N59" s="50"/>
      <c r="O59" s="53" t="s">
        <v>70</v>
      </c>
      <c r="P59" s="55" t="s">
        <v>422</v>
      </c>
      <c r="Q59" s="50">
        <v>645.0</v>
      </c>
      <c r="R59" s="50">
        <v>4966.0</v>
      </c>
      <c r="S59" s="50"/>
      <c r="T59" s="56" t="s">
        <v>423</v>
      </c>
      <c r="U59" s="53" t="s">
        <v>370</v>
      </c>
    </row>
    <row r="60">
      <c r="A60" s="54" t="s">
        <v>424</v>
      </c>
      <c r="B60" s="50" t="s">
        <v>352</v>
      </c>
      <c r="C60" s="51" t="s">
        <v>367</v>
      </c>
      <c r="D60" s="51" t="s">
        <v>56</v>
      </c>
      <c r="E60" s="51" t="s">
        <v>57</v>
      </c>
      <c r="F60" s="51"/>
      <c r="G60" s="50" t="s">
        <v>425</v>
      </c>
      <c r="H60" s="52">
        <v>44683.46534722223</v>
      </c>
      <c r="I60" s="50"/>
      <c r="J60" s="50"/>
      <c r="K60" s="50"/>
      <c r="L60" s="50"/>
      <c r="M60" s="50" t="s">
        <v>353</v>
      </c>
      <c r="N60" s="50"/>
      <c r="O60" s="53" t="s">
        <v>92</v>
      </c>
      <c r="P60" s="55" t="s">
        <v>354</v>
      </c>
      <c r="Q60" s="50">
        <v>17.0</v>
      </c>
      <c r="R60" s="50">
        <v>142.0</v>
      </c>
      <c r="S60" s="50" t="s">
        <v>246</v>
      </c>
      <c r="T60" s="56" t="s">
        <v>426</v>
      </c>
      <c r="U60" s="53" t="s">
        <v>370</v>
      </c>
    </row>
    <row r="61">
      <c r="A61" s="54" t="s">
        <v>427</v>
      </c>
      <c r="B61" s="50" t="s">
        <v>428</v>
      </c>
      <c r="C61" s="51" t="s">
        <v>367</v>
      </c>
      <c r="D61" s="51" t="s">
        <v>300</v>
      </c>
      <c r="E61" s="51" t="s">
        <v>67</v>
      </c>
      <c r="F61" s="51"/>
      <c r="G61" s="50" t="s">
        <v>429</v>
      </c>
      <c r="H61" s="52">
        <v>44683.46533564814</v>
      </c>
      <c r="I61" s="50"/>
      <c r="J61" s="50"/>
      <c r="K61" s="50"/>
      <c r="L61" s="50"/>
      <c r="M61" s="50" t="s">
        <v>430</v>
      </c>
      <c r="N61" s="50"/>
      <c r="O61" s="53" t="s">
        <v>92</v>
      </c>
      <c r="P61" s="55" t="s">
        <v>431</v>
      </c>
      <c r="Q61" s="50">
        <v>34.0</v>
      </c>
      <c r="R61" s="50">
        <v>40.0</v>
      </c>
      <c r="S61" s="50" t="s">
        <v>432</v>
      </c>
      <c r="T61" s="56" t="s">
        <v>433</v>
      </c>
      <c r="U61" s="53" t="s">
        <v>370</v>
      </c>
    </row>
    <row r="62">
      <c r="A62" s="54" t="s">
        <v>434</v>
      </c>
      <c r="B62" s="50" t="s">
        <v>410</v>
      </c>
      <c r="C62" s="51" t="s">
        <v>329</v>
      </c>
      <c r="D62" s="51" t="s">
        <v>56</v>
      </c>
      <c r="E62" s="51" t="s">
        <v>67</v>
      </c>
      <c r="F62" s="51"/>
      <c r="G62" s="50" t="s">
        <v>435</v>
      </c>
      <c r="H62" s="52">
        <v>44683.465312500004</v>
      </c>
      <c r="I62" s="50"/>
      <c r="J62" s="50"/>
      <c r="K62" s="50"/>
      <c r="L62" s="50"/>
      <c r="M62" s="50" t="s">
        <v>412</v>
      </c>
      <c r="N62" s="50"/>
      <c r="O62" s="53" t="s">
        <v>92</v>
      </c>
      <c r="P62" s="55" t="s">
        <v>413</v>
      </c>
      <c r="Q62" s="50">
        <v>3728.0</v>
      </c>
      <c r="R62" s="50">
        <v>4801.0</v>
      </c>
      <c r="S62" s="50"/>
      <c r="T62" s="56" t="s">
        <v>436</v>
      </c>
      <c r="U62" s="53" t="s">
        <v>332</v>
      </c>
    </row>
    <row r="63">
      <c r="A63" s="54" t="s">
        <v>437</v>
      </c>
      <c r="B63" s="50" t="s">
        <v>438</v>
      </c>
      <c r="C63" s="51" t="s">
        <v>335</v>
      </c>
      <c r="D63" s="51" t="s">
        <v>56</v>
      </c>
      <c r="E63" s="51" t="s">
        <v>57</v>
      </c>
      <c r="F63" s="51"/>
      <c r="G63" s="50" t="s">
        <v>435</v>
      </c>
      <c r="H63" s="52">
        <v>44683.465312500004</v>
      </c>
      <c r="I63" s="50"/>
      <c r="J63" s="50"/>
      <c r="K63" s="50"/>
      <c r="L63" s="50"/>
      <c r="M63" s="50" t="s">
        <v>439</v>
      </c>
      <c r="N63" s="50"/>
      <c r="O63" s="53" t="s">
        <v>60</v>
      </c>
      <c r="P63" s="55" t="s">
        <v>440</v>
      </c>
      <c r="Q63" s="50">
        <v>6691.0</v>
      </c>
      <c r="R63" s="50">
        <v>7009.0</v>
      </c>
      <c r="S63" s="50" t="s">
        <v>441</v>
      </c>
      <c r="T63" s="56" t="s">
        <v>442</v>
      </c>
      <c r="U63" s="53" t="s">
        <v>339</v>
      </c>
    </row>
    <row r="64">
      <c r="A64" s="54" t="s">
        <v>443</v>
      </c>
      <c r="B64" s="50" t="s">
        <v>410</v>
      </c>
      <c r="C64" s="51" t="s">
        <v>335</v>
      </c>
      <c r="D64" s="51" t="s">
        <v>56</v>
      </c>
      <c r="E64" s="51" t="s">
        <v>57</v>
      </c>
      <c r="F64" s="51"/>
      <c r="G64" s="50" t="s">
        <v>444</v>
      </c>
      <c r="H64" s="52">
        <v>44683.465208333335</v>
      </c>
      <c r="I64" s="50"/>
      <c r="J64" s="50"/>
      <c r="K64" s="50"/>
      <c r="L64" s="50"/>
      <c r="M64" s="50" t="s">
        <v>412</v>
      </c>
      <c r="N64" s="50"/>
      <c r="O64" s="53" t="s">
        <v>92</v>
      </c>
      <c r="P64" s="55" t="s">
        <v>413</v>
      </c>
      <c r="Q64" s="50">
        <v>3728.0</v>
      </c>
      <c r="R64" s="50">
        <v>4801.0</v>
      </c>
      <c r="S64" s="50"/>
      <c r="T64" s="56" t="s">
        <v>445</v>
      </c>
      <c r="U64" s="53" t="s">
        <v>339</v>
      </c>
    </row>
    <row r="65">
      <c r="A65" s="54" t="s">
        <v>446</v>
      </c>
      <c r="B65" s="50" t="s">
        <v>447</v>
      </c>
      <c r="C65" s="51" t="s">
        <v>367</v>
      </c>
      <c r="D65" s="51" t="s">
        <v>300</v>
      </c>
      <c r="E65" s="51" t="s">
        <v>67</v>
      </c>
      <c r="F65" s="51"/>
      <c r="G65" s="50" t="s">
        <v>448</v>
      </c>
      <c r="H65" s="52">
        <v>44683.46511574074</v>
      </c>
      <c r="I65" s="50"/>
      <c r="J65" s="50"/>
      <c r="K65" s="50"/>
      <c r="L65" s="50"/>
      <c r="M65" s="50" t="s">
        <v>449</v>
      </c>
      <c r="N65" s="50"/>
      <c r="O65" s="53" t="s">
        <v>92</v>
      </c>
      <c r="P65" s="55" t="s">
        <v>450</v>
      </c>
      <c r="Q65" s="50">
        <v>86.0</v>
      </c>
      <c r="R65" s="50">
        <v>297.0</v>
      </c>
      <c r="S65" s="50" t="s">
        <v>451</v>
      </c>
      <c r="T65" s="56" t="s">
        <v>452</v>
      </c>
      <c r="U65" s="53" t="s">
        <v>370</v>
      </c>
    </row>
    <row r="66">
      <c r="A66" s="54" t="s">
        <v>453</v>
      </c>
      <c r="B66" s="50" t="s">
        <v>447</v>
      </c>
      <c r="C66" s="51" t="s">
        <v>363</v>
      </c>
      <c r="D66" s="51" t="s">
        <v>118</v>
      </c>
      <c r="E66" s="51" t="s">
        <v>57</v>
      </c>
      <c r="F66" s="51"/>
      <c r="G66" s="50" t="s">
        <v>454</v>
      </c>
      <c r="H66" s="52">
        <v>44683.46505787037</v>
      </c>
      <c r="I66" s="50"/>
      <c r="J66" s="50"/>
      <c r="K66" s="50"/>
      <c r="L66" s="50"/>
      <c r="M66" s="50" t="s">
        <v>449</v>
      </c>
      <c r="N66" s="50"/>
      <c r="O66" s="53" t="s">
        <v>92</v>
      </c>
      <c r="P66" s="55" t="s">
        <v>450</v>
      </c>
      <c r="Q66" s="50">
        <v>86.0</v>
      </c>
      <c r="R66" s="50">
        <v>297.0</v>
      </c>
      <c r="S66" s="50" t="s">
        <v>451</v>
      </c>
      <c r="T66" s="56" t="s">
        <v>455</v>
      </c>
      <c r="U66" s="53" t="s">
        <v>332</v>
      </c>
    </row>
    <row r="67">
      <c r="A67" s="54" t="s">
        <v>456</v>
      </c>
      <c r="B67" s="50" t="s">
        <v>457</v>
      </c>
      <c r="C67" s="51" t="s">
        <v>458</v>
      </c>
      <c r="D67" s="51" t="s">
        <v>118</v>
      </c>
      <c r="E67" s="51" t="s">
        <v>67</v>
      </c>
      <c r="F67" s="51"/>
      <c r="G67" s="50" t="s">
        <v>454</v>
      </c>
      <c r="H67" s="52">
        <v>44683.46505787037</v>
      </c>
      <c r="I67" s="50"/>
      <c r="J67" s="50"/>
      <c r="K67" s="50"/>
      <c r="L67" s="50"/>
      <c r="M67" s="50" t="s">
        <v>459</v>
      </c>
      <c r="N67" s="50"/>
      <c r="O67" s="53" t="s">
        <v>92</v>
      </c>
      <c r="P67" s="55" t="s">
        <v>460</v>
      </c>
      <c r="Q67" s="50">
        <v>1865.0</v>
      </c>
      <c r="R67" s="50">
        <v>1995.0</v>
      </c>
      <c r="S67" s="50" t="s">
        <v>461</v>
      </c>
      <c r="T67" s="56" t="s">
        <v>462</v>
      </c>
      <c r="U67" s="53" t="s">
        <v>463</v>
      </c>
    </row>
    <row r="68">
      <c r="A68" s="54" t="s">
        <v>464</v>
      </c>
      <c r="B68" s="50" t="s">
        <v>410</v>
      </c>
      <c r="C68" s="51" t="s">
        <v>363</v>
      </c>
      <c r="D68" s="51" t="s">
        <v>118</v>
      </c>
      <c r="E68" s="51" t="s">
        <v>57</v>
      </c>
      <c r="F68" s="51"/>
      <c r="G68" s="50" t="s">
        <v>465</v>
      </c>
      <c r="H68" s="52">
        <v>44683.46502314815</v>
      </c>
      <c r="I68" s="50"/>
      <c r="J68" s="50"/>
      <c r="K68" s="50"/>
      <c r="L68" s="50"/>
      <c r="M68" s="50" t="s">
        <v>412</v>
      </c>
      <c r="N68" s="50"/>
      <c r="O68" s="53" t="s">
        <v>92</v>
      </c>
      <c r="P68" s="55" t="s">
        <v>413</v>
      </c>
      <c r="Q68" s="50">
        <v>3728.0</v>
      </c>
      <c r="R68" s="50">
        <v>4801.0</v>
      </c>
      <c r="S68" s="50"/>
      <c r="T68" s="56" t="s">
        <v>466</v>
      </c>
      <c r="U68" s="53" t="s">
        <v>332</v>
      </c>
    </row>
    <row r="69">
      <c r="A69" s="54" t="s">
        <v>467</v>
      </c>
      <c r="B69" s="50" t="s">
        <v>468</v>
      </c>
      <c r="C69" s="51" t="s">
        <v>469</v>
      </c>
      <c r="D69" s="51" t="s">
        <v>118</v>
      </c>
      <c r="E69" s="51" t="s">
        <v>67</v>
      </c>
      <c r="F69" s="51"/>
      <c r="G69" s="50" t="s">
        <v>470</v>
      </c>
      <c r="H69" s="52">
        <v>44683.46491898148</v>
      </c>
      <c r="I69" s="50"/>
      <c r="J69" s="50"/>
      <c r="K69" s="50"/>
      <c r="L69" s="50"/>
      <c r="M69" s="50" t="s">
        <v>471</v>
      </c>
      <c r="N69" s="50"/>
      <c r="O69" s="53" t="s">
        <v>70</v>
      </c>
      <c r="P69" s="55" t="s">
        <v>472</v>
      </c>
      <c r="Q69" s="50">
        <v>2862.0</v>
      </c>
      <c r="R69" s="50">
        <v>4845.0</v>
      </c>
      <c r="S69" s="50" t="s">
        <v>473</v>
      </c>
      <c r="T69" s="56" t="s">
        <v>474</v>
      </c>
      <c r="U69" s="53" t="s">
        <v>475</v>
      </c>
    </row>
    <row r="70">
      <c r="A70" s="54" t="s">
        <v>476</v>
      </c>
      <c r="B70" s="50" t="s">
        <v>477</v>
      </c>
      <c r="C70" s="51" t="s">
        <v>367</v>
      </c>
      <c r="D70" s="51" t="s">
        <v>56</v>
      </c>
      <c r="E70" s="51" t="s">
        <v>67</v>
      </c>
      <c r="F70" s="51"/>
      <c r="G70" s="50" t="s">
        <v>478</v>
      </c>
      <c r="H70" s="52">
        <v>44683.46490740741</v>
      </c>
      <c r="I70" s="50"/>
      <c r="J70" s="50"/>
      <c r="K70" s="50"/>
      <c r="L70" s="50"/>
      <c r="M70" s="50" t="s">
        <v>479</v>
      </c>
      <c r="N70" s="50"/>
      <c r="O70" s="53" t="s">
        <v>60</v>
      </c>
      <c r="P70" s="55" t="s">
        <v>480</v>
      </c>
      <c r="Q70" s="50">
        <v>185.0</v>
      </c>
      <c r="R70" s="50">
        <v>207.0</v>
      </c>
      <c r="S70" s="50"/>
      <c r="T70" s="56" t="s">
        <v>481</v>
      </c>
      <c r="U70" s="53" t="s">
        <v>370</v>
      </c>
    </row>
    <row r="71">
      <c r="A71" s="54" t="s">
        <v>482</v>
      </c>
      <c r="B71" s="50" t="s">
        <v>447</v>
      </c>
      <c r="C71" s="51" t="s">
        <v>335</v>
      </c>
      <c r="D71" s="51" t="s">
        <v>300</v>
      </c>
      <c r="E71" s="51" t="s">
        <v>57</v>
      </c>
      <c r="F71" s="51"/>
      <c r="G71" s="50" t="s">
        <v>478</v>
      </c>
      <c r="H71" s="52">
        <v>44683.46490740741</v>
      </c>
      <c r="I71" s="50"/>
      <c r="J71" s="50"/>
      <c r="K71" s="50"/>
      <c r="L71" s="50"/>
      <c r="M71" s="50" t="s">
        <v>449</v>
      </c>
      <c r="N71" s="50"/>
      <c r="O71" s="53" t="s">
        <v>92</v>
      </c>
      <c r="P71" s="55" t="s">
        <v>450</v>
      </c>
      <c r="Q71" s="50">
        <v>86.0</v>
      </c>
      <c r="R71" s="50">
        <v>297.0</v>
      </c>
      <c r="S71" s="50" t="s">
        <v>451</v>
      </c>
      <c r="T71" s="56" t="s">
        <v>483</v>
      </c>
      <c r="U71" s="53" t="s">
        <v>339</v>
      </c>
    </row>
    <row r="72">
      <c r="A72" s="54" t="s">
        <v>484</v>
      </c>
      <c r="B72" s="50" t="s">
        <v>485</v>
      </c>
      <c r="C72" s="51" t="s">
        <v>486</v>
      </c>
      <c r="D72" s="51" t="s">
        <v>118</v>
      </c>
      <c r="E72" s="51" t="s">
        <v>57</v>
      </c>
      <c r="F72" s="51"/>
      <c r="G72" s="50" t="s">
        <v>487</v>
      </c>
      <c r="H72" s="52">
        <v>44683.464895833335</v>
      </c>
      <c r="I72" s="50"/>
      <c r="J72" s="50"/>
      <c r="K72" s="50" t="s">
        <v>488</v>
      </c>
      <c r="L72" s="50" t="s">
        <v>489</v>
      </c>
      <c r="M72" s="50" t="s">
        <v>490</v>
      </c>
      <c r="N72" s="50" t="s">
        <v>491</v>
      </c>
      <c r="O72" s="53" t="s">
        <v>70</v>
      </c>
      <c r="P72" s="55" t="s">
        <v>492</v>
      </c>
      <c r="Q72" s="50">
        <v>419.0</v>
      </c>
      <c r="R72" s="50">
        <v>1114.0</v>
      </c>
      <c r="S72" s="50" t="s">
        <v>493</v>
      </c>
      <c r="T72" s="56" t="s">
        <v>494</v>
      </c>
      <c r="U72" s="53" t="s">
        <v>495</v>
      </c>
    </row>
    <row r="73">
      <c r="A73" s="54" t="s">
        <v>496</v>
      </c>
      <c r="B73" s="50" t="s">
        <v>497</v>
      </c>
      <c r="C73" s="51" t="s">
        <v>367</v>
      </c>
      <c r="D73" s="51" t="s">
        <v>118</v>
      </c>
      <c r="E73" s="51" t="s">
        <v>67</v>
      </c>
      <c r="F73" s="51"/>
      <c r="G73" s="50" t="s">
        <v>498</v>
      </c>
      <c r="H73" s="52">
        <v>44683.46467592593</v>
      </c>
      <c r="I73" s="50"/>
      <c r="J73" s="50"/>
      <c r="K73" s="50"/>
      <c r="L73" s="50"/>
      <c r="M73" s="50" t="s">
        <v>499</v>
      </c>
      <c r="N73" s="50"/>
      <c r="O73" s="53" t="s">
        <v>92</v>
      </c>
      <c r="P73" s="55" t="s">
        <v>500</v>
      </c>
      <c r="Q73" s="50">
        <v>225.0</v>
      </c>
      <c r="R73" s="50">
        <v>612.0</v>
      </c>
      <c r="S73" s="50" t="s">
        <v>501</v>
      </c>
      <c r="T73" s="56" t="s">
        <v>502</v>
      </c>
      <c r="U73" s="53" t="s">
        <v>370</v>
      </c>
    </row>
    <row r="74">
      <c r="A74" s="54" t="s">
        <v>503</v>
      </c>
      <c r="B74" s="50" t="s">
        <v>504</v>
      </c>
      <c r="C74" s="51" t="s">
        <v>505</v>
      </c>
      <c r="D74" s="51" t="s">
        <v>56</v>
      </c>
      <c r="E74" s="51" t="s">
        <v>57</v>
      </c>
      <c r="F74" s="51"/>
      <c r="G74" s="50" t="s">
        <v>506</v>
      </c>
      <c r="H74" s="52">
        <v>44683.46462962963</v>
      </c>
      <c r="I74" s="50"/>
      <c r="J74" s="50"/>
      <c r="K74" s="50"/>
      <c r="L74" s="50"/>
      <c r="M74" s="50" t="s">
        <v>507</v>
      </c>
      <c r="N74" s="50"/>
      <c r="O74" s="53" t="s">
        <v>92</v>
      </c>
      <c r="P74" s="55" t="s">
        <v>508</v>
      </c>
      <c r="Q74" s="50">
        <v>136.0</v>
      </c>
      <c r="R74" s="50">
        <v>70.0</v>
      </c>
      <c r="S74" s="50" t="s">
        <v>509</v>
      </c>
      <c r="T74" s="56" t="s">
        <v>510</v>
      </c>
      <c r="U74" s="53" t="s">
        <v>511</v>
      </c>
    </row>
    <row r="75">
      <c r="A75" s="54" t="s">
        <v>512</v>
      </c>
      <c r="B75" s="50" t="s">
        <v>513</v>
      </c>
      <c r="C75" s="51" t="s">
        <v>367</v>
      </c>
      <c r="D75" s="51" t="s">
        <v>300</v>
      </c>
      <c r="E75" s="51" t="s">
        <v>57</v>
      </c>
      <c r="F75" s="51"/>
      <c r="G75" s="50" t="s">
        <v>514</v>
      </c>
      <c r="H75" s="52">
        <v>44683.46461805556</v>
      </c>
      <c r="I75" s="50"/>
      <c r="J75" s="50"/>
      <c r="K75" s="50"/>
      <c r="L75" s="50"/>
      <c r="M75" s="50" t="s">
        <v>515</v>
      </c>
      <c r="N75" s="50"/>
      <c r="O75" s="53" t="s">
        <v>70</v>
      </c>
      <c r="P75" s="55" t="s">
        <v>516</v>
      </c>
      <c r="Q75" s="50">
        <v>227.0</v>
      </c>
      <c r="R75" s="50">
        <v>985.0</v>
      </c>
      <c r="S75" s="50" t="s">
        <v>517</v>
      </c>
      <c r="T75" s="56" t="s">
        <v>518</v>
      </c>
      <c r="U75" s="53" t="s">
        <v>370</v>
      </c>
    </row>
    <row r="76">
      <c r="A76" s="54" t="s">
        <v>519</v>
      </c>
      <c r="B76" s="50" t="s">
        <v>410</v>
      </c>
      <c r="C76" s="51" t="s">
        <v>367</v>
      </c>
      <c r="D76" s="51" t="s">
        <v>300</v>
      </c>
      <c r="E76" s="51" t="s">
        <v>67</v>
      </c>
      <c r="F76" s="51"/>
      <c r="G76" s="50" t="s">
        <v>520</v>
      </c>
      <c r="H76" s="52">
        <v>44683.46460648148</v>
      </c>
      <c r="I76" s="50"/>
      <c r="J76" s="50"/>
      <c r="K76" s="50"/>
      <c r="L76" s="50"/>
      <c r="M76" s="50" t="s">
        <v>412</v>
      </c>
      <c r="N76" s="50"/>
      <c r="O76" s="53" t="s">
        <v>92</v>
      </c>
      <c r="P76" s="55" t="s">
        <v>413</v>
      </c>
      <c r="Q76" s="50">
        <v>3728.0</v>
      </c>
      <c r="R76" s="50">
        <v>4801.0</v>
      </c>
      <c r="S76" s="50"/>
      <c r="T76" s="56" t="s">
        <v>521</v>
      </c>
      <c r="U76" s="53" t="s">
        <v>370</v>
      </c>
    </row>
    <row r="77">
      <c r="A77" s="54" t="s">
        <v>522</v>
      </c>
      <c r="B77" s="50" t="s">
        <v>438</v>
      </c>
      <c r="C77" s="51" t="s">
        <v>363</v>
      </c>
      <c r="D77" s="51" t="s">
        <v>300</v>
      </c>
      <c r="E77" s="51" t="s">
        <v>67</v>
      </c>
      <c r="F77" s="51"/>
      <c r="G77" s="50" t="s">
        <v>523</v>
      </c>
      <c r="H77" s="52">
        <v>44683.46452546296</v>
      </c>
      <c r="I77" s="50"/>
      <c r="J77" s="50"/>
      <c r="K77" s="50"/>
      <c r="L77" s="50"/>
      <c r="M77" s="50" t="s">
        <v>439</v>
      </c>
      <c r="N77" s="50"/>
      <c r="O77" s="53" t="s">
        <v>60</v>
      </c>
      <c r="P77" s="55" t="s">
        <v>440</v>
      </c>
      <c r="Q77" s="50">
        <v>6691.0</v>
      </c>
      <c r="R77" s="50">
        <v>7009.0</v>
      </c>
      <c r="S77" s="50" t="s">
        <v>441</v>
      </c>
      <c r="T77" s="56" t="s">
        <v>524</v>
      </c>
      <c r="U77" s="53" t="s">
        <v>332</v>
      </c>
    </row>
    <row r="78">
      <c r="A78" s="54" t="s">
        <v>525</v>
      </c>
      <c r="B78" s="50" t="s">
        <v>526</v>
      </c>
      <c r="C78" s="51" t="s">
        <v>367</v>
      </c>
      <c r="D78" s="51" t="s">
        <v>56</v>
      </c>
      <c r="E78" s="51" t="s">
        <v>67</v>
      </c>
      <c r="F78" s="51"/>
      <c r="G78" s="50" t="s">
        <v>527</v>
      </c>
      <c r="H78" s="52">
        <v>44683.4640162037</v>
      </c>
      <c r="I78" s="50"/>
      <c r="J78" s="50"/>
      <c r="K78" s="50"/>
      <c r="L78" s="50"/>
      <c r="M78" s="50" t="s">
        <v>528</v>
      </c>
      <c r="N78" s="50"/>
      <c r="O78" s="53" t="s">
        <v>70</v>
      </c>
      <c r="P78" s="55" t="s">
        <v>529</v>
      </c>
      <c r="Q78" s="50">
        <v>166.0</v>
      </c>
      <c r="R78" s="50">
        <v>582.0</v>
      </c>
      <c r="S78" s="50" t="s">
        <v>530</v>
      </c>
      <c r="T78" s="56" t="s">
        <v>531</v>
      </c>
      <c r="U78" s="53" t="s">
        <v>370</v>
      </c>
    </row>
    <row r="79">
      <c r="A79" s="54" t="s">
        <v>532</v>
      </c>
      <c r="B79" s="50" t="s">
        <v>533</v>
      </c>
      <c r="C79" s="51" t="s">
        <v>534</v>
      </c>
      <c r="D79" s="51" t="s">
        <v>56</v>
      </c>
      <c r="E79" s="51" t="s">
        <v>57</v>
      </c>
      <c r="F79" s="51"/>
      <c r="G79" s="50" t="s">
        <v>535</v>
      </c>
      <c r="H79" s="52">
        <v>44683.46393518518</v>
      </c>
      <c r="I79" s="50"/>
      <c r="J79" s="50"/>
      <c r="K79" s="50" t="s">
        <v>536</v>
      </c>
      <c r="L79" s="50" t="s">
        <v>537</v>
      </c>
      <c r="M79" s="50" t="s">
        <v>538</v>
      </c>
      <c r="N79" s="50" t="s">
        <v>539</v>
      </c>
      <c r="O79" s="53" t="s">
        <v>60</v>
      </c>
      <c r="P79" s="55" t="s">
        <v>540</v>
      </c>
      <c r="Q79" s="50">
        <v>2041.0</v>
      </c>
      <c r="R79" s="50">
        <v>1952.0</v>
      </c>
      <c r="S79" s="50" t="s">
        <v>541</v>
      </c>
      <c r="T79" s="56" t="s">
        <v>542</v>
      </c>
      <c r="U79" s="53" t="s">
        <v>543</v>
      </c>
    </row>
    <row r="80">
      <c r="A80" s="54" t="s">
        <v>544</v>
      </c>
      <c r="B80" s="50" t="s">
        <v>545</v>
      </c>
      <c r="C80" s="51" t="s">
        <v>316</v>
      </c>
      <c r="D80" s="51" t="s">
        <v>56</v>
      </c>
      <c r="E80" s="51" t="s">
        <v>67</v>
      </c>
      <c r="F80" s="51"/>
      <c r="G80" s="50" t="s">
        <v>546</v>
      </c>
      <c r="H80" s="52">
        <v>44683.463842592595</v>
      </c>
      <c r="I80" s="50"/>
      <c r="J80" s="50"/>
      <c r="K80" s="50"/>
      <c r="L80" s="50"/>
      <c r="M80" s="50" t="s">
        <v>547</v>
      </c>
      <c r="N80" s="50"/>
      <c r="O80" s="53" t="s">
        <v>92</v>
      </c>
      <c r="P80" s="55" t="s">
        <v>548</v>
      </c>
      <c r="Q80" s="50">
        <v>3193.0</v>
      </c>
      <c r="R80" s="50">
        <v>1918.0</v>
      </c>
      <c r="S80" s="50" t="s">
        <v>549</v>
      </c>
      <c r="T80" s="56" t="s">
        <v>550</v>
      </c>
      <c r="U80" s="53" t="s">
        <v>322</v>
      </c>
    </row>
    <row r="81">
      <c r="A81" s="54" t="s">
        <v>551</v>
      </c>
      <c r="B81" s="50" t="s">
        <v>552</v>
      </c>
      <c r="C81" s="51" t="s">
        <v>553</v>
      </c>
      <c r="D81" s="51" t="s">
        <v>300</v>
      </c>
      <c r="E81" s="51" t="s">
        <v>67</v>
      </c>
      <c r="F81" s="51"/>
      <c r="G81" s="50" t="s">
        <v>554</v>
      </c>
      <c r="H81" s="52">
        <v>44683.463749999995</v>
      </c>
      <c r="I81" s="50"/>
      <c r="J81" s="50"/>
      <c r="K81" s="50"/>
      <c r="L81" s="50"/>
      <c r="M81" s="50" t="s">
        <v>555</v>
      </c>
      <c r="N81" s="50"/>
      <c r="O81" s="53" t="s">
        <v>92</v>
      </c>
      <c r="P81" s="55" t="s">
        <v>556</v>
      </c>
      <c r="Q81" s="50">
        <v>4596.0</v>
      </c>
      <c r="R81" s="50">
        <v>3466.0</v>
      </c>
      <c r="S81" s="50" t="s">
        <v>557</v>
      </c>
      <c r="T81" s="56" t="s">
        <v>558</v>
      </c>
      <c r="U81" s="53" t="s">
        <v>559</v>
      </c>
    </row>
    <row r="82">
      <c r="A82" s="54" t="s">
        <v>560</v>
      </c>
      <c r="B82" s="50" t="s">
        <v>545</v>
      </c>
      <c r="C82" s="51" t="s">
        <v>329</v>
      </c>
      <c r="D82" s="51" t="s">
        <v>118</v>
      </c>
      <c r="E82" s="51" t="s">
        <v>57</v>
      </c>
      <c r="F82" s="51"/>
      <c r="G82" s="50" t="s">
        <v>561</v>
      </c>
      <c r="H82" s="52">
        <v>44683.46371527778</v>
      </c>
      <c r="I82" s="50"/>
      <c r="J82" s="50"/>
      <c r="K82" s="50"/>
      <c r="L82" s="50"/>
      <c r="M82" s="50" t="s">
        <v>547</v>
      </c>
      <c r="N82" s="50"/>
      <c r="O82" s="53" t="s">
        <v>92</v>
      </c>
      <c r="P82" s="55" t="s">
        <v>548</v>
      </c>
      <c r="Q82" s="50">
        <v>3193.0</v>
      </c>
      <c r="R82" s="50">
        <v>1918.0</v>
      </c>
      <c r="S82" s="50" t="s">
        <v>549</v>
      </c>
      <c r="T82" s="56" t="s">
        <v>562</v>
      </c>
      <c r="U82" s="53" t="s">
        <v>332</v>
      </c>
    </row>
    <row r="83">
      <c r="A83" s="54" t="s">
        <v>563</v>
      </c>
      <c r="B83" s="50" t="s">
        <v>564</v>
      </c>
      <c r="C83" s="51" t="s">
        <v>565</v>
      </c>
      <c r="D83" s="51" t="s">
        <v>56</v>
      </c>
      <c r="E83" s="51" t="s">
        <v>67</v>
      </c>
      <c r="F83" s="51"/>
      <c r="G83" s="50" t="s">
        <v>566</v>
      </c>
      <c r="H83" s="52">
        <v>44683.46365740741</v>
      </c>
      <c r="I83" s="50"/>
      <c r="J83" s="50"/>
      <c r="K83" s="50"/>
      <c r="L83" s="50"/>
      <c r="M83" s="50" t="s">
        <v>567</v>
      </c>
      <c r="N83" s="50"/>
      <c r="O83" s="53" t="s">
        <v>217</v>
      </c>
      <c r="P83" s="55" t="s">
        <v>568</v>
      </c>
      <c r="Q83" s="50">
        <v>4023.0</v>
      </c>
      <c r="R83" s="50">
        <v>4977.0</v>
      </c>
      <c r="S83" s="50" t="s">
        <v>569</v>
      </c>
      <c r="T83" s="56" t="s">
        <v>570</v>
      </c>
      <c r="U83" s="53" t="s">
        <v>571</v>
      </c>
    </row>
    <row r="84">
      <c r="A84" s="54" t="s">
        <v>572</v>
      </c>
      <c r="B84" s="50" t="s">
        <v>573</v>
      </c>
      <c r="C84" s="51" t="s">
        <v>367</v>
      </c>
      <c r="D84" s="51" t="s">
        <v>56</v>
      </c>
      <c r="E84" s="51" t="s">
        <v>57</v>
      </c>
      <c r="F84" s="51"/>
      <c r="G84" s="50" t="s">
        <v>574</v>
      </c>
      <c r="H84" s="52">
        <v>44683.46363425926</v>
      </c>
      <c r="I84" s="50"/>
      <c r="J84" s="50"/>
      <c r="K84" s="50"/>
      <c r="L84" s="50"/>
      <c r="M84" s="50" t="s">
        <v>575</v>
      </c>
      <c r="N84" s="50"/>
      <c r="O84" s="53" t="s">
        <v>60</v>
      </c>
      <c r="P84" s="55" t="s">
        <v>576</v>
      </c>
      <c r="Q84" s="50">
        <v>1027.0</v>
      </c>
      <c r="R84" s="50">
        <v>3429.0</v>
      </c>
      <c r="S84" s="50" t="s">
        <v>577</v>
      </c>
      <c r="T84" s="56" t="s">
        <v>578</v>
      </c>
      <c r="U84" s="53" t="s">
        <v>370</v>
      </c>
    </row>
    <row r="85">
      <c r="A85" s="54" t="s">
        <v>579</v>
      </c>
      <c r="B85" s="50" t="s">
        <v>545</v>
      </c>
      <c r="C85" s="51" t="s">
        <v>335</v>
      </c>
      <c r="D85" s="51" t="s">
        <v>56</v>
      </c>
      <c r="E85" s="51" t="s">
        <v>57</v>
      </c>
      <c r="F85" s="51"/>
      <c r="G85" s="50" t="s">
        <v>580</v>
      </c>
      <c r="H85" s="52">
        <v>44683.46361111111</v>
      </c>
      <c r="I85" s="50"/>
      <c r="J85" s="50"/>
      <c r="K85" s="50"/>
      <c r="L85" s="50"/>
      <c r="M85" s="50" t="s">
        <v>547</v>
      </c>
      <c r="N85" s="50"/>
      <c r="O85" s="53" t="s">
        <v>92</v>
      </c>
      <c r="P85" s="55" t="s">
        <v>548</v>
      </c>
      <c r="Q85" s="50">
        <v>3193.0</v>
      </c>
      <c r="R85" s="50">
        <v>1918.0</v>
      </c>
      <c r="S85" s="50" t="s">
        <v>549</v>
      </c>
      <c r="T85" s="56" t="s">
        <v>581</v>
      </c>
      <c r="U85" s="53" t="s">
        <v>339</v>
      </c>
    </row>
    <row r="86">
      <c r="A86" s="54" t="s">
        <v>582</v>
      </c>
      <c r="B86" s="50" t="s">
        <v>583</v>
      </c>
      <c r="C86" s="51" t="s">
        <v>316</v>
      </c>
      <c r="D86" s="51" t="s">
        <v>118</v>
      </c>
      <c r="E86" s="51" t="s">
        <v>67</v>
      </c>
      <c r="F86" s="51"/>
      <c r="G86" s="50" t="s">
        <v>584</v>
      </c>
      <c r="H86" s="52">
        <v>44683.463483796295</v>
      </c>
      <c r="I86" s="50"/>
      <c r="J86" s="50"/>
      <c r="K86" s="50"/>
      <c r="L86" s="50"/>
      <c r="M86" s="50" t="s">
        <v>585</v>
      </c>
      <c r="N86" s="50"/>
      <c r="O86" s="53" t="s">
        <v>70</v>
      </c>
      <c r="P86" s="55" t="s">
        <v>586</v>
      </c>
      <c r="Q86" s="50">
        <v>25170.0</v>
      </c>
      <c r="R86" s="50">
        <v>26597.0</v>
      </c>
      <c r="S86" s="50" t="s">
        <v>587</v>
      </c>
      <c r="T86" s="56" t="s">
        <v>588</v>
      </c>
      <c r="U86" s="53" t="s">
        <v>322</v>
      </c>
    </row>
    <row r="87">
      <c r="A87" s="54" t="s">
        <v>589</v>
      </c>
      <c r="B87" s="50" t="s">
        <v>545</v>
      </c>
      <c r="C87" s="51" t="s">
        <v>363</v>
      </c>
      <c r="D87" s="51" t="s">
        <v>56</v>
      </c>
      <c r="E87" s="51" t="s">
        <v>57</v>
      </c>
      <c r="F87" s="51"/>
      <c r="G87" s="50" t="s">
        <v>590</v>
      </c>
      <c r="H87" s="52">
        <v>44683.46344907407</v>
      </c>
      <c r="I87" s="50"/>
      <c r="J87" s="50"/>
      <c r="K87" s="50"/>
      <c r="L87" s="50"/>
      <c r="M87" s="50" t="s">
        <v>547</v>
      </c>
      <c r="N87" s="50"/>
      <c r="O87" s="53" t="s">
        <v>92</v>
      </c>
      <c r="P87" s="55" t="s">
        <v>548</v>
      </c>
      <c r="Q87" s="50">
        <v>3193.0</v>
      </c>
      <c r="R87" s="50">
        <v>1918.0</v>
      </c>
      <c r="S87" s="50" t="s">
        <v>549</v>
      </c>
      <c r="T87" s="56" t="s">
        <v>591</v>
      </c>
      <c r="U87" s="53" t="s">
        <v>332</v>
      </c>
    </row>
    <row r="88">
      <c r="A88" s="54" t="s">
        <v>592</v>
      </c>
      <c r="B88" s="50" t="s">
        <v>583</v>
      </c>
      <c r="C88" s="51" t="s">
        <v>329</v>
      </c>
      <c r="D88" s="51" t="s">
        <v>118</v>
      </c>
      <c r="E88" s="51" t="s">
        <v>67</v>
      </c>
      <c r="F88" s="51"/>
      <c r="G88" s="50" t="s">
        <v>593</v>
      </c>
      <c r="H88" s="52">
        <v>44683.4634375</v>
      </c>
      <c r="I88" s="50"/>
      <c r="J88" s="50"/>
      <c r="K88" s="50"/>
      <c r="L88" s="50"/>
      <c r="M88" s="50" t="s">
        <v>585</v>
      </c>
      <c r="N88" s="50"/>
      <c r="O88" s="53" t="s">
        <v>70</v>
      </c>
      <c r="P88" s="55" t="s">
        <v>586</v>
      </c>
      <c r="Q88" s="50">
        <v>25170.0</v>
      </c>
      <c r="R88" s="50">
        <v>26597.0</v>
      </c>
      <c r="S88" s="50" t="s">
        <v>587</v>
      </c>
      <c r="T88" s="56" t="s">
        <v>594</v>
      </c>
      <c r="U88" s="53" t="s">
        <v>332</v>
      </c>
    </row>
    <row r="89">
      <c r="A89" s="54" t="s">
        <v>595</v>
      </c>
      <c r="B89" s="50" t="s">
        <v>583</v>
      </c>
      <c r="C89" s="51" t="s">
        <v>335</v>
      </c>
      <c r="D89" s="51" t="s">
        <v>56</v>
      </c>
      <c r="E89" s="51" t="s">
        <v>57</v>
      </c>
      <c r="F89" s="51"/>
      <c r="G89" s="50" t="s">
        <v>596</v>
      </c>
      <c r="H89" s="52">
        <v>44683.463379629626</v>
      </c>
      <c r="I89" s="50"/>
      <c r="J89" s="50"/>
      <c r="K89" s="50"/>
      <c r="L89" s="50"/>
      <c r="M89" s="50" t="s">
        <v>585</v>
      </c>
      <c r="N89" s="50"/>
      <c r="O89" s="53" t="s">
        <v>70</v>
      </c>
      <c r="P89" s="55" t="s">
        <v>586</v>
      </c>
      <c r="Q89" s="50">
        <v>25170.0</v>
      </c>
      <c r="R89" s="50">
        <v>26597.0</v>
      </c>
      <c r="S89" s="50" t="s">
        <v>587</v>
      </c>
      <c r="T89" s="56" t="s">
        <v>597</v>
      </c>
      <c r="U89" s="53" t="s">
        <v>339</v>
      </c>
    </row>
    <row r="90">
      <c r="A90" s="54" t="s">
        <v>598</v>
      </c>
      <c r="B90" s="50" t="s">
        <v>583</v>
      </c>
      <c r="C90" s="51" t="s">
        <v>363</v>
      </c>
      <c r="D90" s="51" t="s">
        <v>300</v>
      </c>
      <c r="E90" s="51" t="s">
        <v>67</v>
      </c>
      <c r="F90" s="51"/>
      <c r="G90" s="50" t="s">
        <v>599</v>
      </c>
      <c r="H90" s="52">
        <v>44683.46332175926</v>
      </c>
      <c r="I90" s="50"/>
      <c r="J90" s="50"/>
      <c r="K90" s="50"/>
      <c r="L90" s="50"/>
      <c r="M90" s="50" t="s">
        <v>585</v>
      </c>
      <c r="N90" s="50"/>
      <c r="O90" s="53" t="s">
        <v>70</v>
      </c>
      <c r="P90" s="55" t="s">
        <v>586</v>
      </c>
      <c r="Q90" s="50">
        <v>25170.0</v>
      </c>
      <c r="R90" s="50">
        <v>26597.0</v>
      </c>
      <c r="S90" s="50" t="s">
        <v>587</v>
      </c>
      <c r="T90" s="56" t="s">
        <v>600</v>
      </c>
      <c r="U90" s="53" t="s">
        <v>332</v>
      </c>
    </row>
    <row r="91">
      <c r="A91" s="54" t="s">
        <v>601</v>
      </c>
      <c r="B91" s="50" t="s">
        <v>602</v>
      </c>
      <c r="C91" s="51" t="s">
        <v>565</v>
      </c>
      <c r="D91" s="51" t="s">
        <v>118</v>
      </c>
      <c r="E91" s="51" t="s">
        <v>67</v>
      </c>
      <c r="F91" s="51"/>
      <c r="G91" s="50" t="s">
        <v>603</v>
      </c>
      <c r="H91" s="52">
        <v>44683.46331018519</v>
      </c>
      <c r="I91" s="50"/>
      <c r="J91" s="50"/>
      <c r="K91" s="50"/>
      <c r="L91" s="50"/>
      <c r="M91" s="50" t="s">
        <v>604</v>
      </c>
      <c r="N91" s="50"/>
      <c r="O91" s="53" t="s">
        <v>92</v>
      </c>
      <c r="P91" s="55" t="s">
        <v>605</v>
      </c>
      <c r="Q91" s="50">
        <v>1974.0</v>
      </c>
      <c r="R91" s="50">
        <v>2060.0</v>
      </c>
      <c r="S91" s="50"/>
      <c r="T91" s="56" t="s">
        <v>606</v>
      </c>
      <c r="U91" s="53" t="s">
        <v>571</v>
      </c>
    </row>
    <row r="92">
      <c r="A92" s="54" t="s">
        <v>607</v>
      </c>
      <c r="B92" s="50" t="s">
        <v>545</v>
      </c>
      <c r="C92" s="51" t="s">
        <v>367</v>
      </c>
      <c r="D92" s="51" t="s">
        <v>300</v>
      </c>
      <c r="E92" s="51" t="s">
        <v>67</v>
      </c>
      <c r="F92" s="51"/>
      <c r="G92" s="50" t="s">
        <v>608</v>
      </c>
      <c r="H92" s="52">
        <v>44683.46329861111</v>
      </c>
      <c r="I92" s="50"/>
      <c r="J92" s="50"/>
      <c r="K92" s="50"/>
      <c r="L92" s="50"/>
      <c r="M92" s="50" t="s">
        <v>547</v>
      </c>
      <c r="N92" s="50"/>
      <c r="O92" s="53" t="s">
        <v>92</v>
      </c>
      <c r="P92" s="55" t="s">
        <v>548</v>
      </c>
      <c r="Q92" s="50">
        <v>3193.0</v>
      </c>
      <c r="R92" s="50">
        <v>1918.0</v>
      </c>
      <c r="S92" s="50" t="s">
        <v>549</v>
      </c>
      <c r="T92" s="56" t="s">
        <v>609</v>
      </c>
      <c r="U92" s="53" t="s">
        <v>370</v>
      </c>
    </row>
    <row r="93">
      <c r="A93" s="54" t="s">
        <v>610</v>
      </c>
      <c r="B93" s="50" t="s">
        <v>611</v>
      </c>
      <c r="C93" s="51" t="s">
        <v>367</v>
      </c>
      <c r="D93" s="51" t="s">
        <v>56</v>
      </c>
      <c r="E93" s="51" t="s">
        <v>67</v>
      </c>
      <c r="F93" s="51"/>
      <c r="G93" s="50" t="s">
        <v>612</v>
      </c>
      <c r="H93" s="52">
        <v>44683.46328703704</v>
      </c>
      <c r="I93" s="50"/>
      <c r="J93" s="50"/>
      <c r="K93" s="50"/>
      <c r="L93" s="50"/>
      <c r="M93" s="50" t="s">
        <v>613</v>
      </c>
      <c r="N93" s="50"/>
      <c r="O93" s="53" t="s">
        <v>60</v>
      </c>
      <c r="P93" s="55" t="s">
        <v>614</v>
      </c>
      <c r="Q93" s="50">
        <v>3916.0</v>
      </c>
      <c r="R93" s="50">
        <v>4979.0</v>
      </c>
      <c r="S93" s="50" t="s">
        <v>615</v>
      </c>
      <c r="T93" s="56" t="s">
        <v>616</v>
      </c>
      <c r="U93" s="53" t="s">
        <v>370</v>
      </c>
    </row>
    <row r="94">
      <c r="A94" s="54" t="s">
        <v>617</v>
      </c>
      <c r="B94" s="50" t="s">
        <v>618</v>
      </c>
      <c r="C94" s="51" t="s">
        <v>367</v>
      </c>
      <c r="D94" s="51" t="s">
        <v>118</v>
      </c>
      <c r="E94" s="51" t="s">
        <v>57</v>
      </c>
      <c r="F94" s="51"/>
      <c r="G94" s="50" t="s">
        <v>619</v>
      </c>
      <c r="H94" s="52">
        <v>44683.46306712963</v>
      </c>
      <c r="I94" s="50"/>
      <c r="J94" s="50"/>
      <c r="K94" s="50"/>
      <c r="L94" s="50"/>
      <c r="M94" s="50" t="s">
        <v>620</v>
      </c>
      <c r="N94" s="50"/>
      <c r="O94" s="53" t="s">
        <v>92</v>
      </c>
      <c r="P94" s="55" t="s">
        <v>621</v>
      </c>
      <c r="Q94" s="50">
        <v>12766.0</v>
      </c>
      <c r="R94" s="50">
        <v>14047.0</v>
      </c>
      <c r="S94" s="50" t="s">
        <v>622</v>
      </c>
      <c r="T94" s="56" t="s">
        <v>623</v>
      </c>
      <c r="U94" s="53" t="s">
        <v>370</v>
      </c>
    </row>
    <row r="95">
      <c r="A95" s="54" t="s">
        <v>624</v>
      </c>
      <c r="B95" s="50" t="s">
        <v>625</v>
      </c>
      <c r="C95" s="51" t="s">
        <v>626</v>
      </c>
      <c r="D95" s="51" t="s">
        <v>118</v>
      </c>
      <c r="E95" s="51" t="s">
        <v>67</v>
      </c>
      <c r="F95" s="51"/>
      <c r="G95" s="50" t="s">
        <v>627</v>
      </c>
      <c r="H95" s="52">
        <v>44683.46303240741</v>
      </c>
      <c r="I95" s="50"/>
      <c r="J95" s="50"/>
      <c r="K95" s="50" t="s">
        <v>628</v>
      </c>
      <c r="L95" s="50" t="s">
        <v>629</v>
      </c>
      <c r="M95" s="50" t="s">
        <v>630</v>
      </c>
      <c r="N95" s="50" t="s">
        <v>631</v>
      </c>
      <c r="O95" s="53" t="s">
        <v>60</v>
      </c>
      <c r="P95" s="55" t="s">
        <v>632</v>
      </c>
      <c r="Q95" s="50">
        <v>5102.0</v>
      </c>
      <c r="R95" s="50">
        <v>4680.0</v>
      </c>
      <c r="S95" s="50"/>
      <c r="T95" s="56" t="s">
        <v>633</v>
      </c>
      <c r="U95" s="53" t="s">
        <v>634</v>
      </c>
    </row>
    <row r="96">
      <c r="A96" s="54" t="s">
        <v>635</v>
      </c>
      <c r="B96" s="50" t="s">
        <v>636</v>
      </c>
      <c r="C96" s="51" t="s">
        <v>637</v>
      </c>
      <c r="D96" s="51" t="s">
        <v>56</v>
      </c>
      <c r="E96" s="51" t="s">
        <v>57</v>
      </c>
      <c r="F96" s="51"/>
      <c r="G96" s="50" t="s">
        <v>627</v>
      </c>
      <c r="H96" s="52">
        <v>44683.46303240741</v>
      </c>
      <c r="I96" s="50"/>
      <c r="J96" s="50"/>
      <c r="K96" s="50"/>
      <c r="L96" s="50"/>
      <c r="M96" s="50" t="s">
        <v>638</v>
      </c>
      <c r="N96" s="50"/>
      <c r="O96" s="53" t="s">
        <v>92</v>
      </c>
      <c r="P96" s="55" t="s">
        <v>639</v>
      </c>
      <c r="Q96" s="50">
        <v>24.0</v>
      </c>
      <c r="R96" s="50">
        <v>105.0</v>
      </c>
      <c r="S96" s="50" t="s">
        <v>640</v>
      </c>
      <c r="T96" s="56" t="s">
        <v>641</v>
      </c>
      <c r="U96" s="53" t="s">
        <v>642</v>
      </c>
    </row>
    <row r="97">
      <c r="A97" s="54" t="s">
        <v>643</v>
      </c>
      <c r="B97" s="50" t="s">
        <v>583</v>
      </c>
      <c r="C97" s="51" t="s">
        <v>367</v>
      </c>
      <c r="D97" s="51" t="s">
        <v>118</v>
      </c>
      <c r="E97" s="51" t="s">
        <v>57</v>
      </c>
      <c r="F97" s="51"/>
      <c r="G97" s="50" t="s">
        <v>644</v>
      </c>
      <c r="H97" s="52">
        <v>44683.4628125</v>
      </c>
      <c r="I97" s="50"/>
      <c r="J97" s="50"/>
      <c r="K97" s="50"/>
      <c r="L97" s="50"/>
      <c r="M97" s="50" t="s">
        <v>585</v>
      </c>
      <c r="N97" s="50"/>
      <c r="O97" s="53" t="s">
        <v>70</v>
      </c>
      <c r="P97" s="55" t="s">
        <v>586</v>
      </c>
      <c r="Q97" s="50">
        <v>25170.0</v>
      </c>
      <c r="R97" s="50">
        <v>26597.0</v>
      </c>
      <c r="S97" s="50" t="s">
        <v>587</v>
      </c>
      <c r="T97" s="56" t="s">
        <v>645</v>
      </c>
      <c r="U97" s="53" t="s">
        <v>370</v>
      </c>
    </row>
    <row r="98">
      <c r="A98" s="54" t="s">
        <v>646</v>
      </c>
      <c r="B98" s="50" t="s">
        <v>647</v>
      </c>
      <c r="C98" s="51" t="s">
        <v>565</v>
      </c>
      <c r="D98" s="51" t="s">
        <v>118</v>
      </c>
      <c r="E98" s="51" t="s">
        <v>57</v>
      </c>
      <c r="F98" s="51"/>
      <c r="G98" s="50" t="s">
        <v>648</v>
      </c>
      <c r="H98" s="52">
        <v>44683.46241898148</v>
      </c>
      <c r="I98" s="50"/>
      <c r="J98" s="50"/>
      <c r="K98" s="50"/>
      <c r="L98" s="50"/>
      <c r="M98" s="50" t="s">
        <v>649</v>
      </c>
      <c r="N98" s="50"/>
      <c r="O98" s="53" t="s">
        <v>60</v>
      </c>
      <c r="P98" s="55" t="s">
        <v>650</v>
      </c>
      <c r="Q98" s="50">
        <v>5368.0</v>
      </c>
      <c r="R98" s="50">
        <v>5337.0</v>
      </c>
      <c r="S98" s="50" t="s">
        <v>651</v>
      </c>
      <c r="T98" s="56" t="s">
        <v>652</v>
      </c>
      <c r="U98" s="53" t="s">
        <v>571</v>
      </c>
    </row>
    <row r="99">
      <c r="A99" s="54" t="s">
        <v>653</v>
      </c>
      <c r="B99" s="50" t="s">
        <v>654</v>
      </c>
      <c r="C99" s="51" t="s">
        <v>329</v>
      </c>
      <c r="D99" s="51" t="s">
        <v>56</v>
      </c>
      <c r="E99" s="51" t="s">
        <v>67</v>
      </c>
      <c r="F99" s="51"/>
      <c r="G99" s="50" t="s">
        <v>655</v>
      </c>
      <c r="H99" s="52">
        <v>44683.46230324074</v>
      </c>
      <c r="I99" s="50"/>
      <c r="J99" s="50"/>
      <c r="K99" s="50"/>
      <c r="L99" s="50"/>
      <c r="M99" s="50" t="s">
        <v>656</v>
      </c>
      <c r="N99" s="50"/>
      <c r="O99" s="53" t="s">
        <v>70</v>
      </c>
      <c r="P99" s="55" t="s">
        <v>657</v>
      </c>
      <c r="Q99" s="50">
        <v>3091.0</v>
      </c>
      <c r="R99" s="50">
        <v>3134.0</v>
      </c>
      <c r="S99" s="50" t="s">
        <v>658</v>
      </c>
      <c r="T99" s="56" t="s">
        <v>659</v>
      </c>
      <c r="U99" s="53" t="s">
        <v>332</v>
      </c>
    </row>
    <row r="100">
      <c r="A100" s="54" t="s">
        <v>660</v>
      </c>
      <c r="B100" s="50" t="s">
        <v>661</v>
      </c>
      <c r="C100" s="51" t="s">
        <v>662</v>
      </c>
      <c r="D100" s="51" t="s">
        <v>300</v>
      </c>
      <c r="E100" s="51" t="s">
        <v>67</v>
      </c>
      <c r="F100" s="51"/>
      <c r="G100" s="50" t="s">
        <v>663</v>
      </c>
      <c r="H100" s="52">
        <v>44683.46216435185</v>
      </c>
      <c r="I100" s="50"/>
      <c r="J100" s="50"/>
      <c r="K100" s="50" t="s">
        <v>664</v>
      </c>
      <c r="L100" s="50" t="s">
        <v>665</v>
      </c>
      <c r="M100" s="50" t="s">
        <v>666</v>
      </c>
      <c r="N100" s="50" t="s">
        <v>667</v>
      </c>
      <c r="O100" s="53" t="s">
        <v>92</v>
      </c>
      <c r="P100" s="55" t="s">
        <v>668</v>
      </c>
      <c r="Q100" s="50">
        <v>3718.0</v>
      </c>
      <c r="R100" s="50">
        <v>4994.0</v>
      </c>
      <c r="S100" s="50"/>
      <c r="T100" s="56" t="s">
        <v>669</v>
      </c>
      <c r="U100" s="53" t="s">
        <v>670</v>
      </c>
    </row>
    <row r="101">
      <c r="A101" s="54" t="s">
        <v>671</v>
      </c>
      <c r="B101" s="50" t="s">
        <v>672</v>
      </c>
      <c r="C101" s="51" t="s">
        <v>505</v>
      </c>
      <c r="D101" s="51" t="s">
        <v>118</v>
      </c>
      <c r="E101" s="51" t="s">
        <v>67</v>
      </c>
      <c r="F101" s="51"/>
      <c r="G101" s="50" t="s">
        <v>673</v>
      </c>
      <c r="H101" s="52">
        <v>44683.462106481486</v>
      </c>
      <c r="I101" s="50"/>
      <c r="J101" s="50"/>
      <c r="K101" s="50"/>
      <c r="L101" s="50"/>
      <c r="M101" s="50" t="s">
        <v>674</v>
      </c>
      <c r="N101" s="50"/>
      <c r="O101" s="53" t="s">
        <v>92</v>
      </c>
      <c r="P101" s="55" t="s">
        <v>675</v>
      </c>
      <c r="Q101" s="50">
        <v>10408.0</v>
      </c>
      <c r="R101" s="50">
        <v>10884.0</v>
      </c>
      <c r="S101" s="50" t="s">
        <v>676</v>
      </c>
      <c r="T101" s="56" t="s">
        <v>677</v>
      </c>
      <c r="U101" s="53" t="s">
        <v>511</v>
      </c>
    </row>
    <row r="102">
      <c r="A102" s="54" t="s">
        <v>678</v>
      </c>
      <c r="B102" s="50" t="s">
        <v>679</v>
      </c>
      <c r="C102" s="51" t="s">
        <v>316</v>
      </c>
      <c r="D102" s="51" t="s">
        <v>56</v>
      </c>
      <c r="E102" s="51" t="s">
        <v>67</v>
      </c>
      <c r="F102" s="51"/>
      <c r="G102" s="50" t="s">
        <v>680</v>
      </c>
      <c r="H102" s="52">
        <v>44683.46209490741</v>
      </c>
      <c r="I102" s="50"/>
      <c r="J102" s="50"/>
      <c r="K102" s="50"/>
      <c r="L102" s="50"/>
      <c r="M102" s="50" t="s">
        <v>681</v>
      </c>
      <c r="N102" s="50"/>
      <c r="O102" s="53" t="s">
        <v>60</v>
      </c>
      <c r="P102" s="55" t="s">
        <v>682</v>
      </c>
      <c r="Q102" s="50">
        <v>433.0</v>
      </c>
      <c r="R102" s="50">
        <v>1375.0</v>
      </c>
      <c r="S102" s="50" t="s">
        <v>683</v>
      </c>
      <c r="T102" s="56" t="s">
        <v>684</v>
      </c>
      <c r="U102" s="53" t="s">
        <v>322</v>
      </c>
    </row>
    <row r="103">
      <c r="A103" s="54" t="s">
        <v>685</v>
      </c>
      <c r="B103" s="50" t="s">
        <v>686</v>
      </c>
      <c r="C103" s="51" t="s">
        <v>687</v>
      </c>
      <c r="D103" s="51" t="s">
        <v>118</v>
      </c>
      <c r="E103" s="51" t="s">
        <v>57</v>
      </c>
      <c r="F103" s="51"/>
      <c r="G103" s="50" t="s">
        <v>680</v>
      </c>
      <c r="H103" s="52">
        <v>44683.46209490741</v>
      </c>
      <c r="I103" s="50"/>
      <c r="J103" s="50"/>
      <c r="K103" s="50"/>
      <c r="L103" s="50"/>
      <c r="M103" s="50" t="s">
        <v>688</v>
      </c>
      <c r="N103" s="50"/>
      <c r="O103" s="53" t="s">
        <v>217</v>
      </c>
      <c r="P103" s="55" t="s">
        <v>689</v>
      </c>
      <c r="Q103" s="50">
        <v>949.0</v>
      </c>
      <c r="R103" s="50">
        <v>1959.0</v>
      </c>
      <c r="S103" s="50"/>
      <c r="T103" s="56" t="s">
        <v>690</v>
      </c>
      <c r="U103" s="53" t="s">
        <v>691</v>
      </c>
    </row>
    <row r="104">
      <c r="A104" s="54" t="s">
        <v>692</v>
      </c>
      <c r="B104" s="50" t="s">
        <v>679</v>
      </c>
      <c r="C104" s="51" t="s">
        <v>329</v>
      </c>
      <c r="D104" s="51" t="s">
        <v>118</v>
      </c>
      <c r="E104" s="51" t="s">
        <v>67</v>
      </c>
      <c r="F104" s="51"/>
      <c r="G104" s="50" t="s">
        <v>693</v>
      </c>
      <c r="H104" s="52">
        <v>44683.461956018524</v>
      </c>
      <c r="I104" s="50"/>
      <c r="J104" s="50"/>
      <c r="K104" s="50"/>
      <c r="L104" s="50"/>
      <c r="M104" s="50" t="s">
        <v>681</v>
      </c>
      <c r="N104" s="50"/>
      <c r="O104" s="53" t="s">
        <v>60</v>
      </c>
      <c r="P104" s="55" t="s">
        <v>682</v>
      </c>
      <c r="Q104" s="50">
        <v>433.0</v>
      </c>
      <c r="R104" s="50">
        <v>1375.0</v>
      </c>
      <c r="S104" s="50" t="s">
        <v>683</v>
      </c>
      <c r="T104" s="56" t="s">
        <v>694</v>
      </c>
      <c r="U104" s="53" t="s">
        <v>332</v>
      </c>
    </row>
    <row r="105">
      <c r="A105" s="54" t="s">
        <v>695</v>
      </c>
      <c r="B105" s="50" t="s">
        <v>696</v>
      </c>
      <c r="C105" s="51" t="s">
        <v>367</v>
      </c>
      <c r="D105" s="51" t="s">
        <v>300</v>
      </c>
      <c r="E105" s="51" t="s">
        <v>67</v>
      </c>
      <c r="F105" s="51"/>
      <c r="G105" s="50" t="s">
        <v>697</v>
      </c>
      <c r="H105" s="52">
        <v>44683.461747685185</v>
      </c>
      <c r="I105" s="50"/>
      <c r="J105" s="50"/>
      <c r="K105" s="50"/>
      <c r="L105" s="50"/>
      <c r="M105" s="50" t="s">
        <v>698</v>
      </c>
      <c r="N105" s="50"/>
      <c r="O105" s="53" t="s">
        <v>60</v>
      </c>
      <c r="P105" s="55" t="s">
        <v>699</v>
      </c>
      <c r="Q105" s="50">
        <v>152.0</v>
      </c>
      <c r="R105" s="50">
        <v>441.0</v>
      </c>
      <c r="S105" s="50"/>
      <c r="T105" s="56" t="s">
        <v>700</v>
      </c>
      <c r="U105" s="53" t="s">
        <v>370</v>
      </c>
    </row>
    <row r="106">
      <c r="A106" s="54" t="s">
        <v>701</v>
      </c>
      <c r="B106" s="50" t="s">
        <v>679</v>
      </c>
      <c r="C106" s="51" t="s">
        <v>335</v>
      </c>
      <c r="D106" s="51" t="s">
        <v>56</v>
      </c>
      <c r="E106" s="51" t="s">
        <v>57</v>
      </c>
      <c r="F106" s="51"/>
      <c r="G106" s="50" t="s">
        <v>697</v>
      </c>
      <c r="H106" s="52">
        <v>44683.461747685185</v>
      </c>
      <c r="I106" s="50"/>
      <c r="J106" s="50"/>
      <c r="K106" s="50"/>
      <c r="L106" s="50"/>
      <c r="M106" s="50" t="s">
        <v>681</v>
      </c>
      <c r="N106" s="50"/>
      <c r="O106" s="53" t="s">
        <v>60</v>
      </c>
      <c r="P106" s="55" t="s">
        <v>682</v>
      </c>
      <c r="Q106" s="50">
        <v>433.0</v>
      </c>
      <c r="R106" s="50">
        <v>1375.0</v>
      </c>
      <c r="S106" s="50" t="s">
        <v>683</v>
      </c>
      <c r="T106" s="56" t="s">
        <v>702</v>
      </c>
      <c r="U106" s="53" t="s">
        <v>339</v>
      </c>
    </row>
    <row r="107">
      <c r="A107" s="54" t="s">
        <v>703</v>
      </c>
      <c r="B107" s="50" t="s">
        <v>704</v>
      </c>
      <c r="C107" s="51" t="s">
        <v>367</v>
      </c>
      <c r="D107" s="51" t="s">
        <v>300</v>
      </c>
      <c r="E107" s="51" t="s">
        <v>67</v>
      </c>
      <c r="F107" s="51"/>
      <c r="G107" s="50" t="s">
        <v>705</v>
      </c>
      <c r="H107" s="52">
        <v>44683.46160879629</v>
      </c>
      <c r="I107" s="50"/>
      <c r="J107" s="50"/>
      <c r="K107" s="50"/>
      <c r="L107" s="50"/>
      <c r="M107" s="50" t="s">
        <v>706</v>
      </c>
      <c r="N107" s="50"/>
      <c r="O107" s="53" t="s">
        <v>92</v>
      </c>
      <c r="P107" s="55" t="s">
        <v>354</v>
      </c>
      <c r="Q107" s="50">
        <v>142.0</v>
      </c>
      <c r="R107" s="50">
        <v>506.0</v>
      </c>
      <c r="S107" s="50" t="s">
        <v>707</v>
      </c>
      <c r="T107" s="56" t="s">
        <v>708</v>
      </c>
      <c r="U107" s="53" t="s">
        <v>370</v>
      </c>
    </row>
    <row r="108">
      <c r="A108" s="54" t="s">
        <v>709</v>
      </c>
      <c r="B108" s="50" t="s">
        <v>178</v>
      </c>
      <c r="C108" s="51" t="s">
        <v>367</v>
      </c>
      <c r="D108" s="51" t="s">
        <v>118</v>
      </c>
      <c r="E108" s="51" t="s">
        <v>57</v>
      </c>
      <c r="F108" s="51"/>
      <c r="G108" s="50" t="s">
        <v>710</v>
      </c>
      <c r="H108" s="52">
        <v>44683.4615625</v>
      </c>
      <c r="I108" s="50"/>
      <c r="J108" s="50"/>
      <c r="K108" s="50"/>
      <c r="L108" s="50"/>
      <c r="M108" s="50" t="s">
        <v>183</v>
      </c>
      <c r="N108" s="50"/>
      <c r="O108" s="53" t="s">
        <v>70</v>
      </c>
      <c r="P108" s="55" t="s">
        <v>185</v>
      </c>
      <c r="Q108" s="50">
        <v>3017.0</v>
      </c>
      <c r="R108" s="50">
        <v>3236.0</v>
      </c>
      <c r="S108" s="50" t="s">
        <v>186</v>
      </c>
      <c r="T108" s="56" t="s">
        <v>711</v>
      </c>
      <c r="U108" s="53" t="s">
        <v>370</v>
      </c>
    </row>
    <row r="109">
      <c r="A109" s="54" t="s">
        <v>712</v>
      </c>
      <c r="B109" s="50" t="s">
        <v>679</v>
      </c>
      <c r="C109" s="51" t="s">
        <v>363</v>
      </c>
      <c r="D109" s="51" t="s">
        <v>56</v>
      </c>
      <c r="E109" s="51" t="s">
        <v>67</v>
      </c>
      <c r="F109" s="51"/>
      <c r="G109" s="50" t="s">
        <v>713</v>
      </c>
      <c r="H109" s="52">
        <v>44683.46152777778</v>
      </c>
      <c r="I109" s="50"/>
      <c r="J109" s="50"/>
      <c r="K109" s="50"/>
      <c r="L109" s="50"/>
      <c r="M109" s="50" t="s">
        <v>681</v>
      </c>
      <c r="N109" s="50"/>
      <c r="O109" s="53" t="s">
        <v>60</v>
      </c>
      <c r="P109" s="55" t="s">
        <v>682</v>
      </c>
      <c r="Q109" s="50">
        <v>433.0</v>
      </c>
      <c r="R109" s="50">
        <v>1375.0</v>
      </c>
      <c r="S109" s="50" t="s">
        <v>683</v>
      </c>
      <c r="T109" s="56" t="s">
        <v>714</v>
      </c>
      <c r="U109" s="53" t="s">
        <v>332</v>
      </c>
    </row>
    <row r="110">
      <c r="A110" s="54" t="s">
        <v>715</v>
      </c>
      <c r="B110" s="50" t="s">
        <v>716</v>
      </c>
      <c r="C110" s="51" t="s">
        <v>717</v>
      </c>
      <c r="D110" s="51" t="s">
        <v>118</v>
      </c>
      <c r="E110" s="51" t="s">
        <v>57</v>
      </c>
      <c r="F110" s="51"/>
      <c r="G110" s="50" t="s">
        <v>718</v>
      </c>
      <c r="H110" s="52">
        <v>44683.46142361111</v>
      </c>
      <c r="I110" s="50"/>
      <c r="J110" s="50"/>
      <c r="K110" s="50"/>
      <c r="L110" s="50"/>
      <c r="M110" s="50" t="s">
        <v>719</v>
      </c>
      <c r="N110" s="50"/>
      <c r="O110" s="53" t="s">
        <v>60</v>
      </c>
      <c r="P110" s="55" t="s">
        <v>720</v>
      </c>
      <c r="Q110" s="50">
        <v>2522.0</v>
      </c>
      <c r="R110" s="50">
        <v>3510.0</v>
      </c>
      <c r="S110" s="50" t="s">
        <v>721</v>
      </c>
      <c r="T110" s="56" t="s">
        <v>722</v>
      </c>
      <c r="U110" s="53" t="s">
        <v>723</v>
      </c>
    </row>
    <row r="111">
      <c r="A111" s="54" t="s">
        <v>724</v>
      </c>
      <c r="B111" s="50" t="s">
        <v>725</v>
      </c>
      <c r="C111" s="51" t="s">
        <v>726</v>
      </c>
      <c r="D111" s="51" t="s">
        <v>300</v>
      </c>
      <c r="E111" s="51" t="s">
        <v>57</v>
      </c>
      <c r="F111" s="51"/>
      <c r="G111" s="50" t="s">
        <v>727</v>
      </c>
      <c r="H111" s="52">
        <v>44683.46140046296</v>
      </c>
      <c r="I111" s="50"/>
      <c r="J111" s="50"/>
      <c r="K111" s="50"/>
      <c r="L111" s="50"/>
      <c r="M111" s="50" t="s">
        <v>728</v>
      </c>
      <c r="N111" s="50"/>
      <c r="O111" s="53" t="s">
        <v>217</v>
      </c>
      <c r="P111" s="55" t="s">
        <v>354</v>
      </c>
      <c r="Q111" s="50">
        <v>19.0</v>
      </c>
      <c r="R111" s="50">
        <v>134.0</v>
      </c>
      <c r="S111" s="50" t="s">
        <v>729</v>
      </c>
      <c r="T111" s="56" t="s">
        <v>730</v>
      </c>
      <c r="U111" s="53" t="s">
        <v>731</v>
      </c>
    </row>
    <row r="112">
      <c r="A112" s="54" t="s">
        <v>732</v>
      </c>
      <c r="B112" s="50" t="s">
        <v>733</v>
      </c>
      <c r="C112" s="51" t="s">
        <v>734</v>
      </c>
      <c r="D112" s="51" t="s">
        <v>300</v>
      </c>
      <c r="E112" s="51" t="s">
        <v>67</v>
      </c>
      <c r="F112" s="51"/>
      <c r="G112" s="50" t="s">
        <v>735</v>
      </c>
      <c r="H112" s="52">
        <v>44683.461388888885</v>
      </c>
      <c r="I112" s="50"/>
      <c r="J112" s="50"/>
      <c r="K112" s="50" t="s">
        <v>736</v>
      </c>
      <c r="L112" s="50" t="s">
        <v>737</v>
      </c>
      <c r="M112" s="50" t="s">
        <v>738</v>
      </c>
      <c r="N112" s="50" t="s">
        <v>739</v>
      </c>
      <c r="O112" s="53" t="s">
        <v>60</v>
      </c>
      <c r="P112" s="55" t="s">
        <v>740</v>
      </c>
      <c r="Q112" s="50">
        <v>1598.0</v>
      </c>
      <c r="R112" s="50">
        <v>1515.0</v>
      </c>
      <c r="S112" s="50" t="s">
        <v>129</v>
      </c>
      <c r="T112" s="56" t="s">
        <v>741</v>
      </c>
      <c r="U112" s="53" t="s">
        <v>742</v>
      </c>
    </row>
    <row r="113">
      <c r="A113" s="54" t="s">
        <v>743</v>
      </c>
      <c r="B113" s="50" t="s">
        <v>679</v>
      </c>
      <c r="C113" s="51" t="s">
        <v>367</v>
      </c>
      <c r="D113" s="51" t="s">
        <v>300</v>
      </c>
      <c r="E113" s="51" t="s">
        <v>57</v>
      </c>
      <c r="F113" s="51"/>
      <c r="G113" s="50" t="s">
        <v>744</v>
      </c>
      <c r="H113" s="52">
        <v>44683.46131944444</v>
      </c>
      <c r="I113" s="50"/>
      <c r="J113" s="50"/>
      <c r="K113" s="50"/>
      <c r="L113" s="50"/>
      <c r="M113" s="50" t="s">
        <v>681</v>
      </c>
      <c r="N113" s="50"/>
      <c r="O113" s="53" t="s">
        <v>60</v>
      </c>
      <c r="P113" s="55" t="s">
        <v>682</v>
      </c>
      <c r="Q113" s="50">
        <v>433.0</v>
      </c>
      <c r="R113" s="50">
        <v>1375.0</v>
      </c>
      <c r="S113" s="50" t="s">
        <v>683</v>
      </c>
      <c r="T113" s="56" t="s">
        <v>745</v>
      </c>
      <c r="U113" s="53" t="s">
        <v>370</v>
      </c>
    </row>
    <row r="114">
      <c r="A114" s="54" t="s">
        <v>746</v>
      </c>
      <c r="B114" s="50" t="s">
        <v>747</v>
      </c>
      <c r="C114" s="51" t="s">
        <v>367</v>
      </c>
      <c r="D114" s="51" t="s">
        <v>56</v>
      </c>
      <c r="E114" s="51" t="s">
        <v>57</v>
      </c>
      <c r="F114" s="51"/>
      <c r="G114" s="50" t="s">
        <v>748</v>
      </c>
      <c r="H114" s="52">
        <v>44683.46104166667</v>
      </c>
      <c r="I114" s="50"/>
      <c r="J114" s="50"/>
      <c r="K114" s="50"/>
      <c r="L114" s="50"/>
      <c r="M114" s="50" t="s">
        <v>749</v>
      </c>
      <c r="N114" s="50"/>
      <c r="O114" s="53" t="s">
        <v>60</v>
      </c>
      <c r="P114" s="55" t="s">
        <v>750</v>
      </c>
      <c r="Q114" s="50">
        <v>303.0</v>
      </c>
      <c r="R114" s="50">
        <v>340.0</v>
      </c>
      <c r="S114" s="50" t="s">
        <v>129</v>
      </c>
      <c r="T114" s="56" t="s">
        <v>751</v>
      </c>
      <c r="U114" s="53" t="s">
        <v>370</v>
      </c>
    </row>
    <row r="115">
      <c r="A115" s="54" t="s">
        <v>752</v>
      </c>
      <c r="B115" s="50" t="s">
        <v>753</v>
      </c>
      <c r="C115" s="51" t="s">
        <v>754</v>
      </c>
      <c r="D115" s="51" t="s">
        <v>118</v>
      </c>
      <c r="E115" s="51" t="s">
        <v>67</v>
      </c>
      <c r="F115" s="51"/>
      <c r="G115" s="50" t="s">
        <v>755</v>
      </c>
      <c r="H115" s="52">
        <v>44683.461018518516</v>
      </c>
      <c r="I115" s="50"/>
      <c r="J115" s="50"/>
      <c r="K115" s="50"/>
      <c r="L115" s="50"/>
      <c r="M115" s="50" t="s">
        <v>756</v>
      </c>
      <c r="N115" s="50"/>
      <c r="O115" s="53" t="s">
        <v>92</v>
      </c>
      <c r="P115" s="55" t="s">
        <v>757</v>
      </c>
      <c r="Q115" s="50">
        <v>3126.0</v>
      </c>
      <c r="R115" s="50">
        <v>2853.0</v>
      </c>
      <c r="S115" s="50" t="s">
        <v>758</v>
      </c>
      <c r="T115" s="56" t="s">
        <v>759</v>
      </c>
      <c r="U115" s="53" t="s">
        <v>760</v>
      </c>
    </row>
    <row r="116">
      <c r="A116" s="54" t="s">
        <v>761</v>
      </c>
      <c r="B116" s="50" t="s">
        <v>762</v>
      </c>
      <c r="C116" s="51" t="s">
        <v>763</v>
      </c>
      <c r="D116" s="51" t="s">
        <v>118</v>
      </c>
      <c r="E116" s="51" t="s">
        <v>67</v>
      </c>
      <c r="F116" s="51"/>
      <c r="G116" s="50" t="s">
        <v>764</v>
      </c>
      <c r="H116" s="52">
        <v>44683.46079861111</v>
      </c>
      <c r="I116" s="50"/>
      <c r="J116" s="50"/>
      <c r="K116" s="50" t="s">
        <v>765</v>
      </c>
      <c r="L116" s="50" t="s">
        <v>766</v>
      </c>
      <c r="M116" s="50" t="s">
        <v>767</v>
      </c>
      <c r="N116" s="50" t="s">
        <v>768</v>
      </c>
      <c r="O116" s="53" t="s">
        <v>92</v>
      </c>
      <c r="P116" s="55" t="s">
        <v>769</v>
      </c>
      <c r="Q116" s="50">
        <v>355.0</v>
      </c>
      <c r="R116" s="50">
        <v>1948.0</v>
      </c>
      <c r="S116" s="50"/>
      <c r="T116" s="56" t="s">
        <v>770</v>
      </c>
      <c r="U116" s="53" t="s">
        <v>771</v>
      </c>
    </row>
    <row r="117">
      <c r="A117" s="54" t="s">
        <v>772</v>
      </c>
      <c r="B117" s="50" t="s">
        <v>773</v>
      </c>
      <c r="C117" s="51" t="s">
        <v>367</v>
      </c>
      <c r="D117" s="51" t="s">
        <v>300</v>
      </c>
      <c r="E117" s="51" t="s">
        <v>67</v>
      </c>
      <c r="F117" s="51"/>
      <c r="G117" s="50" t="s">
        <v>774</v>
      </c>
      <c r="H117" s="52">
        <v>44683.460625</v>
      </c>
      <c r="I117" s="50"/>
      <c r="J117" s="50"/>
      <c r="K117" s="50"/>
      <c r="L117" s="50"/>
      <c r="M117" s="50" t="s">
        <v>775</v>
      </c>
      <c r="N117" s="50"/>
      <c r="O117" s="53" t="s">
        <v>70</v>
      </c>
      <c r="P117" s="55" t="s">
        <v>776</v>
      </c>
      <c r="Q117" s="50">
        <v>1144.0</v>
      </c>
      <c r="R117" s="50">
        <v>3118.0</v>
      </c>
      <c r="S117" s="50" t="s">
        <v>777</v>
      </c>
      <c r="T117" s="56" t="s">
        <v>778</v>
      </c>
      <c r="U117" s="53" t="s">
        <v>370</v>
      </c>
    </row>
    <row r="118">
      <c r="A118" s="54" t="s">
        <v>779</v>
      </c>
      <c r="B118" s="50" t="s">
        <v>780</v>
      </c>
      <c r="C118" s="51" t="s">
        <v>781</v>
      </c>
      <c r="D118" s="51" t="s">
        <v>56</v>
      </c>
      <c r="E118" s="51" t="s">
        <v>67</v>
      </c>
      <c r="F118" s="51"/>
      <c r="G118" s="50" t="s">
        <v>774</v>
      </c>
      <c r="H118" s="52">
        <v>44683.460625</v>
      </c>
      <c r="I118" s="50"/>
      <c r="J118" s="50"/>
      <c r="K118" s="50"/>
      <c r="L118" s="50"/>
      <c r="M118" s="50" t="s">
        <v>782</v>
      </c>
      <c r="N118" s="50"/>
      <c r="O118" s="53" t="s">
        <v>783</v>
      </c>
      <c r="P118" s="55" t="s">
        <v>784</v>
      </c>
      <c r="Q118" s="50">
        <v>72860.0</v>
      </c>
      <c r="R118" s="50">
        <v>1986.0</v>
      </c>
      <c r="S118" s="50"/>
      <c r="T118" s="56" t="s">
        <v>785</v>
      </c>
      <c r="U118" s="53" t="s">
        <v>786</v>
      </c>
    </row>
    <row r="119">
      <c r="A119" s="54" t="s">
        <v>787</v>
      </c>
      <c r="B119" s="50" t="s">
        <v>788</v>
      </c>
      <c r="C119" s="51" t="s">
        <v>367</v>
      </c>
      <c r="D119" s="51" t="s">
        <v>300</v>
      </c>
      <c r="E119" s="51" t="s">
        <v>67</v>
      </c>
      <c r="F119" s="51"/>
      <c r="G119" s="50" t="s">
        <v>789</v>
      </c>
      <c r="H119" s="52">
        <v>44683.460393518515</v>
      </c>
      <c r="I119" s="50"/>
      <c r="J119" s="50"/>
      <c r="K119" s="50"/>
      <c r="L119" s="50"/>
      <c r="M119" s="50" t="s">
        <v>790</v>
      </c>
      <c r="N119" s="50"/>
      <c r="O119" s="53" t="s">
        <v>92</v>
      </c>
      <c r="P119" s="55" t="s">
        <v>791</v>
      </c>
      <c r="Q119" s="50">
        <v>31.0</v>
      </c>
      <c r="R119" s="50">
        <v>112.0</v>
      </c>
      <c r="S119" s="50"/>
      <c r="T119" s="56" t="s">
        <v>792</v>
      </c>
      <c r="U119" s="53" t="s">
        <v>370</v>
      </c>
    </row>
    <row r="120">
      <c r="A120" s="54" t="s">
        <v>793</v>
      </c>
      <c r="B120" s="50" t="s">
        <v>794</v>
      </c>
      <c r="C120" s="51" t="s">
        <v>469</v>
      </c>
      <c r="D120" s="51" t="s">
        <v>118</v>
      </c>
      <c r="E120" s="51" t="s">
        <v>57</v>
      </c>
      <c r="F120" s="51"/>
      <c r="G120" s="50" t="s">
        <v>795</v>
      </c>
      <c r="H120" s="52">
        <v>44683.46035879629</v>
      </c>
      <c r="I120" s="50"/>
      <c r="J120" s="50"/>
      <c r="K120" s="50"/>
      <c r="L120" s="50"/>
      <c r="M120" s="50" t="s">
        <v>796</v>
      </c>
      <c r="N120" s="50"/>
      <c r="O120" s="53" t="s">
        <v>70</v>
      </c>
      <c r="P120" s="55" t="s">
        <v>797</v>
      </c>
      <c r="Q120" s="50">
        <v>2476.0</v>
      </c>
      <c r="R120" s="50">
        <v>2840.0</v>
      </c>
      <c r="S120" s="50" t="s">
        <v>798</v>
      </c>
      <c r="T120" s="56" t="s">
        <v>799</v>
      </c>
      <c r="U120" s="53" t="s">
        <v>475</v>
      </c>
    </row>
    <row r="121">
      <c r="A121" s="54" t="s">
        <v>800</v>
      </c>
      <c r="B121" s="50" t="s">
        <v>801</v>
      </c>
      <c r="C121" s="51" t="s">
        <v>367</v>
      </c>
      <c r="D121" s="51" t="s">
        <v>56</v>
      </c>
      <c r="E121" s="51" t="s">
        <v>57</v>
      </c>
      <c r="F121" s="51"/>
      <c r="G121" s="50" t="s">
        <v>802</v>
      </c>
      <c r="H121" s="52">
        <v>44683.46032407407</v>
      </c>
      <c r="I121" s="50"/>
      <c r="J121" s="50"/>
      <c r="K121" s="50"/>
      <c r="L121" s="50"/>
      <c r="M121" s="50" t="s">
        <v>803</v>
      </c>
      <c r="N121" s="50"/>
      <c r="O121" s="53" t="s">
        <v>92</v>
      </c>
      <c r="P121" s="55" t="s">
        <v>804</v>
      </c>
      <c r="Q121" s="50">
        <v>4340.0</v>
      </c>
      <c r="R121" s="50">
        <v>4983.0</v>
      </c>
      <c r="S121" s="50" t="s">
        <v>805</v>
      </c>
      <c r="T121" s="56" t="s">
        <v>806</v>
      </c>
      <c r="U121" s="53" t="s">
        <v>370</v>
      </c>
    </row>
    <row r="122">
      <c r="A122" s="54" t="s">
        <v>807</v>
      </c>
      <c r="B122" s="50" t="s">
        <v>808</v>
      </c>
      <c r="C122" s="51" t="s">
        <v>809</v>
      </c>
      <c r="D122" s="51" t="s">
        <v>56</v>
      </c>
      <c r="E122" s="51"/>
      <c r="F122" s="51"/>
      <c r="G122" s="50" t="s">
        <v>810</v>
      </c>
      <c r="H122" s="52">
        <v>44683.46028935185</v>
      </c>
      <c r="I122" s="50"/>
      <c r="J122" s="50"/>
      <c r="K122" s="50"/>
      <c r="L122" s="50"/>
      <c r="M122" s="50" t="s">
        <v>811</v>
      </c>
      <c r="N122" s="50"/>
      <c r="O122" s="53" t="s">
        <v>60</v>
      </c>
      <c r="P122" s="55" t="s">
        <v>812</v>
      </c>
      <c r="Q122" s="50">
        <v>4914.0</v>
      </c>
      <c r="R122" s="50">
        <v>5371.0</v>
      </c>
      <c r="S122" s="50" t="s">
        <v>813</v>
      </c>
      <c r="T122" s="56" t="s">
        <v>814</v>
      </c>
      <c r="U122" s="53" t="s">
        <v>815</v>
      </c>
    </row>
    <row r="123">
      <c r="A123" s="54" t="s">
        <v>816</v>
      </c>
      <c r="B123" s="50" t="s">
        <v>817</v>
      </c>
      <c r="C123" s="51" t="s">
        <v>367</v>
      </c>
      <c r="D123" s="51" t="s">
        <v>56</v>
      </c>
      <c r="E123" s="51" t="s">
        <v>57</v>
      </c>
      <c r="F123" s="51"/>
      <c r="G123" s="50" t="s">
        <v>818</v>
      </c>
      <c r="H123" s="52">
        <v>44683.46019675926</v>
      </c>
      <c r="I123" s="50"/>
      <c r="J123" s="50"/>
      <c r="K123" s="50"/>
      <c r="L123" s="50"/>
      <c r="M123" s="50" t="s">
        <v>819</v>
      </c>
      <c r="N123" s="50"/>
      <c r="O123" s="53" t="s">
        <v>60</v>
      </c>
      <c r="P123" s="55" t="s">
        <v>820</v>
      </c>
      <c r="Q123" s="50">
        <v>40.0</v>
      </c>
      <c r="R123" s="50">
        <v>91.0</v>
      </c>
      <c r="S123" s="50"/>
      <c r="T123" s="56" t="s">
        <v>821</v>
      </c>
      <c r="U123" s="53" t="s">
        <v>370</v>
      </c>
    </row>
    <row r="124">
      <c r="A124" s="54" t="s">
        <v>822</v>
      </c>
      <c r="B124" s="50" t="s">
        <v>823</v>
      </c>
      <c r="C124" s="51" t="s">
        <v>367</v>
      </c>
      <c r="D124" s="51" t="s">
        <v>56</v>
      </c>
      <c r="E124" s="51" t="s">
        <v>57</v>
      </c>
      <c r="F124" s="51"/>
      <c r="G124" s="50" t="s">
        <v>824</v>
      </c>
      <c r="H124" s="52">
        <v>44683.46010416667</v>
      </c>
      <c r="I124" s="50"/>
      <c r="J124" s="50"/>
      <c r="K124" s="50"/>
      <c r="L124" s="50"/>
      <c r="M124" s="50" t="s">
        <v>825</v>
      </c>
      <c r="N124" s="50"/>
      <c r="O124" s="53" t="s">
        <v>217</v>
      </c>
      <c r="P124" s="55" t="s">
        <v>826</v>
      </c>
      <c r="Q124" s="50">
        <v>89.0</v>
      </c>
      <c r="R124" s="50">
        <v>163.0</v>
      </c>
      <c r="S124" s="50" t="s">
        <v>827</v>
      </c>
      <c r="T124" s="56" t="s">
        <v>828</v>
      </c>
      <c r="U124" s="53" t="s">
        <v>370</v>
      </c>
    </row>
    <row r="125">
      <c r="A125" s="54" t="s">
        <v>829</v>
      </c>
      <c r="B125" s="50" t="s">
        <v>830</v>
      </c>
      <c r="C125" s="51" t="s">
        <v>316</v>
      </c>
      <c r="D125" s="51" t="s">
        <v>56</v>
      </c>
      <c r="E125" s="51" t="s">
        <v>67</v>
      </c>
      <c r="F125" s="51"/>
      <c r="G125" s="50" t="s">
        <v>824</v>
      </c>
      <c r="H125" s="52">
        <v>44683.46010416667</v>
      </c>
      <c r="I125" s="50"/>
      <c r="J125" s="50"/>
      <c r="K125" s="50"/>
      <c r="L125" s="50"/>
      <c r="M125" s="50" t="s">
        <v>831</v>
      </c>
      <c r="N125" s="50"/>
      <c r="O125" s="53" t="s">
        <v>70</v>
      </c>
      <c r="P125" s="55" t="s">
        <v>832</v>
      </c>
      <c r="Q125" s="50">
        <v>901.0</v>
      </c>
      <c r="R125" s="50">
        <v>1537.0</v>
      </c>
      <c r="S125" s="50" t="s">
        <v>833</v>
      </c>
      <c r="T125" s="56" t="s">
        <v>834</v>
      </c>
      <c r="U125" s="53" t="s">
        <v>322</v>
      </c>
    </row>
    <row r="126">
      <c r="A126" s="54" t="s">
        <v>835</v>
      </c>
      <c r="B126" s="50" t="s">
        <v>836</v>
      </c>
      <c r="C126" s="51" t="s">
        <v>505</v>
      </c>
      <c r="D126" s="51" t="s">
        <v>56</v>
      </c>
      <c r="E126" s="51" t="s">
        <v>67</v>
      </c>
      <c r="F126" s="51"/>
      <c r="G126" s="50" t="s">
        <v>837</v>
      </c>
      <c r="H126" s="52">
        <v>44683.46009259259</v>
      </c>
      <c r="I126" s="50"/>
      <c r="J126" s="50"/>
      <c r="K126" s="50"/>
      <c r="L126" s="50"/>
      <c r="M126" s="50" t="s">
        <v>838</v>
      </c>
      <c r="N126" s="50"/>
      <c r="O126" s="53" t="s">
        <v>60</v>
      </c>
      <c r="P126" s="55" t="s">
        <v>839</v>
      </c>
      <c r="Q126" s="50">
        <v>12689.0</v>
      </c>
      <c r="R126" s="50">
        <v>11901.0</v>
      </c>
      <c r="S126" s="50" t="s">
        <v>246</v>
      </c>
      <c r="T126" s="56" t="s">
        <v>840</v>
      </c>
      <c r="U126" s="53" t="s">
        <v>511</v>
      </c>
    </row>
    <row r="127">
      <c r="A127" s="54" t="s">
        <v>841</v>
      </c>
      <c r="B127" s="50" t="s">
        <v>830</v>
      </c>
      <c r="C127" s="51" t="s">
        <v>367</v>
      </c>
      <c r="D127" s="51" t="s">
        <v>56</v>
      </c>
      <c r="E127" s="51" t="s">
        <v>57</v>
      </c>
      <c r="F127" s="51"/>
      <c r="G127" s="50" t="s">
        <v>842</v>
      </c>
      <c r="H127" s="52">
        <v>44683.460011574076</v>
      </c>
      <c r="I127" s="50"/>
      <c r="J127" s="50"/>
      <c r="K127" s="50"/>
      <c r="L127" s="50"/>
      <c r="M127" s="50" t="s">
        <v>831</v>
      </c>
      <c r="N127" s="50"/>
      <c r="O127" s="53" t="s">
        <v>70</v>
      </c>
      <c r="P127" s="55" t="s">
        <v>832</v>
      </c>
      <c r="Q127" s="50">
        <v>901.0</v>
      </c>
      <c r="R127" s="50">
        <v>1537.0</v>
      </c>
      <c r="S127" s="50" t="s">
        <v>833</v>
      </c>
      <c r="T127" s="56" t="s">
        <v>843</v>
      </c>
      <c r="U127" s="53" t="s">
        <v>370</v>
      </c>
    </row>
    <row r="128">
      <c r="A128" s="54" t="s">
        <v>844</v>
      </c>
      <c r="B128" s="50" t="s">
        <v>845</v>
      </c>
      <c r="C128" s="51" t="s">
        <v>846</v>
      </c>
      <c r="D128" s="51" t="s">
        <v>56</v>
      </c>
      <c r="E128" s="51" t="s">
        <v>57</v>
      </c>
      <c r="F128" s="51"/>
      <c r="G128" s="50" t="s">
        <v>847</v>
      </c>
      <c r="H128" s="52">
        <v>44683.45972222222</v>
      </c>
      <c r="I128" s="50"/>
      <c r="J128" s="50"/>
      <c r="K128" s="50"/>
      <c r="L128" s="50"/>
      <c r="M128" s="50" t="s">
        <v>848</v>
      </c>
      <c r="N128" s="50"/>
      <c r="O128" s="53" t="s">
        <v>60</v>
      </c>
      <c r="P128" s="55" t="s">
        <v>849</v>
      </c>
      <c r="Q128" s="50">
        <v>39666.0</v>
      </c>
      <c r="R128" s="50">
        <v>3930.0</v>
      </c>
      <c r="S128" s="50" t="s">
        <v>850</v>
      </c>
      <c r="T128" s="56" t="s">
        <v>851</v>
      </c>
      <c r="U128" s="53" t="s">
        <v>852</v>
      </c>
    </row>
    <row r="129">
      <c r="A129" s="54" t="s">
        <v>853</v>
      </c>
      <c r="B129" s="50" t="s">
        <v>854</v>
      </c>
      <c r="C129" s="51" t="s">
        <v>855</v>
      </c>
      <c r="D129" s="51" t="s">
        <v>56</v>
      </c>
      <c r="E129" s="51" t="s">
        <v>67</v>
      </c>
      <c r="F129" s="51"/>
      <c r="G129" s="50" t="s">
        <v>856</v>
      </c>
      <c r="H129" s="52">
        <v>44683.45962962963</v>
      </c>
      <c r="I129" s="50"/>
      <c r="J129" s="50"/>
      <c r="K129" s="50"/>
      <c r="L129" s="50"/>
      <c r="M129" s="50" t="s">
        <v>857</v>
      </c>
      <c r="N129" s="50"/>
      <c r="O129" s="53" t="s">
        <v>70</v>
      </c>
      <c r="P129" s="55" t="s">
        <v>858</v>
      </c>
      <c r="Q129" s="50">
        <v>814.0</v>
      </c>
      <c r="R129" s="50">
        <v>1046.0</v>
      </c>
      <c r="S129" s="50" t="s">
        <v>859</v>
      </c>
      <c r="T129" s="56" t="s">
        <v>860</v>
      </c>
      <c r="U129" s="53" t="s">
        <v>861</v>
      </c>
    </row>
    <row r="130">
      <c r="A130" s="54" t="s">
        <v>862</v>
      </c>
      <c r="B130" s="50" t="s">
        <v>863</v>
      </c>
      <c r="C130" s="51" t="s">
        <v>864</v>
      </c>
      <c r="D130" s="51" t="s">
        <v>300</v>
      </c>
      <c r="E130" s="51" t="s">
        <v>57</v>
      </c>
      <c r="F130" s="51"/>
      <c r="G130" s="50" t="s">
        <v>865</v>
      </c>
      <c r="H130" s="52">
        <v>44683.45960648148</v>
      </c>
      <c r="I130" s="50"/>
      <c r="J130" s="50"/>
      <c r="K130" s="50"/>
      <c r="L130" s="50"/>
      <c r="M130" s="50" t="s">
        <v>866</v>
      </c>
      <c r="N130" s="50"/>
      <c r="O130" s="53" t="s">
        <v>217</v>
      </c>
      <c r="P130" s="55" t="s">
        <v>867</v>
      </c>
      <c r="Q130" s="50">
        <v>864.0</v>
      </c>
      <c r="R130" s="50">
        <v>1124.0</v>
      </c>
      <c r="S130" s="50"/>
      <c r="T130" s="56" t="s">
        <v>868</v>
      </c>
      <c r="U130" s="53" t="s">
        <v>869</v>
      </c>
    </row>
    <row r="131">
      <c r="A131" s="54" t="s">
        <v>870</v>
      </c>
      <c r="B131" s="50" t="s">
        <v>871</v>
      </c>
      <c r="C131" s="51" t="s">
        <v>367</v>
      </c>
      <c r="D131" s="51" t="s">
        <v>300</v>
      </c>
      <c r="E131" s="51" t="s">
        <v>67</v>
      </c>
      <c r="F131" s="51"/>
      <c r="G131" s="50" t="s">
        <v>872</v>
      </c>
      <c r="H131" s="52">
        <v>44683.459444444445</v>
      </c>
      <c r="I131" s="50"/>
      <c r="J131" s="50"/>
      <c r="K131" s="50"/>
      <c r="L131" s="50"/>
      <c r="M131" s="50" t="s">
        <v>873</v>
      </c>
      <c r="N131" s="50"/>
      <c r="O131" s="53" t="s">
        <v>92</v>
      </c>
      <c r="P131" s="55" t="s">
        <v>874</v>
      </c>
      <c r="Q131" s="50">
        <v>3449.0</v>
      </c>
      <c r="R131" s="50">
        <v>4325.0</v>
      </c>
      <c r="S131" s="50"/>
      <c r="T131" s="56" t="s">
        <v>875</v>
      </c>
      <c r="U131" s="53" t="s">
        <v>370</v>
      </c>
    </row>
    <row r="132">
      <c r="A132" s="54" t="s">
        <v>876</v>
      </c>
      <c r="B132" s="50" t="s">
        <v>877</v>
      </c>
      <c r="C132" s="51" t="s">
        <v>316</v>
      </c>
      <c r="D132" s="51" t="s">
        <v>300</v>
      </c>
      <c r="E132" s="51" t="s">
        <v>67</v>
      </c>
      <c r="F132" s="51"/>
      <c r="G132" s="50" t="s">
        <v>878</v>
      </c>
      <c r="H132" s="52">
        <v>44683.4594212963</v>
      </c>
      <c r="I132" s="50"/>
      <c r="J132" s="50"/>
      <c r="K132" s="50"/>
      <c r="L132" s="50"/>
      <c r="M132" s="50" t="s">
        <v>879</v>
      </c>
      <c r="N132" s="50"/>
      <c r="O132" s="53" t="s">
        <v>92</v>
      </c>
      <c r="P132" s="55" t="s">
        <v>880</v>
      </c>
      <c r="Q132" s="50">
        <v>1175.0</v>
      </c>
      <c r="R132" s="50">
        <v>4994.0</v>
      </c>
      <c r="S132" s="50"/>
      <c r="T132" s="56" t="s">
        <v>881</v>
      </c>
      <c r="U132" s="53" t="s">
        <v>322</v>
      </c>
    </row>
    <row r="133">
      <c r="A133" s="54" t="s">
        <v>882</v>
      </c>
      <c r="B133" s="50" t="s">
        <v>883</v>
      </c>
      <c r="C133" s="51" t="s">
        <v>687</v>
      </c>
      <c r="D133" s="51" t="s">
        <v>300</v>
      </c>
      <c r="E133" s="51" t="s">
        <v>67</v>
      </c>
      <c r="F133" s="51"/>
      <c r="G133" s="50" t="s">
        <v>884</v>
      </c>
      <c r="H133" s="52">
        <v>44683.459386574075</v>
      </c>
      <c r="I133" s="50"/>
      <c r="J133" s="50"/>
      <c r="K133" s="50"/>
      <c r="L133" s="50"/>
      <c r="M133" s="50" t="s">
        <v>885</v>
      </c>
      <c r="N133" s="50"/>
      <c r="O133" s="53" t="s">
        <v>70</v>
      </c>
      <c r="P133" s="55" t="s">
        <v>886</v>
      </c>
      <c r="Q133" s="50">
        <v>1677.0</v>
      </c>
      <c r="R133" s="50">
        <v>2047.0</v>
      </c>
      <c r="S133" s="50" t="s">
        <v>887</v>
      </c>
      <c r="T133" s="56" t="s">
        <v>888</v>
      </c>
      <c r="U133" s="53" t="s">
        <v>691</v>
      </c>
    </row>
    <row r="134">
      <c r="A134" s="54" t="s">
        <v>889</v>
      </c>
      <c r="B134" s="50" t="s">
        <v>877</v>
      </c>
      <c r="C134" s="51" t="s">
        <v>329</v>
      </c>
      <c r="D134" s="51" t="s">
        <v>56</v>
      </c>
      <c r="E134" s="51" t="s">
        <v>67</v>
      </c>
      <c r="F134" s="51"/>
      <c r="G134" s="50" t="s">
        <v>890</v>
      </c>
      <c r="H134" s="52">
        <v>44683.4593287037</v>
      </c>
      <c r="I134" s="50"/>
      <c r="J134" s="50"/>
      <c r="K134" s="50"/>
      <c r="L134" s="50"/>
      <c r="M134" s="50" t="s">
        <v>879</v>
      </c>
      <c r="N134" s="50"/>
      <c r="O134" s="53" t="s">
        <v>92</v>
      </c>
      <c r="P134" s="55" t="s">
        <v>880</v>
      </c>
      <c r="Q134" s="50">
        <v>1175.0</v>
      </c>
      <c r="R134" s="50">
        <v>4994.0</v>
      </c>
      <c r="S134" s="50"/>
      <c r="T134" s="56" t="s">
        <v>891</v>
      </c>
      <c r="U134" s="53" t="s">
        <v>332</v>
      </c>
    </row>
    <row r="135">
      <c r="A135" s="54" t="s">
        <v>892</v>
      </c>
      <c r="B135" s="50" t="s">
        <v>877</v>
      </c>
      <c r="C135" s="51" t="s">
        <v>335</v>
      </c>
      <c r="D135" s="51" t="s">
        <v>56</v>
      </c>
      <c r="E135" s="51" t="s">
        <v>57</v>
      </c>
      <c r="F135" s="51"/>
      <c r="G135" s="50" t="s">
        <v>893</v>
      </c>
      <c r="H135" s="52">
        <v>44683.45925925926</v>
      </c>
      <c r="I135" s="50"/>
      <c r="J135" s="50"/>
      <c r="K135" s="50"/>
      <c r="L135" s="50"/>
      <c r="M135" s="50" t="s">
        <v>879</v>
      </c>
      <c r="N135" s="50"/>
      <c r="O135" s="53" t="s">
        <v>92</v>
      </c>
      <c r="P135" s="55" t="s">
        <v>880</v>
      </c>
      <c r="Q135" s="50">
        <v>1175.0</v>
      </c>
      <c r="R135" s="50">
        <v>4994.0</v>
      </c>
      <c r="S135" s="50"/>
      <c r="T135" s="56" t="s">
        <v>894</v>
      </c>
      <c r="U135" s="53" t="s">
        <v>339</v>
      </c>
    </row>
    <row r="136">
      <c r="A136" s="54" t="s">
        <v>895</v>
      </c>
      <c r="B136" s="50" t="s">
        <v>896</v>
      </c>
      <c r="C136" s="51" t="s">
        <v>316</v>
      </c>
      <c r="D136" s="51" t="s">
        <v>300</v>
      </c>
      <c r="E136" s="51" t="s">
        <v>57</v>
      </c>
      <c r="F136" s="51"/>
      <c r="G136" s="50" t="s">
        <v>897</v>
      </c>
      <c r="H136" s="52">
        <v>44683.459131944444</v>
      </c>
      <c r="I136" s="50"/>
      <c r="J136" s="50"/>
      <c r="K136" s="50"/>
      <c r="L136" s="50"/>
      <c r="M136" s="50" t="s">
        <v>898</v>
      </c>
      <c r="N136" s="50"/>
      <c r="O136" s="53" t="s">
        <v>70</v>
      </c>
      <c r="P136" s="55" t="s">
        <v>354</v>
      </c>
      <c r="Q136" s="50">
        <v>60.0</v>
      </c>
      <c r="R136" s="50">
        <v>1036.0</v>
      </c>
      <c r="S136" s="50" t="s">
        <v>129</v>
      </c>
      <c r="T136" s="56" t="s">
        <v>899</v>
      </c>
      <c r="U136" s="53" t="s">
        <v>322</v>
      </c>
    </row>
    <row r="137">
      <c r="A137" s="54" t="s">
        <v>900</v>
      </c>
      <c r="B137" s="50" t="s">
        <v>901</v>
      </c>
      <c r="C137" s="51" t="s">
        <v>367</v>
      </c>
      <c r="D137" s="51" t="s">
        <v>300</v>
      </c>
      <c r="E137" s="51" t="s">
        <v>57</v>
      </c>
      <c r="F137" s="51"/>
      <c r="G137" s="50" t="s">
        <v>902</v>
      </c>
      <c r="H137" s="52">
        <v>44683.459120370375</v>
      </c>
      <c r="I137" s="50"/>
      <c r="J137" s="50"/>
      <c r="K137" s="50"/>
      <c r="L137" s="50"/>
      <c r="M137" s="50" t="s">
        <v>903</v>
      </c>
      <c r="N137" s="50"/>
      <c r="O137" s="53" t="s">
        <v>70</v>
      </c>
      <c r="P137" s="55" t="s">
        <v>904</v>
      </c>
      <c r="Q137" s="50">
        <v>1152.0</v>
      </c>
      <c r="R137" s="50">
        <v>1462.0</v>
      </c>
      <c r="S137" s="50" t="s">
        <v>905</v>
      </c>
      <c r="T137" s="56" t="s">
        <v>906</v>
      </c>
      <c r="U137" s="53" t="s">
        <v>370</v>
      </c>
    </row>
    <row r="138">
      <c r="A138" s="54" t="s">
        <v>907</v>
      </c>
      <c r="B138" s="50" t="s">
        <v>908</v>
      </c>
      <c r="C138" s="51" t="s">
        <v>329</v>
      </c>
      <c r="D138" s="51" t="s">
        <v>300</v>
      </c>
      <c r="E138" s="51" t="s">
        <v>57</v>
      </c>
      <c r="F138" s="51"/>
      <c r="G138" s="50" t="s">
        <v>909</v>
      </c>
      <c r="H138" s="52">
        <v>44683.45905092593</v>
      </c>
      <c r="I138" s="50"/>
      <c r="J138" s="50"/>
      <c r="K138" s="50"/>
      <c r="L138" s="50"/>
      <c r="M138" s="50" t="s">
        <v>910</v>
      </c>
      <c r="N138" s="50"/>
      <c r="O138" s="53" t="s">
        <v>92</v>
      </c>
      <c r="P138" s="55" t="s">
        <v>911</v>
      </c>
      <c r="Q138" s="50">
        <v>279.0</v>
      </c>
      <c r="R138" s="50">
        <v>1119.0</v>
      </c>
      <c r="S138" s="50" t="s">
        <v>912</v>
      </c>
      <c r="T138" s="56" t="s">
        <v>913</v>
      </c>
      <c r="U138" s="53" t="s">
        <v>332</v>
      </c>
    </row>
    <row r="139">
      <c r="A139" s="54" t="s">
        <v>914</v>
      </c>
      <c r="B139" s="50" t="s">
        <v>896</v>
      </c>
      <c r="C139" s="51" t="s">
        <v>329</v>
      </c>
      <c r="D139" s="51" t="s">
        <v>300</v>
      </c>
      <c r="E139" s="51" t="s">
        <v>67</v>
      </c>
      <c r="F139" s="51"/>
      <c r="G139" s="50" t="s">
        <v>915</v>
      </c>
      <c r="H139" s="52">
        <v>44683.459016203706</v>
      </c>
      <c r="I139" s="50"/>
      <c r="J139" s="50"/>
      <c r="K139" s="50"/>
      <c r="L139" s="50"/>
      <c r="M139" s="50" t="s">
        <v>898</v>
      </c>
      <c r="N139" s="50"/>
      <c r="O139" s="53" t="s">
        <v>70</v>
      </c>
      <c r="P139" s="55" t="s">
        <v>354</v>
      </c>
      <c r="Q139" s="50">
        <v>60.0</v>
      </c>
      <c r="R139" s="50">
        <v>1036.0</v>
      </c>
      <c r="S139" s="50" t="s">
        <v>129</v>
      </c>
      <c r="T139" s="56" t="s">
        <v>916</v>
      </c>
      <c r="U139" s="53" t="s">
        <v>332</v>
      </c>
    </row>
    <row r="140">
      <c r="A140" s="54" t="s">
        <v>917</v>
      </c>
      <c r="B140" s="50" t="s">
        <v>918</v>
      </c>
      <c r="C140" s="51" t="s">
        <v>316</v>
      </c>
      <c r="D140" s="51" t="s">
        <v>300</v>
      </c>
      <c r="E140" s="51" t="s">
        <v>57</v>
      </c>
      <c r="F140" s="51"/>
      <c r="G140" s="50" t="s">
        <v>919</v>
      </c>
      <c r="H140" s="52">
        <v>44683.458969907406</v>
      </c>
      <c r="I140" s="50"/>
      <c r="J140" s="50"/>
      <c r="K140" s="50"/>
      <c r="L140" s="50"/>
      <c r="M140" s="50" t="s">
        <v>920</v>
      </c>
      <c r="N140" s="50"/>
      <c r="O140" s="53" t="s">
        <v>70</v>
      </c>
      <c r="P140" s="55" t="s">
        <v>921</v>
      </c>
      <c r="Q140" s="50">
        <v>286.0</v>
      </c>
      <c r="R140" s="50">
        <v>2636.0</v>
      </c>
      <c r="S140" s="50"/>
      <c r="T140" s="56" t="s">
        <v>922</v>
      </c>
      <c r="U140" s="53" t="s">
        <v>322</v>
      </c>
    </row>
    <row r="141">
      <c r="A141" s="54" t="s">
        <v>923</v>
      </c>
      <c r="B141" s="50" t="s">
        <v>924</v>
      </c>
      <c r="C141" s="51" t="s">
        <v>367</v>
      </c>
      <c r="D141" s="51" t="s">
        <v>300</v>
      </c>
      <c r="E141" s="51" t="s">
        <v>67</v>
      </c>
      <c r="F141" s="51"/>
      <c r="G141" s="50" t="s">
        <v>925</v>
      </c>
      <c r="H141" s="52">
        <v>44683.45894675926</v>
      </c>
      <c r="I141" s="50"/>
      <c r="J141" s="50"/>
      <c r="K141" s="50"/>
      <c r="L141" s="50"/>
      <c r="M141" s="50" t="s">
        <v>926</v>
      </c>
      <c r="N141" s="50"/>
      <c r="O141" s="53" t="s">
        <v>70</v>
      </c>
      <c r="P141" s="55" t="s">
        <v>927</v>
      </c>
      <c r="Q141" s="50">
        <v>1665.0</v>
      </c>
      <c r="R141" s="50">
        <v>2333.0</v>
      </c>
      <c r="S141" s="50"/>
      <c r="T141" s="56" t="s">
        <v>928</v>
      </c>
      <c r="U141" s="53" t="s">
        <v>370</v>
      </c>
    </row>
    <row r="142">
      <c r="A142" s="54" t="s">
        <v>929</v>
      </c>
      <c r="B142" s="50" t="s">
        <v>918</v>
      </c>
      <c r="C142" s="51" t="s">
        <v>329</v>
      </c>
      <c r="D142" s="51" t="s">
        <v>300</v>
      </c>
      <c r="E142" s="51" t="s">
        <v>57</v>
      </c>
      <c r="F142" s="51"/>
      <c r="G142" s="50" t="s">
        <v>930</v>
      </c>
      <c r="H142" s="52">
        <v>44683.45891203704</v>
      </c>
      <c r="I142" s="50"/>
      <c r="J142" s="50"/>
      <c r="K142" s="50"/>
      <c r="L142" s="50"/>
      <c r="M142" s="50" t="s">
        <v>920</v>
      </c>
      <c r="N142" s="50"/>
      <c r="O142" s="53" t="s">
        <v>70</v>
      </c>
      <c r="P142" s="55" t="s">
        <v>921</v>
      </c>
      <c r="Q142" s="50">
        <v>286.0</v>
      </c>
      <c r="R142" s="50">
        <v>2636.0</v>
      </c>
      <c r="S142" s="50"/>
      <c r="T142" s="56" t="s">
        <v>931</v>
      </c>
      <c r="U142" s="53" t="s">
        <v>332</v>
      </c>
    </row>
    <row r="143">
      <c r="A143" s="54" t="s">
        <v>932</v>
      </c>
      <c r="B143" s="50" t="s">
        <v>896</v>
      </c>
      <c r="C143" s="51" t="s">
        <v>335</v>
      </c>
      <c r="D143" s="51" t="s">
        <v>300</v>
      </c>
      <c r="E143" s="51" t="s">
        <v>67</v>
      </c>
      <c r="F143" s="51"/>
      <c r="G143" s="50" t="s">
        <v>933</v>
      </c>
      <c r="H143" s="52">
        <v>44683.45890046297</v>
      </c>
      <c r="I143" s="50"/>
      <c r="J143" s="50"/>
      <c r="K143" s="50"/>
      <c r="L143" s="50"/>
      <c r="M143" s="50" t="s">
        <v>898</v>
      </c>
      <c r="N143" s="50"/>
      <c r="O143" s="53" t="s">
        <v>70</v>
      </c>
      <c r="P143" s="55" t="s">
        <v>354</v>
      </c>
      <c r="Q143" s="50">
        <v>60.0</v>
      </c>
      <c r="R143" s="50">
        <v>1036.0</v>
      </c>
      <c r="S143" s="50" t="s">
        <v>129</v>
      </c>
      <c r="T143" s="56" t="s">
        <v>934</v>
      </c>
      <c r="U143" s="53" t="s">
        <v>339</v>
      </c>
    </row>
    <row r="144">
      <c r="A144" s="54" t="s">
        <v>935</v>
      </c>
      <c r="B144" s="50" t="s">
        <v>918</v>
      </c>
      <c r="C144" s="51" t="s">
        <v>335</v>
      </c>
      <c r="D144" s="51" t="s">
        <v>300</v>
      </c>
      <c r="E144" s="51" t="s">
        <v>67</v>
      </c>
      <c r="F144" s="51"/>
      <c r="G144" s="50" t="s">
        <v>936</v>
      </c>
      <c r="H144" s="52">
        <v>44683.45878472222</v>
      </c>
      <c r="I144" s="50"/>
      <c r="J144" s="50"/>
      <c r="K144" s="50"/>
      <c r="L144" s="50"/>
      <c r="M144" s="50" t="s">
        <v>920</v>
      </c>
      <c r="N144" s="50"/>
      <c r="O144" s="53" t="s">
        <v>70</v>
      </c>
      <c r="P144" s="55" t="s">
        <v>921</v>
      </c>
      <c r="Q144" s="50">
        <v>286.0</v>
      </c>
      <c r="R144" s="50">
        <v>2636.0</v>
      </c>
      <c r="S144" s="50"/>
      <c r="T144" s="56" t="s">
        <v>937</v>
      </c>
      <c r="U144" s="53" t="s">
        <v>339</v>
      </c>
    </row>
    <row r="145">
      <c r="A145" s="54" t="s">
        <v>938</v>
      </c>
      <c r="B145" s="50" t="s">
        <v>896</v>
      </c>
      <c r="C145" s="51" t="s">
        <v>363</v>
      </c>
      <c r="D145" s="51" t="s">
        <v>300</v>
      </c>
      <c r="E145" s="51" t="s">
        <v>57</v>
      </c>
      <c r="F145" s="51"/>
      <c r="G145" s="50" t="s">
        <v>939</v>
      </c>
      <c r="H145" s="52">
        <v>44683.458750000005</v>
      </c>
      <c r="I145" s="50"/>
      <c r="J145" s="50"/>
      <c r="K145" s="50"/>
      <c r="L145" s="50"/>
      <c r="M145" s="50" t="s">
        <v>898</v>
      </c>
      <c r="N145" s="50"/>
      <c r="O145" s="53" t="s">
        <v>70</v>
      </c>
      <c r="P145" s="55" t="s">
        <v>354</v>
      </c>
      <c r="Q145" s="50">
        <v>60.0</v>
      </c>
      <c r="R145" s="50">
        <v>1036.0</v>
      </c>
      <c r="S145" s="50" t="s">
        <v>129</v>
      </c>
      <c r="T145" s="56" t="s">
        <v>940</v>
      </c>
      <c r="U145" s="53" t="s">
        <v>332</v>
      </c>
    </row>
    <row r="146">
      <c r="A146" s="54" t="s">
        <v>941</v>
      </c>
      <c r="B146" s="50" t="s">
        <v>942</v>
      </c>
      <c r="C146" s="51" t="s">
        <v>335</v>
      </c>
      <c r="D146" s="51" t="s">
        <v>300</v>
      </c>
      <c r="E146" s="51" t="s">
        <v>57</v>
      </c>
      <c r="F146" s="51"/>
      <c r="G146" s="50" t="s">
        <v>943</v>
      </c>
      <c r="H146" s="52">
        <v>44683.45872685185</v>
      </c>
      <c r="I146" s="50"/>
      <c r="J146" s="50"/>
      <c r="K146" s="50"/>
      <c r="L146" s="50"/>
      <c r="M146" s="50" t="s">
        <v>944</v>
      </c>
      <c r="N146" s="50"/>
      <c r="O146" s="53" t="s">
        <v>70</v>
      </c>
      <c r="P146" s="55" t="s">
        <v>945</v>
      </c>
      <c r="Q146" s="50">
        <v>105.0</v>
      </c>
      <c r="R146" s="50">
        <v>61.0</v>
      </c>
      <c r="S146" s="50"/>
      <c r="T146" s="56" t="s">
        <v>946</v>
      </c>
      <c r="U146" s="53" t="s">
        <v>339</v>
      </c>
    </row>
    <row r="147">
      <c r="A147" s="54" t="s">
        <v>947</v>
      </c>
      <c r="B147" s="50" t="s">
        <v>918</v>
      </c>
      <c r="C147" s="51" t="s">
        <v>363</v>
      </c>
      <c r="D147" s="51" t="s">
        <v>300</v>
      </c>
      <c r="E147" s="51" t="s">
        <v>67</v>
      </c>
      <c r="F147" s="51"/>
      <c r="G147" s="50" t="s">
        <v>948</v>
      </c>
      <c r="H147" s="52">
        <v>44683.45871527778</v>
      </c>
      <c r="I147" s="50"/>
      <c r="J147" s="50"/>
      <c r="K147" s="50"/>
      <c r="L147" s="50"/>
      <c r="M147" s="50" t="s">
        <v>920</v>
      </c>
      <c r="N147" s="50"/>
      <c r="O147" s="53" t="s">
        <v>70</v>
      </c>
      <c r="P147" s="55" t="s">
        <v>921</v>
      </c>
      <c r="Q147" s="50">
        <v>286.0</v>
      </c>
      <c r="R147" s="50">
        <v>2636.0</v>
      </c>
      <c r="S147" s="50"/>
      <c r="T147" s="56" t="s">
        <v>949</v>
      </c>
      <c r="U147" s="53" t="s">
        <v>332</v>
      </c>
    </row>
    <row r="148">
      <c r="A148" s="54" t="s">
        <v>950</v>
      </c>
      <c r="B148" s="50" t="s">
        <v>951</v>
      </c>
      <c r="C148" s="51" t="s">
        <v>687</v>
      </c>
      <c r="D148" s="51" t="s">
        <v>300</v>
      </c>
      <c r="E148" s="51" t="s">
        <v>57</v>
      </c>
      <c r="F148" s="51"/>
      <c r="G148" s="50" t="s">
        <v>952</v>
      </c>
      <c r="H148" s="52">
        <v>44683.458657407406</v>
      </c>
      <c r="I148" s="50"/>
      <c r="J148" s="50"/>
      <c r="K148" s="50"/>
      <c r="L148" s="50"/>
      <c r="M148" s="50" t="s">
        <v>953</v>
      </c>
      <c r="N148" s="50"/>
      <c r="O148" s="53" t="s">
        <v>217</v>
      </c>
      <c r="P148" s="55" t="s">
        <v>954</v>
      </c>
      <c r="Q148" s="50">
        <v>110.0</v>
      </c>
      <c r="R148" s="50">
        <v>379.0</v>
      </c>
      <c r="S148" s="50" t="s">
        <v>955</v>
      </c>
      <c r="T148" s="56" t="s">
        <v>956</v>
      </c>
      <c r="U148" s="53" t="s">
        <v>691</v>
      </c>
    </row>
    <row r="149">
      <c r="A149" s="54" t="s">
        <v>957</v>
      </c>
      <c r="B149" s="50" t="s">
        <v>958</v>
      </c>
      <c r="C149" s="51" t="s">
        <v>959</v>
      </c>
      <c r="D149" s="51" t="s">
        <v>300</v>
      </c>
      <c r="E149" s="51" t="s">
        <v>67</v>
      </c>
      <c r="F149" s="51"/>
      <c r="G149" s="50" t="s">
        <v>960</v>
      </c>
      <c r="H149" s="52">
        <v>44683.45862268518</v>
      </c>
      <c r="I149" s="50"/>
      <c r="J149" s="50"/>
      <c r="K149" s="50"/>
      <c r="L149" s="50"/>
      <c r="M149" s="50" t="s">
        <v>961</v>
      </c>
      <c r="N149" s="50"/>
      <c r="O149" s="53" t="s">
        <v>70</v>
      </c>
      <c r="P149" s="55" t="s">
        <v>962</v>
      </c>
      <c r="Q149" s="50">
        <v>121.0</v>
      </c>
      <c r="R149" s="50">
        <v>153.0</v>
      </c>
      <c r="S149" s="50"/>
      <c r="T149" s="56" t="s">
        <v>963</v>
      </c>
      <c r="U149" s="53" t="s">
        <v>964</v>
      </c>
    </row>
    <row r="150">
      <c r="A150" s="54" t="s">
        <v>965</v>
      </c>
      <c r="B150" s="50" t="s">
        <v>896</v>
      </c>
      <c r="C150" s="51" t="s">
        <v>367</v>
      </c>
      <c r="D150" s="51" t="s">
        <v>300</v>
      </c>
      <c r="E150" s="51" t="s">
        <v>57</v>
      </c>
      <c r="F150" s="51"/>
      <c r="G150" s="50" t="s">
        <v>966</v>
      </c>
      <c r="H150" s="52">
        <v>44683.458599537036</v>
      </c>
      <c r="I150" s="50"/>
      <c r="J150" s="50"/>
      <c r="K150" s="50"/>
      <c r="L150" s="50"/>
      <c r="M150" s="50" t="s">
        <v>898</v>
      </c>
      <c r="N150" s="50"/>
      <c r="O150" s="53" t="s">
        <v>70</v>
      </c>
      <c r="P150" s="55" t="s">
        <v>354</v>
      </c>
      <c r="Q150" s="50">
        <v>60.0</v>
      </c>
      <c r="R150" s="50">
        <v>1036.0</v>
      </c>
      <c r="S150" s="50" t="s">
        <v>129</v>
      </c>
      <c r="T150" s="56" t="s">
        <v>967</v>
      </c>
      <c r="U150" s="53" t="s">
        <v>370</v>
      </c>
    </row>
    <row r="151">
      <c r="A151" s="54" t="s">
        <v>968</v>
      </c>
      <c r="B151" s="50" t="s">
        <v>908</v>
      </c>
      <c r="C151" s="51" t="s">
        <v>367</v>
      </c>
      <c r="D151" s="51"/>
      <c r="E151" s="51"/>
      <c r="F151" s="51"/>
      <c r="G151" s="50" t="s">
        <v>969</v>
      </c>
      <c r="H151" s="52">
        <v>44683.45858796296</v>
      </c>
      <c r="I151" s="50"/>
      <c r="J151" s="50"/>
      <c r="K151" s="50"/>
      <c r="L151" s="50"/>
      <c r="M151" s="50" t="s">
        <v>910</v>
      </c>
      <c r="N151" s="50"/>
      <c r="O151" s="53" t="s">
        <v>92</v>
      </c>
      <c r="P151" s="55" t="s">
        <v>911</v>
      </c>
      <c r="Q151" s="50">
        <v>279.0</v>
      </c>
      <c r="R151" s="50">
        <v>1119.0</v>
      </c>
      <c r="S151" s="50" t="s">
        <v>912</v>
      </c>
      <c r="T151" s="56" t="s">
        <v>970</v>
      </c>
      <c r="U151" s="53" t="s">
        <v>370</v>
      </c>
    </row>
    <row r="152">
      <c r="A152" s="54" t="s">
        <v>971</v>
      </c>
      <c r="B152" s="50" t="s">
        <v>716</v>
      </c>
      <c r="C152" s="51" t="s">
        <v>367</v>
      </c>
      <c r="D152" s="51"/>
      <c r="E152" s="51"/>
      <c r="F152" s="51"/>
      <c r="G152" s="50" t="s">
        <v>972</v>
      </c>
      <c r="H152" s="52">
        <v>44683.45857638889</v>
      </c>
      <c r="I152" s="50"/>
      <c r="J152" s="50"/>
      <c r="K152" s="50"/>
      <c r="L152" s="50"/>
      <c r="M152" s="50" t="s">
        <v>719</v>
      </c>
      <c r="N152" s="50"/>
      <c r="O152" s="53" t="s">
        <v>60</v>
      </c>
      <c r="P152" s="55" t="s">
        <v>720</v>
      </c>
      <c r="Q152" s="50">
        <v>2522.0</v>
      </c>
      <c r="R152" s="50">
        <v>3510.0</v>
      </c>
      <c r="S152" s="50" t="s">
        <v>721</v>
      </c>
      <c r="T152" s="56" t="s">
        <v>973</v>
      </c>
      <c r="U152" s="53" t="s">
        <v>370</v>
      </c>
    </row>
    <row r="153">
      <c r="A153" s="54" t="s">
        <v>974</v>
      </c>
      <c r="B153" s="50" t="s">
        <v>975</v>
      </c>
      <c r="C153" s="51" t="s">
        <v>367</v>
      </c>
      <c r="D153" s="51"/>
      <c r="E153" s="51"/>
      <c r="F153" s="51"/>
      <c r="G153" s="50" t="s">
        <v>972</v>
      </c>
      <c r="H153" s="52">
        <v>44683.45857638889</v>
      </c>
      <c r="I153" s="50"/>
      <c r="J153" s="50"/>
      <c r="K153" s="50"/>
      <c r="L153" s="50"/>
      <c r="M153" s="50" t="s">
        <v>976</v>
      </c>
      <c r="N153" s="50"/>
      <c r="O153" s="53" t="s">
        <v>92</v>
      </c>
      <c r="P153" s="55" t="s">
        <v>977</v>
      </c>
      <c r="Q153" s="50">
        <v>65.0</v>
      </c>
      <c r="R153" s="50">
        <v>112.0</v>
      </c>
      <c r="S153" s="50" t="s">
        <v>129</v>
      </c>
      <c r="T153" s="56" t="s">
        <v>978</v>
      </c>
      <c r="U153" s="53" t="s">
        <v>370</v>
      </c>
    </row>
    <row r="154">
      <c r="A154" s="54" t="s">
        <v>979</v>
      </c>
      <c r="B154" s="50" t="s">
        <v>942</v>
      </c>
      <c r="C154" s="51" t="s">
        <v>316</v>
      </c>
      <c r="D154" s="51"/>
      <c r="E154" s="51"/>
      <c r="F154" s="51"/>
      <c r="G154" s="50" t="s">
        <v>980</v>
      </c>
      <c r="H154" s="52">
        <v>44683.45856481481</v>
      </c>
      <c r="I154" s="50"/>
      <c r="J154" s="50"/>
      <c r="K154" s="50"/>
      <c r="L154" s="50"/>
      <c r="M154" s="50" t="s">
        <v>944</v>
      </c>
      <c r="N154" s="50"/>
      <c r="O154" s="53" t="s">
        <v>70</v>
      </c>
      <c r="P154" s="55" t="s">
        <v>945</v>
      </c>
      <c r="Q154" s="50">
        <v>105.0</v>
      </c>
      <c r="R154" s="50">
        <v>61.0</v>
      </c>
      <c r="S154" s="50"/>
      <c r="T154" s="56" t="s">
        <v>981</v>
      </c>
      <c r="U154" s="53" t="s">
        <v>322</v>
      </c>
    </row>
    <row r="155">
      <c r="A155" s="54" t="s">
        <v>982</v>
      </c>
      <c r="B155" s="50" t="s">
        <v>983</v>
      </c>
      <c r="C155" s="51" t="s">
        <v>687</v>
      </c>
      <c r="D155" s="51"/>
      <c r="E155" s="51"/>
      <c r="F155" s="51"/>
      <c r="G155" s="50" t="s">
        <v>984</v>
      </c>
      <c r="H155" s="52">
        <v>44683.45837962963</v>
      </c>
      <c r="I155" s="50"/>
      <c r="J155" s="50"/>
      <c r="K155" s="50"/>
      <c r="L155" s="50"/>
      <c r="M155" s="50" t="s">
        <v>985</v>
      </c>
      <c r="N155" s="50"/>
      <c r="O155" s="53" t="s">
        <v>92</v>
      </c>
      <c r="P155" s="55" t="s">
        <v>986</v>
      </c>
      <c r="Q155" s="50">
        <v>4405.0</v>
      </c>
      <c r="R155" s="50">
        <v>4063.0</v>
      </c>
      <c r="S155" s="50" t="s">
        <v>219</v>
      </c>
      <c r="T155" s="56" t="s">
        <v>987</v>
      </c>
      <c r="U155" s="53" t="s">
        <v>691</v>
      </c>
    </row>
    <row r="156">
      <c r="A156" s="54" t="s">
        <v>988</v>
      </c>
      <c r="B156" s="50" t="s">
        <v>989</v>
      </c>
      <c r="C156" s="51" t="s">
        <v>329</v>
      </c>
      <c r="D156" s="51"/>
      <c r="E156" s="51"/>
      <c r="F156" s="51"/>
      <c r="G156" s="50" t="s">
        <v>990</v>
      </c>
      <c r="H156" s="52">
        <v>44683.45833333333</v>
      </c>
      <c r="I156" s="50"/>
      <c r="J156" s="50"/>
      <c r="K156" s="50"/>
      <c r="L156" s="50"/>
      <c r="M156" s="50" t="s">
        <v>991</v>
      </c>
      <c r="N156" s="50"/>
      <c r="O156" s="53" t="s">
        <v>60</v>
      </c>
      <c r="P156" s="55" t="s">
        <v>992</v>
      </c>
      <c r="Q156" s="50">
        <v>2003.0</v>
      </c>
      <c r="R156" s="50">
        <v>1260.0</v>
      </c>
      <c r="S156" s="50"/>
      <c r="T156" s="56" t="s">
        <v>993</v>
      </c>
      <c r="U156" s="53" t="s">
        <v>332</v>
      </c>
    </row>
    <row r="157">
      <c r="A157" s="54" t="s">
        <v>994</v>
      </c>
      <c r="B157" s="50" t="s">
        <v>918</v>
      </c>
      <c r="C157" s="51" t="s">
        <v>367</v>
      </c>
      <c r="D157" s="51"/>
      <c r="E157" s="51"/>
      <c r="F157" s="51"/>
      <c r="G157" s="50" t="s">
        <v>990</v>
      </c>
      <c r="H157" s="52">
        <v>44683.45833333333</v>
      </c>
      <c r="I157" s="50"/>
      <c r="J157" s="50"/>
      <c r="K157" s="50"/>
      <c r="L157" s="50"/>
      <c r="M157" s="50" t="s">
        <v>920</v>
      </c>
      <c r="N157" s="50"/>
      <c r="O157" s="53" t="s">
        <v>70</v>
      </c>
      <c r="P157" s="55" t="s">
        <v>921</v>
      </c>
      <c r="Q157" s="50">
        <v>286.0</v>
      </c>
      <c r="R157" s="50">
        <v>2636.0</v>
      </c>
      <c r="S157" s="50"/>
      <c r="T157" s="56" t="s">
        <v>995</v>
      </c>
      <c r="U157" s="53" t="s">
        <v>370</v>
      </c>
    </row>
    <row r="158">
      <c r="A158" s="54" t="s">
        <v>996</v>
      </c>
      <c r="B158" s="50" t="s">
        <v>997</v>
      </c>
      <c r="C158" s="51" t="s">
        <v>316</v>
      </c>
      <c r="D158" s="51"/>
      <c r="E158" s="51"/>
      <c r="F158" s="51"/>
      <c r="G158" s="50" t="s">
        <v>990</v>
      </c>
      <c r="H158" s="52">
        <v>44683.45833333333</v>
      </c>
      <c r="I158" s="50"/>
      <c r="J158" s="50"/>
      <c r="K158" s="50"/>
      <c r="L158" s="50"/>
      <c r="M158" s="50" t="s">
        <v>998</v>
      </c>
      <c r="N158" s="50"/>
      <c r="O158" s="53" t="s">
        <v>60</v>
      </c>
      <c r="P158" s="55" t="s">
        <v>999</v>
      </c>
      <c r="Q158" s="50">
        <v>330.0</v>
      </c>
      <c r="R158" s="50">
        <v>613.0</v>
      </c>
      <c r="S158" s="50" t="s">
        <v>1000</v>
      </c>
      <c r="T158" s="56" t="s">
        <v>1001</v>
      </c>
      <c r="U158" s="53" t="s">
        <v>322</v>
      </c>
    </row>
    <row r="159">
      <c r="A159" s="54" t="s">
        <v>1002</v>
      </c>
      <c r="B159" s="50" t="s">
        <v>1003</v>
      </c>
      <c r="C159" s="51" t="s">
        <v>367</v>
      </c>
      <c r="D159" s="51"/>
      <c r="E159" s="51"/>
      <c r="F159" s="51"/>
      <c r="G159" s="50" t="s">
        <v>1004</v>
      </c>
      <c r="H159" s="52">
        <v>44683.458287037036</v>
      </c>
      <c r="I159" s="50"/>
      <c r="J159" s="50"/>
      <c r="K159" s="50"/>
      <c r="L159" s="50"/>
      <c r="M159" s="50" t="s">
        <v>1005</v>
      </c>
      <c r="N159" s="50"/>
      <c r="O159" s="53" t="s">
        <v>92</v>
      </c>
      <c r="P159" s="55" t="s">
        <v>1006</v>
      </c>
      <c r="Q159" s="50">
        <v>418.0</v>
      </c>
      <c r="R159" s="50">
        <v>620.0</v>
      </c>
      <c r="S159" s="50" t="s">
        <v>1007</v>
      </c>
      <c r="T159" s="56" t="s">
        <v>1008</v>
      </c>
      <c r="U159" s="53" t="s">
        <v>370</v>
      </c>
    </row>
    <row r="160">
      <c r="A160" s="54" t="s">
        <v>1009</v>
      </c>
      <c r="B160" s="50" t="s">
        <v>942</v>
      </c>
      <c r="C160" s="51" t="s">
        <v>329</v>
      </c>
      <c r="D160" s="51"/>
      <c r="E160" s="51"/>
      <c r="F160" s="51"/>
      <c r="G160" s="50" t="s">
        <v>1010</v>
      </c>
      <c r="H160" s="52">
        <v>44683.45827546297</v>
      </c>
      <c r="I160" s="50"/>
      <c r="J160" s="50"/>
      <c r="K160" s="50"/>
      <c r="L160" s="50"/>
      <c r="M160" s="50" t="s">
        <v>944</v>
      </c>
      <c r="N160" s="50"/>
      <c r="O160" s="53" t="s">
        <v>70</v>
      </c>
      <c r="P160" s="55" t="s">
        <v>945</v>
      </c>
      <c r="Q160" s="50">
        <v>105.0</v>
      </c>
      <c r="R160" s="50">
        <v>61.0</v>
      </c>
      <c r="S160" s="50"/>
      <c r="T160" s="56" t="s">
        <v>1011</v>
      </c>
      <c r="U160" s="53" t="s">
        <v>332</v>
      </c>
    </row>
    <row r="161">
      <c r="A161" s="54" t="s">
        <v>1012</v>
      </c>
      <c r="B161" s="50" t="s">
        <v>997</v>
      </c>
      <c r="C161" s="51" t="s">
        <v>367</v>
      </c>
      <c r="D161" s="51"/>
      <c r="E161" s="51"/>
      <c r="F161" s="51"/>
      <c r="G161" s="50" t="s">
        <v>1013</v>
      </c>
      <c r="H161" s="52">
        <v>44683.45822916667</v>
      </c>
      <c r="I161" s="50"/>
      <c r="J161" s="50"/>
      <c r="K161" s="50"/>
      <c r="L161" s="50"/>
      <c r="M161" s="50" t="s">
        <v>998</v>
      </c>
      <c r="N161" s="50"/>
      <c r="O161" s="53" t="s">
        <v>60</v>
      </c>
      <c r="P161" s="55" t="s">
        <v>999</v>
      </c>
      <c r="Q161" s="50">
        <v>330.0</v>
      </c>
      <c r="R161" s="50">
        <v>613.0</v>
      </c>
      <c r="S161" s="50" t="s">
        <v>1000</v>
      </c>
      <c r="T161" s="56" t="s">
        <v>1014</v>
      </c>
      <c r="U161" s="53" t="s">
        <v>370</v>
      </c>
    </row>
    <row r="162">
      <c r="A162" s="54" t="s">
        <v>1015</v>
      </c>
      <c r="B162" s="50" t="s">
        <v>1016</v>
      </c>
      <c r="C162" s="51" t="s">
        <v>1017</v>
      </c>
      <c r="D162" s="51"/>
      <c r="E162" s="51"/>
      <c r="F162" s="51"/>
      <c r="G162" s="50" t="s">
        <v>1018</v>
      </c>
      <c r="H162" s="52">
        <v>44683.4581712963</v>
      </c>
      <c r="I162" s="50"/>
      <c r="J162" s="50"/>
      <c r="K162" s="50"/>
      <c r="L162" s="50"/>
      <c r="M162" s="50" t="s">
        <v>1019</v>
      </c>
      <c r="N162" s="50"/>
      <c r="O162" s="53" t="s">
        <v>60</v>
      </c>
      <c r="P162" s="55" t="s">
        <v>1020</v>
      </c>
      <c r="Q162" s="50">
        <v>804.0</v>
      </c>
      <c r="R162" s="50">
        <v>1888.0</v>
      </c>
      <c r="S162" s="50"/>
      <c r="T162" s="56" t="s">
        <v>1021</v>
      </c>
      <c r="U162" s="53" t="s">
        <v>1022</v>
      </c>
    </row>
    <row r="163">
      <c r="A163" s="54" t="s">
        <v>1023</v>
      </c>
      <c r="B163" s="50" t="s">
        <v>1024</v>
      </c>
      <c r="C163" s="51" t="s">
        <v>367</v>
      </c>
      <c r="D163" s="51"/>
      <c r="E163" s="51"/>
      <c r="F163" s="51"/>
      <c r="G163" s="50" t="s">
        <v>1025</v>
      </c>
      <c r="H163" s="52">
        <v>44683.458148148144</v>
      </c>
      <c r="I163" s="50"/>
      <c r="J163" s="50"/>
      <c r="K163" s="50"/>
      <c r="L163" s="50"/>
      <c r="M163" s="50" t="s">
        <v>1026</v>
      </c>
      <c r="N163" s="50"/>
      <c r="O163" s="53" t="s">
        <v>92</v>
      </c>
      <c r="P163" s="55" t="s">
        <v>1027</v>
      </c>
      <c r="Q163" s="50">
        <v>611.0</v>
      </c>
      <c r="R163" s="50">
        <v>2258.0</v>
      </c>
      <c r="S163" s="50"/>
      <c r="T163" s="56" t="s">
        <v>1028</v>
      </c>
      <c r="U163" s="53" t="s">
        <v>370</v>
      </c>
    </row>
    <row r="164">
      <c r="A164" s="54" t="s">
        <v>1029</v>
      </c>
      <c r="B164" s="50" t="s">
        <v>989</v>
      </c>
      <c r="C164" s="51" t="s">
        <v>363</v>
      </c>
      <c r="D164" s="51"/>
      <c r="E164" s="51"/>
      <c r="F164" s="51"/>
      <c r="G164" s="50" t="s">
        <v>1030</v>
      </c>
      <c r="H164" s="52">
        <v>44683.458125000005</v>
      </c>
      <c r="I164" s="50"/>
      <c r="J164" s="50"/>
      <c r="K164" s="50"/>
      <c r="L164" s="50"/>
      <c r="M164" s="50" t="s">
        <v>991</v>
      </c>
      <c r="N164" s="50"/>
      <c r="O164" s="53" t="s">
        <v>60</v>
      </c>
      <c r="P164" s="55" t="s">
        <v>992</v>
      </c>
      <c r="Q164" s="50">
        <v>2003.0</v>
      </c>
      <c r="R164" s="50">
        <v>1260.0</v>
      </c>
      <c r="S164" s="50"/>
      <c r="T164" s="56" t="s">
        <v>1031</v>
      </c>
      <c r="U164" s="53" t="s">
        <v>332</v>
      </c>
    </row>
    <row r="165">
      <c r="A165" s="54" t="s">
        <v>1032</v>
      </c>
      <c r="B165" s="50" t="s">
        <v>1033</v>
      </c>
      <c r="C165" s="51" t="s">
        <v>367</v>
      </c>
      <c r="D165" s="51"/>
      <c r="E165" s="51"/>
      <c r="F165" s="51"/>
      <c r="G165" s="50" t="s">
        <v>1034</v>
      </c>
      <c r="H165" s="52">
        <v>44683.45796296296</v>
      </c>
      <c r="I165" s="50"/>
      <c r="J165" s="50"/>
      <c r="K165" s="50"/>
      <c r="L165" s="50"/>
      <c r="M165" s="50" t="s">
        <v>1035</v>
      </c>
      <c r="N165" s="50"/>
      <c r="O165" s="53" t="s">
        <v>70</v>
      </c>
      <c r="P165" s="55" t="s">
        <v>1036</v>
      </c>
      <c r="Q165" s="50">
        <v>2311.0</v>
      </c>
      <c r="R165" s="50">
        <v>1766.0</v>
      </c>
      <c r="S165" s="50"/>
      <c r="T165" s="56" t="s">
        <v>1037</v>
      </c>
      <c r="U165" s="53" t="s">
        <v>370</v>
      </c>
    </row>
    <row r="166">
      <c r="A166" s="54" t="s">
        <v>1038</v>
      </c>
      <c r="B166" s="50" t="s">
        <v>1039</v>
      </c>
      <c r="C166" s="51" t="s">
        <v>505</v>
      </c>
      <c r="D166" s="51"/>
      <c r="E166" s="51"/>
      <c r="F166" s="51"/>
      <c r="G166" s="50" t="s">
        <v>1040</v>
      </c>
      <c r="H166" s="52">
        <v>44683.457766203705</v>
      </c>
      <c r="I166" s="50"/>
      <c r="J166" s="50"/>
      <c r="K166" s="50"/>
      <c r="L166" s="50"/>
      <c r="M166" s="50" t="s">
        <v>1041</v>
      </c>
      <c r="N166" s="50"/>
      <c r="O166" s="53" t="s">
        <v>1042</v>
      </c>
      <c r="P166" s="55" t="s">
        <v>1043</v>
      </c>
      <c r="Q166" s="50">
        <v>9.0</v>
      </c>
      <c r="R166" s="50">
        <v>59.0</v>
      </c>
      <c r="S166" s="50" t="s">
        <v>1044</v>
      </c>
      <c r="T166" s="56" t="s">
        <v>1045</v>
      </c>
      <c r="U166" s="53" t="s">
        <v>511</v>
      </c>
    </row>
    <row r="167">
      <c r="A167" s="54" t="s">
        <v>1046</v>
      </c>
      <c r="B167" s="50" t="s">
        <v>989</v>
      </c>
      <c r="C167" s="51" t="s">
        <v>367</v>
      </c>
      <c r="D167" s="51"/>
      <c r="E167" s="51"/>
      <c r="F167" s="51"/>
      <c r="G167" s="50" t="s">
        <v>1047</v>
      </c>
      <c r="H167" s="52">
        <v>44683.457754629635</v>
      </c>
      <c r="I167" s="50"/>
      <c r="J167" s="50"/>
      <c r="K167" s="50"/>
      <c r="L167" s="50"/>
      <c r="M167" s="50" t="s">
        <v>991</v>
      </c>
      <c r="N167" s="50"/>
      <c r="O167" s="53" t="s">
        <v>60</v>
      </c>
      <c r="P167" s="55" t="s">
        <v>992</v>
      </c>
      <c r="Q167" s="50">
        <v>2003.0</v>
      </c>
      <c r="R167" s="50">
        <v>1260.0</v>
      </c>
      <c r="S167" s="50"/>
      <c r="T167" s="56" t="s">
        <v>1048</v>
      </c>
      <c r="U167" s="53" t="s">
        <v>370</v>
      </c>
    </row>
    <row r="168">
      <c r="A168" s="54" t="s">
        <v>1049</v>
      </c>
      <c r="B168" s="50" t="s">
        <v>1050</v>
      </c>
      <c r="C168" s="51" t="s">
        <v>367</v>
      </c>
      <c r="D168" s="51"/>
      <c r="E168" s="51"/>
      <c r="F168" s="51"/>
      <c r="G168" s="50" t="s">
        <v>1051</v>
      </c>
      <c r="H168" s="52">
        <v>44683.45762731481</v>
      </c>
      <c r="I168" s="50"/>
      <c r="J168" s="50"/>
      <c r="K168" s="50"/>
      <c r="L168" s="50"/>
      <c r="M168" s="50" t="s">
        <v>1052</v>
      </c>
      <c r="N168" s="50"/>
      <c r="O168" s="53" t="s">
        <v>92</v>
      </c>
      <c r="P168" s="55" t="s">
        <v>1053</v>
      </c>
      <c r="Q168" s="50">
        <v>2860.0</v>
      </c>
      <c r="R168" s="50">
        <v>2149.0</v>
      </c>
      <c r="S168" s="50" t="s">
        <v>1054</v>
      </c>
      <c r="T168" s="56" t="s">
        <v>1055</v>
      </c>
      <c r="U168" s="53" t="s">
        <v>370</v>
      </c>
    </row>
    <row r="169">
      <c r="A169" s="54" t="s">
        <v>1056</v>
      </c>
      <c r="B169" s="50" t="s">
        <v>942</v>
      </c>
      <c r="C169" s="51" t="s">
        <v>363</v>
      </c>
      <c r="D169" s="51"/>
      <c r="E169" s="51"/>
      <c r="F169" s="51"/>
      <c r="G169" s="50" t="s">
        <v>1057</v>
      </c>
      <c r="H169" s="52">
        <v>44683.45751157407</v>
      </c>
      <c r="I169" s="50"/>
      <c r="J169" s="50"/>
      <c r="K169" s="50"/>
      <c r="L169" s="50"/>
      <c r="M169" s="50" t="s">
        <v>944</v>
      </c>
      <c r="N169" s="50"/>
      <c r="O169" s="53" t="s">
        <v>70</v>
      </c>
      <c r="P169" s="55" t="s">
        <v>945</v>
      </c>
      <c r="Q169" s="50">
        <v>105.0</v>
      </c>
      <c r="R169" s="50">
        <v>61.0</v>
      </c>
      <c r="S169" s="50"/>
      <c r="T169" s="56" t="s">
        <v>1058</v>
      </c>
      <c r="U169" s="53" t="s">
        <v>332</v>
      </c>
    </row>
    <row r="170">
      <c r="A170" s="54" t="s">
        <v>1059</v>
      </c>
      <c r="B170" s="50" t="s">
        <v>1060</v>
      </c>
      <c r="C170" s="51" t="s">
        <v>396</v>
      </c>
      <c r="D170" s="51"/>
      <c r="E170" s="51"/>
      <c r="F170" s="51"/>
      <c r="G170" s="50" t="s">
        <v>1061</v>
      </c>
      <c r="H170" s="52">
        <v>44683.45747685185</v>
      </c>
      <c r="I170" s="50"/>
      <c r="J170" s="50"/>
      <c r="K170" s="50"/>
      <c r="L170" s="50"/>
      <c r="M170" s="50" t="s">
        <v>1062</v>
      </c>
      <c r="N170" s="50"/>
      <c r="O170" s="53" t="s">
        <v>70</v>
      </c>
      <c r="P170" s="55" t="s">
        <v>1063</v>
      </c>
      <c r="Q170" s="50">
        <v>712.0</v>
      </c>
      <c r="R170" s="50">
        <v>1486.0</v>
      </c>
      <c r="S170" s="50" t="s">
        <v>1064</v>
      </c>
      <c r="T170" s="56" t="s">
        <v>1065</v>
      </c>
      <c r="U170" s="53" t="s">
        <v>402</v>
      </c>
    </row>
    <row r="171">
      <c r="A171" s="54" t="s">
        <v>1066</v>
      </c>
      <c r="B171" s="50" t="s">
        <v>1067</v>
      </c>
      <c r="C171" s="51" t="s">
        <v>367</v>
      </c>
      <c r="D171" s="51"/>
      <c r="E171" s="51"/>
      <c r="F171" s="51"/>
      <c r="G171" s="50" t="s">
        <v>1068</v>
      </c>
      <c r="H171" s="52">
        <v>44683.457280092596</v>
      </c>
      <c r="I171" s="50"/>
      <c r="J171" s="50"/>
      <c r="K171" s="50"/>
      <c r="L171" s="50"/>
      <c r="M171" s="50" t="s">
        <v>1069</v>
      </c>
      <c r="N171" s="50"/>
      <c r="O171" s="53" t="s">
        <v>1070</v>
      </c>
      <c r="P171" s="55" t="s">
        <v>1071</v>
      </c>
      <c r="Q171" s="50">
        <v>276.0</v>
      </c>
      <c r="R171" s="50">
        <v>224.0</v>
      </c>
      <c r="S171" s="50" t="s">
        <v>1072</v>
      </c>
      <c r="T171" s="56" t="s">
        <v>1073</v>
      </c>
      <c r="U171" s="53" t="s">
        <v>370</v>
      </c>
    </row>
    <row r="172">
      <c r="A172" s="54" t="s">
        <v>1074</v>
      </c>
      <c r="B172" s="50" t="s">
        <v>877</v>
      </c>
      <c r="C172" s="51" t="s">
        <v>363</v>
      </c>
      <c r="D172" s="51"/>
      <c r="E172" s="51"/>
      <c r="F172" s="51"/>
      <c r="G172" s="50" t="s">
        <v>1075</v>
      </c>
      <c r="H172" s="52">
        <v>44683.45725694444</v>
      </c>
      <c r="I172" s="50"/>
      <c r="J172" s="50"/>
      <c r="K172" s="50"/>
      <c r="L172" s="50"/>
      <c r="M172" s="50" t="s">
        <v>879</v>
      </c>
      <c r="N172" s="50"/>
      <c r="O172" s="53" t="s">
        <v>92</v>
      </c>
      <c r="P172" s="55" t="s">
        <v>880</v>
      </c>
      <c r="Q172" s="50">
        <v>1175.0</v>
      </c>
      <c r="R172" s="50">
        <v>4994.0</v>
      </c>
      <c r="S172" s="50"/>
      <c r="T172" s="56" t="s">
        <v>1076</v>
      </c>
      <c r="U172" s="53" t="s">
        <v>332</v>
      </c>
    </row>
    <row r="173">
      <c r="A173" s="54" t="s">
        <v>1077</v>
      </c>
      <c r="B173" s="50" t="s">
        <v>942</v>
      </c>
      <c r="C173" s="51" t="s">
        <v>367</v>
      </c>
      <c r="D173" s="51"/>
      <c r="E173" s="51"/>
      <c r="F173" s="51"/>
      <c r="G173" s="50" t="s">
        <v>1078</v>
      </c>
      <c r="H173" s="52">
        <v>44683.45722222222</v>
      </c>
      <c r="I173" s="50"/>
      <c r="J173" s="50"/>
      <c r="K173" s="50"/>
      <c r="L173" s="50"/>
      <c r="M173" s="50" t="s">
        <v>944</v>
      </c>
      <c r="N173" s="50"/>
      <c r="O173" s="53" t="s">
        <v>70</v>
      </c>
      <c r="P173" s="55" t="s">
        <v>945</v>
      </c>
      <c r="Q173" s="50">
        <v>105.0</v>
      </c>
      <c r="R173" s="50">
        <v>61.0</v>
      </c>
      <c r="S173" s="50"/>
      <c r="T173" s="56" t="s">
        <v>1079</v>
      </c>
      <c r="U173" s="53" t="s">
        <v>370</v>
      </c>
    </row>
    <row r="174">
      <c r="A174" s="54" t="s">
        <v>1080</v>
      </c>
      <c r="B174" s="50" t="s">
        <v>1081</v>
      </c>
      <c r="C174" s="51" t="s">
        <v>396</v>
      </c>
      <c r="D174" s="51"/>
      <c r="E174" s="51"/>
      <c r="F174" s="51"/>
      <c r="G174" s="50" t="s">
        <v>1078</v>
      </c>
      <c r="H174" s="52">
        <v>44683.45722222222</v>
      </c>
      <c r="I174" s="50"/>
      <c r="J174" s="50"/>
      <c r="K174" s="50"/>
      <c r="L174" s="50"/>
      <c r="M174" s="50" t="s">
        <v>1082</v>
      </c>
      <c r="N174" s="50"/>
      <c r="O174" s="53" t="s">
        <v>60</v>
      </c>
      <c r="P174" s="55" t="s">
        <v>1083</v>
      </c>
      <c r="Q174" s="50">
        <v>25683.0</v>
      </c>
      <c r="R174" s="50">
        <v>16304.0</v>
      </c>
      <c r="S174" s="50" t="s">
        <v>1084</v>
      </c>
      <c r="T174" s="56" t="s">
        <v>1085</v>
      </c>
      <c r="U174" s="53" t="s">
        <v>402</v>
      </c>
    </row>
    <row r="175">
      <c r="A175" s="54" t="s">
        <v>1086</v>
      </c>
      <c r="B175" s="50" t="s">
        <v>877</v>
      </c>
      <c r="C175" s="51" t="s">
        <v>367</v>
      </c>
      <c r="D175" s="51"/>
      <c r="E175" s="51"/>
      <c r="F175" s="51"/>
      <c r="G175" s="50" t="s">
        <v>1087</v>
      </c>
      <c r="H175" s="52">
        <v>44683.457141203704</v>
      </c>
      <c r="I175" s="50"/>
      <c r="J175" s="50"/>
      <c r="K175" s="50"/>
      <c r="L175" s="50"/>
      <c r="M175" s="50" t="s">
        <v>879</v>
      </c>
      <c r="N175" s="50"/>
      <c r="O175" s="53" t="s">
        <v>92</v>
      </c>
      <c r="P175" s="55" t="s">
        <v>880</v>
      </c>
      <c r="Q175" s="50">
        <v>1175.0</v>
      </c>
      <c r="R175" s="50">
        <v>4994.0</v>
      </c>
      <c r="S175" s="50"/>
      <c r="T175" s="56" t="s">
        <v>1088</v>
      </c>
      <c r="U175" s="53" t="s">
        <v>370</v>
      </c>
    </row>
    <row r="176">
      <c r="A176" s="54" t="s">
        <v>1089</v>
      </c>
      <c r="B176" s="50" t="s">
        <v>1090</v>
      </c>
      <c r="C176" s="51" t="s">
        <v>335</v>
      </c>
      <c r="D176" s="51"/>
      <c r="E176" s="51"/>
      <c r="F176" s="51"/>
      <c r="G176" s="50" t="s">
        <v>1091</v>
      </c>
      <c r="H176" s="52">
        <v>44683.45707175926</v>
      </c>
      <c r="I176" s="50"/>
      <c r="J176" s="50"/>
      <c r="K176" s="50"/>
      <c r="L176" s="50"/>
      <c r="M176" s="50" t="s">
        <v>1092</v>
      </c>
      <c r="N176" s="50"/>
      <c r="O176" s="53" t="s">
        <v>70</v>
      </c>
      <c r="P176" s="55" t="s">
        <v>1093</v>
      </c>
      <c r="Q176" s="50">
        <v>31.0</v>
      </c>
      <c r="R176" s="50">
        <v>300.0</v>
      </c>
      <c r="S176" s="50"/>
      <c r="T176" s="56" t="s">
        <v>1094</v>
      </c>
      <c r="U176" s="53" t="s">
        <v>339</v>
      </c>
    </row>
    <row r="177">
      <c r="A177" s="54" t="s">
        <v>1095</v>
      </c>
      <c r="B177" s="50" t="s">
        <v>1096</v>
      </c>
      <c r="C177" s="51" t="s">
        <v>367</v>
      </c>
      <c r="D177" s="51"/>
      <c r="E177" s="51"/>
      <c r="F177" s="51"/>
      <c r="G177" s="50" t="s">
        <v>1097</v>
      </c>
      <c r="H177" s="52">
        <v>44683.457037037035</v>
      </c>
      <c r="I177" s="50"/>
      <c r="J177" s="50"/>
      <c r="K177" s="50"/>
      <c r="L177" s="50"/>
      <c r="M177" s="50" t="s">
        <v>1098</v>
      </c>
      <c r="N177" s="50"/>
      <c r="O177" s="53" t="s">
        <v>92</v>
      </c>
      <c r="P177" s="55" t="s">
        <v>1099</v>
      </c>
      <c r="Q177" s="50">
        <v>466.0</v>
      </c>
      <c r="R177" s="50">
        <v>887.0</v>
      </c>
      <c r="S177" s="50" t="s">
        <v>1100</v>
      </c>
      <c r="T177" s="56" t="s">
        <v>1101</v>
      </c>
      <c r="U177" s="53" t="s">
        <v>370</v>
      </c>
    </row>
    <row r="178">
      <c r="A178" s="54" t="s">
        <v>1102</v>
      </c>
      <c r="B178" s="50" t="s">
        <v>1103</v>
      </c>
      <c r="C178" s="51" t="s">
        <v>329</v>
      </c>
      <c r="D178" s="51"/>
      <c r="E178" s="51"/>
      <c r="F178" s="51"/>
      <c r="G178" s="50" t="s">
        <v>1104</v>
      </c>
      <c r="H178" s="52">
        <v>44683.457025462965</v>
      </c>
      <c r="I178" s="50"/>
      <c r="J178" s="50"/>
      <c r="K178" s="50"/>
      <c r="L178" s="50"/>
      <c r="M178" s="50" t="s">
        <v>1105</v>
      </c>
      <c r="N178" s="50"/>
      <c r="O178" s="53" t="s">
        <v>217</v>
      </c>
      <c r="P178" s="55" t="s">
        <v>1106</v>
      </c>
      <c r="Q178" s="50">
        <v>820.0</v>
      </c>
      <c r="R178" s="50">
        <v>1821.0</v>
      </c>
      <c r="S178" s="50" t="s">
        <v>1107</v>
      </c>
      <c r="T178" s="56" t="s">
        <v>1108</v>
      </c>
      <c r="U178" s="53" t="s">
        <v>332</v>
      </c>
    </row>
    <row r="179">
      <c r="A179" s="54" t="s">
        <v>1109</v>
      </c>
      <c r="B179" s="50" t="s">
        <v>1090</v>
      </c>
      <c r="C179" s="51" t="s">
        <v>363</v>
      </c>
      <c r="D179" s="51"/>
      <c r="E179" s="51"/>
      <c r="F179" s="51"/>
      <c r="G179" s="50" t="s">
        <v>1110</v>
      </c>
      <c r="H179" s="52">
        <v>44683.45689814815</v>
      </c>
      <c r="I179" s="50"/>
      <c r="J179" s="50"/>
      <c r="K179" s="50"/>
      <c r="L179" s="50"/>
      <c r="M179" s="50" t="s">
        <v>1092</v>
      </c>
      <c r="N179" s="50"/>
      <c r="O179" s="53" t="s">
        <v>70</v>
      </c>
      <c r="P179" s="55" t="s">
        <v>1093</v>
      </c>
      <c r="Q179" s="50">
        <v>31.0</v>
      </c>
      <c r="R179" s="50">
        <v>300.0</v>
      </c>
      <c r="S179" s="50"/>
      <c r="T179" s="56" t="s">
        <v>1111</v>
      </c>
      <c r="U179" s="53" t="s">
        <v>332</v>
      </c>
    </row>
    <row r="180">
      <c r="A180" s="54" t="s">
        <v>1112</v>
      </c>
      <c r="B180" s="50" t="s">
        <v>1113</v>
      </c>
      <c r="C180" s="51" t="s">
        <v>1114</v>
      </c>
      <c r="D180" s="51"/>
      <c r="E180" s="51"/>
      <c r="F180" s="51"/>
      <c r="G180" s="50" t="s">
        <v>1115</v>
      </c>
      <c r="H180" s="52">
        <v>44683.45680555556</v>
      </c>
      <c r="I180" s="50"/>
      <c r="J180" s="50"/>
      <c r="K180" s="50" t="s">
        <v>1116</v>
      </c>
      <c r="L180" s="50" t="s">
        <v>1117</v>
      </c>
      <c r="M180" s="50" t="s">
        <v>1118</v>
      </c>
      <c r="N180" s="50" t="s">
        <v>1119</v>
      </c>
      <c r="O180" s="53" t="s">
        <v>70</v>
      </c>
      <c r="P180" s="55" t="s">
        <v>1120</v>
      </c>
      <c r="Q180" s="50">
        <v>6620.0</v>
      </c>
      <c r="R180" s="50">
        <v>7214.0</v>
      </c>
      <c r="S180" s="50" t="s">
        <v>1121</v>
      </c>
      <c r="T180" s="56" t="s">
        <v>1122</v>
      </c>
      <c r="U180" s="53" t="s">
        <v>1123</v>
      </c>
    </row>
    <row r="181">
      <c r="A181" s="54" t="s">
        <v>1124</v>
      </c>
      <c r="B181" s="50" t="s">
        <v>1090</v>
      </c>
      <c r="C181" s="51" t="s">
        <v>367</v>
      </c>
      <c r="D181" s="51"/>
      <c r="E181" s="51"/>
      <c r="F181" s="51"/>
      <c r="G181" s="50" t="s">
        <v>1125</v>
      </c>
      <c r="H181" s="52">
        <v>44683.456782407404</v>
      </c>
      <c r="I181" s="50"/>
      <c r="J181" s="50"/>
      <c r="K181" s="50"/>
      <c r="L181" s="50"/>
      <c r="M181" s="50" t="s">
        <v>1092</v>
      </c>
      <c r="N181" s="50"/>
      <c r="O181" s="53" t="s">
        <v>70</v>
      </c>
      <c r="P181" s="55" t="s">
        <v>1093</v>
      </c>
      <c r="Q181" s="50">
        <v>31.0</v>
      </c>
      <c r="R181" s="50">
        <v>300.0</v>
      </c>
      <c r="S181" s="50"/>
      <c r="T181" s="56" t="s">
        <v>1126</v>
      </c>
      <c r="U181" s="53" t="s">
        <v>370</v>
      </c>
    </row>
    <row r="182">
      <c r="A182" s="54" t="s">
        <v>1127</v>
      </c>
      <c r="B182" s="50" t="s">
        <v>1128</v>
      </c>
      <c r="C182" s="51" t="s">
        <v>367</v>
      </c>
      <c r="D182" s="51"/>
      <c r="E182" s="51"/>
      <c r="F182" s="51"/>
      <c r="G182" s="50" t="s">
        <v>1129</v>
      </c>
      <c r="H182" s="52">
        <v>44683.45658564815</v>
      </c>
      <c r="I182" s="50"/>
      <c r="J182" s="50"/>
      <c r="K182" s="50"/>
      <c r="L182" s="50"/>
      <c r="M182" s="50" t="s">
        <v>1130</v>
      </c>
      <c r="N182" s="50"/>
      <c r="O182" s="53" t="s">
        <v>70</v>
      </c>
      <c r="P182" s="55" t="s">
        <v>1131</v>
      </c>
      <c r="Q182" s="50">
        <v>18.0</v>
      </c>
      <c r="R182" s="50">
        <v>186.0</v>
      </c>
      <c r="S182" s="50" t="s">
        <v>1132</v>
      </c>
      <c r="T182" s="56" t="s">
        <v>1133</v>
      </c>
      <c r="U182" s="53" t="s">
        <v>370</v>
      </c>
    </row>
    <row r="183">
      <c r="A183" s="54" t="s">
        <v>1134</v>
      </c>
      <c r="B183" s="50" t="s">
        <v>1135</v>
      </c>
      <c r="C183" s="51" t="s">
        <v>329</v>
      </c>
      <c r="D183" s="51"/>
      <c r="E183" s="51"/>
      <c r="F183" s="51"/>
      <c r="G183" s="50" t="s">
        <v>1136</v>
      </c>
      <c r="H183" s="52">
        <v>44683.45653935186</v>
      </c>
      <c r="I183" s="50"/>
      <c r="J183" s="50"/>
      <c r="K183" s="50"/>
      <c r="L183" s="50"/>
      <c r="M183" s="50" t="s">
        <v>1137</v>
      </c>
      <c r="N183" s="50"/>
      <c r="O183" s="53" t="s">
        <v>60</v>
      </c>
      <c r="P183" s="55" t="s">
        <v>1138</v>
      </c>
      <c r="Q183" s="50">
        <v>28633.0</v>
      </c>
      <c r="R183" s="50">
        <v>2747.0</v>
      </c>
      <c r="S183" s="50" t="s">
        <v>1139</v>
      </c>
      <c r="T183" s="56" t="s">
        <v>1140</v>
      </c>
      <c r="U183" s="53" t="s">
        <v>332</v>
      </c>
    </row>
    <row r="184">
      <c r="A184" s="54" t="s">
        <v>1141</v>
      </c>
      <c r="B184" s="50" t="s">
        <v>1142</v>
      </c>
      <c r="C184" s="51" t="s">
        <v>367</v>
      </c>
      <c r="D184" s="51"/>
      <c r="E184" s="51"/>
      <c r="F184" s="51"/>
      <c r="G184" s="50" t="s">
        <v>1143</v>
      </c>
      <c r="H184" s="52">
        <v>44683.45652777777</v>
      </c>
      <c r="I184" s="50"/>
      <c r="J184" s="50"/>
      <c r="K184" s="50"/>
      <c r="L184" s="50"/>
      <c r="M184" s="50" t="s">
        <v>1144</v>
      </c>
      <c r="N184" s="50"/>
      <c r="O184" s="53" t="s">
        <v>92</v>
      </c>
      <c r="P184" s="55" t="s">
        <v>1145</v>
      </c>
      <c r="Q184" s="50">
        <v>152117.0</v>
      </c>
      <c r="R184" s="50">
        <v>1063.0</v>
      </c>
      <c r="S184" s="50" t="s">
        <v>1146</v>
      </c>
      <c r="T184" s="56" t="s">
        <v>1147</v>
      </c>
      <c r="U184" s="53" t="s">
        <v>370</v>
      </c>
    </row>
    <row r="185">
      <c r="A185" s="54" t="s">
        <v>1148</v>
      </c>
      <c r="B185" s="50" t="s">
        <v>1149</v>
      </c>
      <c r="C185" s="51" t="s">
        <v>367</v>
      </c>
      <c r="D185" s="51"/>
      <c r="E185" s="51"/>
      <c r="F185" s="51"/>
      <c r="G185" s="50" t="s">
        <v>1150</v>
      </c>
      <c r="H185" s="52">
        <v>44683.456458333334</v>
      </c>
      <c r="I185" s="50"/>
      <c r="J185" s="50"/>
      <c r="K185" s="50"/>
      <c r="L185" s="50"/>
      <c r="M185" s="50" t="s">
        <v>1151</v>
      </c>
      <c r="N185" s="50"/>
      <c r="O185" s="53" t="s">
        <v>60</v>
      </c>
      <c r="P185" s="55" t="s">
        <v>1152</v>
      </c>
      <c r="Q185" s="50">
        <v>832.0</v>
      </c>
      <c r="R185" s="50">
        <v>660.0</v>
      </c>
      <c r="S185" s="50" t="s">
        <v>1153</v>
      </c>
      <c r="T185" s="56" t="s">
        <v>1154</v>
      </c>
      <c r="U185" s="53" t="s">
        <v>370</v>
      </c>
    </row>
    <row r="186">
      <c r="A186" s="54" t="s">
        <v>1155</v>
      </c>
      <c r="B186" s="50" t="s">
        <v>1156</v>
      </c>
      <c r="C186" s="51" t="s">
        <v>367</v>
      </c>
      <c r="D186" s="51"/>
      <c r="E186" s="51"/>
      <c r="F186" s="51"/>
      <c r="G186" s="50" t="s">
        <v>1157</v>
      </c>
      <c r="H186" s="52">
        <v>44683.45638888889</v>
      </c>
      <c r="I186" s="50"/>
      <c r="J186" s="50"/>
      <c r="K186" s="50"/>
      <c r="L186" s="50"/>
      <c r="M186" s="50" t="s">
        <v>1158</v>
      </c>
      <c r="N186" s="50"/>
      <c r="O186" s="53" t="s">
        <v>70</v>
      </c>
      <c r="P186" s="55" t="s">
        <v>354</v>
      </c>
      <c r="Q186" s="50">
        <v>1780.0</v>
      </c>
      <c r="R186" s="50">
        <v>4988.0</v>
      </c>
      <c r="S186" s="50"/>
      <c r="T186" s="56" t="s">
        <v>1159</v>
      </c>
      <c r="U186" s="53" t="s">
        <v>370</v>
      </c>
    </row>
    <row r="187">
      <c r="A187" s="54" t="s">
        <v>1160</v>
      </c>
      <c r="B187" s="50" t="s">
        <v>1161</v>
      </c>
      <c r="C187" s="51" t="s">
        <v>1162</v>
      </c>
      <c r="D187" s="51"/>
      <c r="E187" s="51"/>
      <c r="F187" s="51"/>
      <c r="G187" s="50" t="s">
        <v>1163</v>
      </c>
      <c r="H187" s="52">
        <v>44683.4561574074</v>
      </c>
      <c r="I187" s="50"/>
      <c r="J187" s="50"/>
      <c r="K187" s="50" t="s">
        <v>1164</v>
      </c>
      <c r="L187" s="50" t="s">
        <v>1165</v>
      </c>
      <c r="M187" s="50" t="s">
        <v>1166</v>
      </c>
      <c r="N187" s="50" t="s">
        <v>1167</v>
      </c>
      <c r="O187" s="53" t="s">
        <v>60</v>
      </c>
      <c r="P187" s="55" t="s">
        <v>354</v>
      </c>
      <c r="Q187" s="50">
        <v>183.0</v>
      </c>
      <c r="R187" s="50">
        <v>1029.0</v>
      </c>
      <c r="S187" s="50" t="s">
        <v>1168</v>
      </c>
      <c r="T187" s="56" t="s">
        <v>1169</v>
      </c>
      <c r="U187" s="53" t="s">
        <v>1170</v>
      </c>
    </row>
    <row r="188">
      <c r="A188" s="54" t="s">
        <v>1171</v>
      </c>
      <c r="B188" s="50" t="s">
        <v>1172</v>
      </c>
      <c r="C188" s="51" t="s">
        <v>363</v>
      </c>
      <c r="D188" s="51"/>
      <c r="E188" s="51"/>
      <c r="F188" s="51"/>
      <c r="G188" s="50" t="s">
        <v>1163</v>
      </c>
      <c r="H188" s="52">
        <v>44683.4561574074</v>
      </c>
      <c r="I188" s="50"/>
      <c r="J188" s="50"/>
      <c r="K188" s="50"/>
      <c r="L188" s="50"/>
      <c r="M188" s="50" t="s">
        <v>1173</v>
      </c>
      <c r="N188" s="50"/>
      <c r="O188" s="53" t="s">
        <v>70</v>
      </c>
      <c r="P188" s="55" t="s">
        <v>1174</v>
      </c>
      <c r="Q188" s="50">
        <v>449.0</v>
      </c>
      <c r="R188" s="50">
        <v>1273.0</v>
      </c>
      <c r="S188" s="50" t="s">
        <v>1175</v>
      </c>
      <c r="T188" s="56" t="s">
        <v>1176</v>
      </c>
      <c r="U188" s="53" t="s">
        <v>332</v>
      </c>
    </row>
    <row r="189">
      <c r="A189" s="54" t="s">
        <v>1177</v>
      </c>
      <c r="B189" s="50" t="s">
        <v>1172</v>
      </c>
      <c r="C189" s="51" t="s">
        <v>367</v>
      </c>
      <c r="D189" s="51"/>
      <c r="E189" s="51"/>
      <c r="F189" s="51"/>
      <c r="G189" s="50" t="s">
        <v>1178</v>
      </c>
      <c r="H189" s="52">
        <v>44683.45609953704</v>
      </c>
      <c r="I189" s="50"/>
      <c r="J189" s="50"/>
      <c r="K189" s="50"/>
      <c r="L189" s="50"/>
      <c r="M189" s="50" t="s">
        <v>1173</v>
      </c>
      <c r="N189" s="50"/>
      <c r="O189" s="53" t="s">
        <v>70</v>
      </c>
      <c r="P189" s="55" t="s">
        <v>1174</v>
      </c>
      <c r="Q189" s="50">
        <v>449.0</v>
      </c>
      <c r="R189" s="50">
        <v>1273.0</v>
      </c>
      <c r="S189" s="50" t="s">
        <v>1175</v>
      </c>
      <c r="T189" s="56" t="s">
        <v>1179</v>
      </c>
      <c r="U189" s="53" t="s">
        <v>370</v>
      </c>
    </row>
    <row r="190">
      <c r="A190" s="54" t="s">
        <v>1180</v>
      </c>
      <c r="B190" s="50" t="s">
        <v>1181</v>
      </c>
      <c r="C190" s="51" t="s">
        <v>367</v>
      </c>
      <c r="D190" s="51"/>
      <c r="E190" s="51"/>
      <c r="F190" s="51"/>
      <c r="G190" s="50" t="s">
        <v>1182</v>
      </c>
      <c r="H190" s="52">
        <v>44683.45599537037</v>
      </c>
      <c r="I190" s="50"/>
      <c r="J190" s="50"/>
      <c r="K190" s="50"/>
      <c r="L190" s="50"/>
      <c r="M190" s="50" t="s">
        <v>1183</v>
      </c>
      <c r="N190" s="50"/>
      <c r="O190" s="53" t="s">
        <v>92</v>
      </c>
      <c r="P190" s="55" t="s">
        <v>1184</v>
      </c>
      <c r="Q190" s="50">
        <v>62718.0</v>
      </c>
      <c r="R190" s="50">
        <v>954.0</v>
      </c>
      <c r="S190" s="50" t="s">
        <v>1185</v>
      </c>
      <c r="T190" s="56" t="s">
        <v>1186</v>
      </c>
      <c r="U190" s="53" t="s">
        <v>370</v>
      </c>
    </row>
    <row r="191">
      <c r="A191" s="54" t="s">
        <v>1187</v>
      </c>
      <c r="B191" s="50" t="s">
        <v>1188</v>
      </c>
      <c r="C191" s="51" t="s">
        <v>505</v>
      </c>
      <c r="D191" s="51"/>
      <c r="E191" s="51"/>
      <c r="F191" s="51"/>
      <c r="G191" s="50" t="s">
        <v>1189</v>
      </c>
      <c r="H191" s="52">
        <v>44683.45587962963</v>
      </c>
      <c r="I191" s="50"/>
      <c r="J191" s="50"/>
      <c r="K191" s="50"/>
      <c r="L191" s="50"/>
      <c r="M191" s="50" t="s">
        <v>1190</v>
      </c>
      <c r="N191" s="50"/>
      <c r="O191" s="53" t="s">
        <v>70</v>
      </c>
      <c r="P191" s="55" t="s">
        <v>1191</v>
      </c>
      <c r="Q191" s="50">
        <v>118.0</v>
      </c>
      <c r="R191" s="50">
        <v>1120.0</v>
      </c>
      <c r="S191" s="50" t="s">
        <v>805</v>
      </c>
      <c r="T191" s="56" t="s">
        <v>1192</v>
      </c>
      <c r="U191" s="53" t="s">
        <v>511</v>
      </c>
    </row>
    <row r="192">
      <c r="A192" s="54" t="s">
        <v>1193</v>
      </c>
      <c r="B192" s="50" t="s">
        <v>1194</v>
      </c>
      <c r="C192" s="51" t="s">
        <v>1195</v>
      </c>
      <c r="D192" s="51"/>
      <c r="E192" s="51"/>
      <c r="F192" s="51"/>
      <c r="G192" s="50" t="s">
        <v>1196</v>
      </c>
      <c r="H192" s="52">
        <v>44683.45570601852</v>
      </c>
      <c r="I192" s="50"/>
      <c r="J192" s="50"/>
      <c r="K192" s="50"/>
      <c r="L192" s="50"/>
      <c r="M192" s="50" t="s">
        <v>1197</v>
      </c>
      <c r="N192" s="50"/>
      <c r="O192" s="53" t="s">
        <v>70</v>
      </c>
      <c r="P192" s="55" t="s">
        <v>1198</v>
      </c>
      <c r="Q192" s="50">
        <v>392.0</v>
      </c>
      <c r="R192" s="50">
        <v>398.0</v>
      </c>
      <c r="S192" s="50"/>
      <c r="T192" s="56" t="s">
        <v>1199</v>
      </c>
      <c r="U192" s="53" t="s">
        <v>691</v>
      </c>
    </row>
    <row r="193">
      <c r="A193" s="54" t="s">
        <v>1200</v>
      </c>
      <c r="B193" s="50" t="s">
        <v>1201</v>
      </c>
      <c r="C193" s="51" t="s">
        <v>367</v>
      </c>
      <c r="D193" s="51"/>
      <c r="E193" s="51"/>
      <c r="F193" s="51"/>
      <c r="G193" s="50" t="s">
        <v>1202</v>
      </c>
      <c r="H193" s="52">
        <v>44683.4555787037</v>
      </c>
      <c r="I193" s="50"/>
      <c r="J193" s="50"/>
      <c r="K193" s="50"/>
      <c r="L193" s="50"/>
      <c r="M193" s="50" t="s">
        <v>1203</v>
      </c>
      <c r="N193" s="50"/>
      <c r="O193" s="53" t="s">
        <v>70</v>
      </c>
      <c r="P193" s="55" t="s">
        <v>1204</v>
      </c>
      <c r="Q193" s="50">
        <v>26.0</v>
      </c>
      <c r="R193" s="50">
        <v>103.0</v>
      </c>
      <c r="S193" s="50" t="s">
        <v>1205</v>
      </c>
      <c r="T193" s="56" t="s">
        <v>1206</v>
      </c>
      <c r="U193" s="53" t="s">
        <v>370</v>
      </c>
    </row>
    <row r="194">
      <c r="A194" s="54" t="s">
        <v>1207</v>
      </c>
      <c r="B194" s="50" t="s">
        <v>1208</v>
      </c>
      <c r="C194" s="51" t="s">
        <v>1209</v>
      </c>
      <c r="D194" s="51"/>
      <c r="E194" s="51"/>
      <c r="F194" s="51"/>
      <c r="G194" s="50" t="s">
        <v>1210</v>
      </c>
      <c r="H194" s="52">
        <v>44683.455416666664</v>
      </c>
      <c r="I194" s="50"/>
      <c r="J194" s="50"/>
      <c r="K194" s="50"/>
      <c r="L194" s="50"/>
      <c r="M194" s="50" t="s">
        <v>1211</v>
      </c>
      <c r="N194" s="50"/>
      <c r="O194" s="53" t="s">
        <v>92</v>
      </c>
      <c r="P194" s="55" t="s">
        <v>1212</v>
      </c>
      <c r="Q194" s="50">
        <v>60.0</v>
      </c>
      <c r="R194" s="50">
        <v>409.0</v>
      </c>
      <c r="S194" s="50" t="s">
        <v>129</v>
      </c>
      <c r="T194" s="56" t="s">
        <v>1213</v>
      </c>
      <c r="U194" s="53" t="s">
        <v>1214</v>
      </c>
    </row>
    <row r="195">
      <c r="A195" s="54" t="s">
        <v>1215</v>
      </c>
      <c r="B195" s="50" t="s">
        <v>1216</v>
      </c>
      <c r="C195" s="51" t="s">
        <v>1217</v>
      </c>
      <c r="D195" s="51"/>
      <c r="E195" s="51"/>
      <c r="F195" s="51"/>
      <c r="G195" s="50" t="s">
        <v>1218</v>
      </c>
      <c r="H195" s="52">
        <v>44683.455312499995</v>
      </c>
      <c r="I195" s="50"/>
      <c r="J195" s="50"/>
      <c r="K195" s="50"/>
      <c r="L195" s="50"/>
      <c r="M195" s="50" t="s">
        <v>1219</v>
      </c>
      <c r="N195" s="50"/>
      <c r="O195" s="53" t="s">
        <v>783</v>
      </c>
      <c r="P195" s="55" t="s">
        <v>1220</v>
      </c>
      <c r="Q195" s="50">
        <v>2915.0</v>
      </c>
      <c r="R195" s="50">
        <v>984.0</v>
      </c>
      <c r="S195" s="50" t="s">
        <v>1221</v>
      </c>
      <c r="T195" s="56" t="s">
        <v>1222</v>
      </c>
      <c r="U195" s="53" t="s">
        <v>1223</v>
      </c>
    </row>
    <row r="196">
      <c r="A196" s="54" t="s">
        <v>1224</v>
      </c>
      <c r="B196" s="50" t="s">
        <v>1225</v>
      </c>
      <c r="C196" s="51" t="s">
        <v>316</v>
      </c>
      <c r="D196" s="51"/>
      <c r="E196" s="51"/>
      <c r="F196" s="51"/>
      <c r="G196" s="50" t="s">
        <v>1226</v>
      </c>
      <c r="H196" s="52">
        <v>44683.45525462963</v>
      </c>
      <c r="I196" s="50"/>
      <c r="J196" s="50"/>
      <c r="K196" s="50"/>
      <c r="L196" s="50"/>
      <c r="M196" s="50" t="s">
        <v>1227</v>
      </c>
      <c r="N196" s="50"/>
      <c r="O196" s="53" t="s">
        <v>60</v>
      </c>
      <c r="P196" s="55" t="s">
        <v>1228</v>
      </c>
      <c r="Q196" s="50">
        <v>776.0</v>
      </c>
      <c r="R196" s="50">
        <v>883.0</v>
      </c>
      <c r="S196" s="50" t="s">
        <v>1229</v>
      </c>
      <c r="T196" s="56" t="s">
        <v>1230</v>
      </c>
      <c r="U196" s="53" t="s">
        <v>322</v>
      </c>
    </row>
    <row r="197">
      <c r="A197" s="54" t="s">
        <v>1231</v>
      </c>
      <c r="B197" s="50" t="s">
        <v>1225</v>
      </c>
      <c r="C197" s="51" t="s">
        <v>329</v>
      </c>
      <c r="D197" s="51"/>
      <c r="E197" s="51"/>
      <c r="F197" s="51"/>
      <c r="G197" s="50" t="s">
        <v>1232</v>
      </c>
      <c r="H197" s="52">
        <v>44683.45518518519</v>
      </c>
      <c r="I197" s="50"/>
      <c r="J197" s="50"/>
      <c r="K197" s="50"/>
      <c r="L197" s="50"/>
      <c r="M197" s="50" t="s">
        <v>1227</v>
      </c>
      <c r="N197" s="50"/>
      <c r="O197" s="53" t="s">
        <v>60</v>
      </c>
      <c r="P197" s="55" t="s">
        <v>1228</v>
      </c>
      <c r="Q197" s="50">
        <v>776.0</v>
      </c>
      <c r="R197" s="50">
        <v>883.0</v>
      </c>
      <c r="S197" s="50" t="s">
        <v>1229</v>
      </c>
      <c r="T197" s="56" t="s">
        <v>1233</v>
      </c>
      <c r="U197" s="53" t="s">
        <v>332</v>
      </c>
    </row>
    <row r="198">
      <c r="A198" s="54" t="s">
        <v>1234</v>
      </c>
      <c r="B198" s="50" t="s">
        <v>1235</v>
      </c>
      <c r="C198" s="51" t="s">
        <v>367</v>
      </c>
      <c r="D198" s="51"/>
      <c r="E198" s="51"/>
      <c r="F198" s="51"/>
      <c r="G198" s="50" t="s">
        <v>1236</v>
      </c>
      <c r="H198" s="52">
        <v>44683.45517361111</v>
      </c>
      <c r="I198" s="50"/>
      <c r="J198" s="50"/>
      <c r="K198" s="50"/>
      <c r="L198" s="50"/>
      <c r="M198" s="50" t="s">
        <v>1237</v>
      </c>
      <c r="N198" s="50"/>
      <c r="O198" s="53" t="s">
        <v>783</v>
      </c>
      <c r="P198" s="55" t="s">
        <v>1238</v>
      </c>
      <c r="Q198" s="50">
        <v>2499.0</v>
      </c>
      <c r="R198" s="50">
        <v>2199.0</v>
      </c>
      <c r="S198" s="50" t="s">
        <v>129</v>
      </c>
      <c r="T198" s="56" t="s">
        <v>1239</v>
      </c>
      <c r="U198" s="53" t="s">
        <v>370</v>
      </c>
    </row>
    <row r="199">
      <c r="A199" s="54" t="s">
        <v>1240</v>
      </c>
      <c r="B199" s="50" t="s">
        <v>1241</v>
      </c>
      <c r="C199" s="51" t="s">
        <v>1242</v>
      </c>
      <c r="D199" s="51"/>
      <c r="E199" s="51"/>
      <c r="F199" s="51"/>
      <c r="G199" s="50" t="s">
        <v>1243</v>
      </c>
      <c r="H199" s="52">
        <v>44683.455034722225</v>
      </c>
      <c r="I199" s="50"/>
      <c r="J199" s="50"/>
      <c r="K199" s="50"/>
      <c r="L199" s="50"/>
      <c r="M199" s="50" t="s">
        <v>1244</v>
      </c>
      <c r="N199" s="50"/>
      <c r="O199" s="53" t="s">
        <v>92</v>
      </c>
      <c r="P199" s="55" t="s">
        <v>1245</v>
      </c>
      <c r="Q199" s="50">
        <v>1555.0</v>
      </c>
      <c r="R199" s="50">
        <v>1418.0</v>
      </c>
      <c r="S199" s="50"/>
      <c r="T199" s="56" t="s">
        <v>1246</v>
      </c>
      <c r="U199" s="53" t="s">
        <v>1247</v>
      </c>
    </row>
    <row r="200">
      <c r="A200" s="54" t="s">
        <v>1248</v>
      </c>
      <c r="B200" s="50" t="s">
        <v>1249</v>
      </c>
      <c r="C200" s="51" t="s">
        <v>367</v>
      </c>
      <c r="D200" s="51"/>
      <c r="E200" s="51"/>
      <c r="F200" s="51"/>
      <c r="G200" s="50" t="s">
        <v>1243</v>
      </c>
      <c r="H200" s="52">
        <v>44683.455034722225</v>
      </c>
      <c r="I200" s="50"/>
      <c r="J200" s="50"/>
      <c r="K200" s="50"/>
      <c r="L200" s="50"/>
      <c r="M200" s="50" t="s">
        <v>1250</v>
      </c>
      <c r="N200" s="50"/>
      <c r="O200" s="53" t="s">
        <v>70</v>
      </c>
      <c r="P200" s="55" t="s">
        <v>1251</v>
      </c>
      <c r="Q200" s="50">
        <v>2532.0</v>
      </c>
      <c r="R200" s="50">
        <v>4990.0</v>
      </c>
      <c r="S200" s="50"/>
      <c r="T200" s="56" t="s">
        <v>1252</v>
      </c>
      <c r="U200" s="53" t="s">
        <v>370</v>
      </c>
    </row>
    <row r="201">
      <c r="A201" s="54" t="s">
        <v>1253</v>
      </c>
      <c r="B201" s="50" t="s">
        <v>1254</v>
      </c>
      <c r="C201" s="51" t="s">
        <v>367</v>
      </c>
      <c r="D201" s="51"/>
      <c r="E201" s="51"/>
      <c r="F201" s="51"/>
      <c r="G201" s="50" t="s">
        <v>1255</v>
      </c>
      <c r="H201" s="52">
        <v>44683.45502314815</v>
      </c>
      <c r="I201" s="50"/>
      <c r="J201" s="50"/>
      <c r="K201" s="50"/>
      <c r="L201" s="50"/>
      <c r="M201" s="50" t="s">
        <v>1256</v>
      </c>
      <c r="N201" s="50"/>
      <c r="O201" s="53" t="s">
        <v>70</v>
      </c>
      <c r="P201" s="55" t="s">
        <v>1257</v>
      </c>
      <c r="Q201" s="50">
        <v>187.0</v>
      </c>
      <c r="R201" s="50">
        <v>294.0</v>
      </c>
      <c r="S201" s="50" t="s">
        <v>1064</v>
      </c>
      <c r="T201" s="56" t="s">
        <v>1258</v>
      </c>
      <c r="U201" s="53" t="s">
        <v>370</v>
      </c>
    </row>
    <row r="202">
      <c r="A202" s="54" t="s">
        <v>1259</v>
      </c>
      <c r="B202" s="50" t="s">
        <v>1260</v>
      </c>
      <c r="C202" s="51" t="s">
        <v>367</v>
      </c>
      <c r="D202" s="51"/>
      <c r="E202" s="51"/>
      <c r="F202" s="51"/>
      <c r="G202" s="50" t="s">
        <v>1261</v>
      </c>
      <c r="H202" s="52">
        <v>44683.454930555556</v>
      </c>
      <c r="I202" s="50"/>
      <c r="J202" s="50"/>
      <c r="K202" s="50"/>
      <c r="L202" s="50"/>
      <c r="M202" s="50" t="s">
        <v>1262</v>
      </c>
      <c r="N202" s="50"/>
      <c r="O202" s="53" t="s">
        <v>60</v>
      </c>
      <c r="P202" s="55" t="s">
        <v>1263</v>
      </c>
      <c r="Q202" s="50">
        <v>194.0</v>
      </c>
      <c r="R202" s="50">
        <v>713.0</v>
      </c>
      <c r="S202" s="50" t="s">
        <v>1153</v>
      </c>
      <c r="T202" s="56" t="s">
        <v>1264</v>
      </c>
      <c r="U202" s="53" t="s">
        <v>370</v>
      </c>
    </row>
    <row r="203">
      <c r="A203" s="54" t="s">
        <v>1265</v>
      </c>
      <c r="B203" s="50" t="s">
        <v>1266</v>
      </c>
      <c r="C203" s="51" t="s">
        <v>1267</v>
      </c>
      <c r="D203" s="51"/>
      <c r="E203" s="51"/>
      <c r="F203" s="51"/>
      <c r="G203" s="50" t="s">
        <v>1268</v>
      </c>
      <c r="H203" s="52">
        <v>44683.4549074074</v>
      </c>
      <c r="I203" s="50"/>
      <c r="J203" s="50"/>
      <c r="K203" s="50"/>
      <c r="L203" s="50"/>
      <c r="M203" s="50" t="s">
        <v>1269</v>
      </c>
      <c r="N203" s="50"/>
      <c r="O203" s="53" t="s">
        <v>217</v>
      </c>
      <c r="P203" s="55" t="s">
        <v>1270</v>
      </c>
      <c r="Q203" s="50">
        <v>3484.0</v>
      </c>
      <c r="R203" s="50">
        <v>3225.0</v>
      </c>
      <c r="S203" s="50" t="s">
        <v>1271</v>
      </c>
      <c r="T203" s="56" t="s">
        <v>1272</v>
      </c>
      <c r="U203" s="53" t="s">
        <v>1273</v>
      </c>
    </row>
    <row r="204">
      <c r="A204" s="54" t="s">
        <v>1274</v>
      </c>
      <c r="B204" s="50" t="s">
        <v>1275</v>
      </c>
      <c r="C204" s="51" t="s">
        <v>316</v>
      </c>
      <c r="D204" s="51"/>
      <c r="E204" s="51"/>
      <c r="F204" s="51"/>
      <c r="G204" s="50" t="s">
        <v>1276</v>
      </c>
      <c r="H204" s="52">
        <v>44683.45475694444</v>
      </c>
      <c r="I204" s="50"/>
      <c r="J204" s="50"/>
      <c r="K204" s="50"/>
      <c r="L204" s="50"/>
      <c r="M204" s="50" t="s">
        <v>1277</v>
      </c>
      <c r="N204" s="50"/>
      <c r="O204" s="53" t="s">
        <v>92</v>
      </c>
      <c r="P204" s="55" t="s">
        <v>1278</v>
      </c>
      <c r="Q204" s="50">
        <v>7672.0</v>
      </c>
      <c r="R204" s="50">
        <v>7627.0</v>
      </c>
      <c r="S204" s="50"/>
      <c r="T204" s="56" t="s">
        <v>1279</v>
      </c>
      <c r="U204" s="53" t="s">
        <v>322</v>
      </c>
    </row>
    <row r="205">
      <c r="A205" s="54" t="s">
        <v>1280</v>
      </c>
      <c r="B205" s="50" t="s">
        <v>1281</v>
      </c>
      <c r="C205" s="51" t="s">
        <v>367</v>
      </c>
      <c r="D205" s="51"/>
      <c r="E205" s="51"/>
      <c r="F205" s="51"/>
      <c r="G205" s="50" t="s">
        <v>1282</v>
      </c>
      <c r="H205" s="52">
        <v>44683.45474537037</v>
      </c>
      <c r="I205" s="50"/>
      <c r="J205" s="50"/>
      <c r="K205" s="50"/>
      <c r="L205" s="50"/>
      <c r="M205" s="50" t="s">
        <v>1283</v>
      </c>
      <c r="N205" s="50"/>
      <c r="O205" s="53" t="s">
        <v>217</v>
      </c>
      <c r="P205" s="55" t="s">
        <v>1284</v>
      </c>
      <c r="Q205" s="50">
        <v>1062.0</v>
      </c>
      <c r="R205" s="50">
        <v>1838.0</v>
      </c>
      <c r="S205" s="50" t="s">
        <v>1285</v>
      </c>
      <c r="T205" s="56" t="s">
        <v>1286</v>
      </c>
      <c r="U205" s="53" t="s">
        <v>370</v>
      </c>
    </row>
    <row r="206">
      <c r="A206" s="54" t="s">
        <v>1287</v>
      </c>
      <c r="B206" s="50" t="s">
        <v>1208</v>
      </c>
      <c r="C206" s="51" t="s">
        <v>316</v>
      </c>
      <c r="D206" s="51"/>
      <c r="E206" s="51"/>
      <c r="F206" s="51"/>
      <c r="G206" s="50" t="s">
        <v>1288</v>
      </c>
      <c r="H206" s="52">
        <v>44683.454675925925</v>
      </c>
      <c r="I206" s="50"/>
      <c r="J206" s="50"/>
      <c r="K206" s="50"/>
      <c r="L206" s="50"/>
      <c r="M206" s="50" t="s">
        <v>1211</v>
      </c>
      <c r="N206" s="50"/>
      <c r="O206" s="53" t="s">
        <v>92</v>
      </c>
      <c r="P206" s="55" t="s">
        <v>1212</v>
      </c>
      <c r="Q206" s="50">
        <v>60.0</v>
      </c>
      <c r="R206" s="50">
        <v>409.0</v>
      </c>
      <c r="S206" s="50" t="s">
        <v>129</v>
      </c>
      <c r="T206" s="56" t="s">
        <v>1289</v>
      </c>
      <c r="U206" s="53" t="s">
        <v>322</v>
      </c>
    </row>
    <row r="207">
      <c r="A207" s="54" t="s">
        <v>1290</v>
      </c>
      <c r="B207" s="50" t="s">
        <v>1225</v>
      </c>
      <c r="C207" s="51" t="s">
        <v>363</v>
      </c>
      <c r="D207" s="51"/>
      <c r="E207" s="51"/>
      <c r="F207" s="51"/>
      <c r="G207" s="50" t="s">
        <v>1291</v>
      </c>
      <c r="H207" s="52">
        <v>44683.4546412037</v>
      </c>
      <c r="I207" s="50"/>
      <c r="J207" s="50"/>
      <c r="K207" s="50"/>
      <c r="L207" s="50"/>
      <c r="M207" s="50" t="s">
        <v>1227</v>
      </c>
      <c r="N207" s="50"/>
      <c r="O207" s="53" t="s">
        <v>60</v>
      </c>
      <c r="P207" s="55" t="s">
        <v>1228</v>
      </c>
      <c r="Q207" s="50">
        <v>776.0</v>
      </c>
      <c r="R207" s="50">
        <v>883.0</v>
      </c>
      <c r="S207" s="50" t="s">
        <v>1229</v>
      </c>
      <c r="T207" s="56" t="s">
        <v>1292</v>
      </c>
      <c r="U207" s="53" t="s">
        <v>332</v>
      </c>
    </row>
    <row r="208">
      <c r="A208" s="54" t="s">
        <v>1293</v>
      </c>
      <c r="B208" s="50" t="s">
        <v>1208</v>
      </c>
      <c r="C208" s="51" t="s">
        <v>329</v>
      </c>
      <c r="D208" s="51"/>
      <c r="E208" s="51"/>
      <c r="F208" s="51"/>
      <c r="G208" s="50" t="s">
        <v>1294</v>
      </c>
      <c r="H208" s="52">
        <v>44683.45459490741</v>
      </c>
      <c r="I208" s="50"/>
      <c r="J208" s="50"/>
      <c r="K208" s="50"/>
      <c r="L208" s="50"/>
      <c r="M208" s="50" t="s">
        <v>1211</v>
      </c>
      <c r="N208" s="50"/>
      <c r="O208" s="53" t="s">
        <v>92</v>
      </c>
      <c r="P208" s="55" t="s">
        <v>1212</v>
      </c>
      <c r="Q208" s="50">
        <v>60.0</v>
      </c>
      <c r="R208" s="50">
        <v>409.0</v>
      </c>
      <c r="S208" s="50" t="s">
        <v>129</v>
      </c>
      <c r="T208" s="56" t="s">
        <v>1295</v>
      </c>
      <c r="U208" s="53" t="s">
        <v>332</v>
      </c>
    </row>
    <row r="209">
      <c r="A209" s="54" t="s">
        <v>1296</v>
      </c>
      <c r="B209" s="50" t="s">
        <v>1297</v>
      </c>
      <c r="C209" s="51" t="s">
        <v>316</v>
      </c>
      <c r="D209" s="51"/>
      <c r="E209" s="51"/>
      <c r="F209" s="51"/>
      <c r="G209" s="50" t="s">
        <v>1298</v>
      </c>
      <c r="H209" s="52">
        <v>44683.454571759255</v>
      </c>
      <c r="I209" s="50"/>
      <c r="J209" s="50"/>
      <c r="K209" s="50"/>
      <c r="L209" s="50"/>
      <c r="M209" s="50" t="s">
        <v>1299</v>
      </c>
      <c r="N209" s="50"/>
      <c r="O209" s="53" t="s">
        <v>70</v>
      </c>
      <c r="P209" s="55" t="s">
        <v>1300</v>
      </c>
      <c r="Q209" s="50">
        <v>1366.0</v>
      </c>
      <c r="R209" s="50">
        <v>1391.0</v>
      </c>
      <c r="S209" s="50"/>
      <c r="T209" s="56" t="s">
        <v>1301</v>
      </c>
      <c r="U209" s="53" t="s">
        <v>322</v>
      </c>
    </row>
    <row r="210">
      <c r="A210" s="54" t="s">
        <v>1302</v>
      </c>
      <c r="B210" s="50" t="s">
        <v>1208</v>
      </c>
      <c r="C210" s="51" t="s">
        <v>335</v>
      </c>
      <c r="D210" s="51"/>
      <c r="E210" s="51"/>
      <c r="F210" s="51"/>
      <c r="G210" s="50" t="s">
        <v>1303</v>
      </c>
      <c r="H210" s="52">
        <v>44683.45451388889</v>
      </c>
      <c r="I210" s="50"/>
      <c r="J210" s="50"/>
      <c r="K210" s="50"/>
      <c r="L210" s="50"/>
      <c r="M210" s="50" t="s">
        <v>1211</v>
      </c>
      <c r="N210" s="50"/>
      <c r="O210" s="53" t="s">
        <v>92</v>
      </c>
      <c r="P210" s="55" t="s">
        <v>1212</v>
      </c>
      <c r="Q210" s="50">
        <v>60.0</v>
      </c>
      <c r="R210" s="50">
        <v>409.0</v>
      </c>
      <c r="S210" s="50" t="s">
        <v>129</v>
      </c>
      <c r="T210" s="56" t="s">
        <v>1304</v>
      </c>
      <c r="U210" s="53" t="s">
        <v>339</v>
      </c>
    </row>
    <row r="211">
      <c r="A211" s="54" t="s">
        <v>1305</v>
      </c>
      <c r="B211" s="50" t="s">
        <v>1306</v>
      </c>
      <c r="C211" s="51" t="s">
        <v>1307</v>
      </c>
      <c r="D211" s="51"/>
      <c r="E211" s="51"/>
      <c r="F211" s="51"/>
      <c r="G211" s="50" t="s">
        <v>1308</v>
      </c>
      <c r="H211" s="52">
        <v>44683.45447916667</v>
      </c>
      <c r="I211" s="50"/>
      <c r="J211" s="50"/>
      <c r="K211" s="50"/>
      <c r="L211" s="50"/>
      <c r="M211" s="50" t="s">
        <v>1309</v>
      </c>
      <c r="N211" s="50"/>
      <c r="O211" s="53" t="s">
        <v>92</v>
      </c>
      <c r="P211" s="55" t="s">
        <v>1310</v>
      </c>
      <c r="Q211" s="50">
        <v>435.0</v>
      </c>
      <c r="R211" s="50">
        <v>1687.0</v>
      </c>
      <c r="S211" s="50" t="s">
        <v>1311</v>
      </c>
      <c r="T211" s="56" t="s">
        <v>1312</v>
      </c>
      <c r="U211" s="53" t="s">
        <v>1313</v>
      </c>
    </row>
    <row r="212">
      <c r="A212" s="54" t="s">
        <v>1314</v>
      </c>
      <c r="B212" s="50" t="s">
        <v>1297</v>
      </c>
      <c r="C212" s="51" t="s">
        <v>329</v>
      </c>
      <c r="D212" s="51"/>
      <c r="E212" s="51"/>
      <c r="F212" s="51"/>
      <c r="G212" s="50" t="s">
        <v>1315</v>
      </c>
      <c r="H212" s="52">
        <v>44683.45446759259</v>
      </c>
      <c r="I212" s="50"/>
      <c r="J212" s="50"/>
      <c r="K212" s="50"/>
      <c r="L212" s="50"/>
      <c r="M212" s="50" t="s">
        <v>1299</v>
      </c>
      <c r="N212" s="50"/>
      <c r="O212" s="53" t="s">
        <v>70</v>
      </c>
      <c r="P212" s="55" t="s">
        <v>1300</v>
      </c>
      <c r="Q212" s="50">
        <v>1366.0</v>
      </c>
      <c r="R212" s="50">
        <v>1391.0</v>
      </c>
      <c r="S212" s="50"/>
      <c r="T212" s="56" t="s">
        <v>1316</v>
      </c>
      <c r="U212" s="53" t="s">
        <v>332</v>
      </c>
    </row>
    <row r="213">
      <c r="A213" s="54" t="s">
        <v>1317</v>
      </c>
      <c r="B213" s="50" t="s">
        <v>1208</v>
      </c>
      <c r="C213" s="51" t="s">
        <v>363</v>
      </c>
      <c r="D213" s="51"/>
      <c r="E213" s="51"/>
      <c r="F213" s="51"/>
      <c r="G213" s="50" t="s">
        <v>1318</v>
      </c>
      <c r="H213" s="52">
        <v>44683.45438657407</v>
      </c>
      <c r="I213" s="50"/>
      <c r="J213" s="50"/>
      <c r="K213" s="50"/>
      <c r="L213" s="50"/>
      <c r="M213" s="50" t="s">
        <v>1211</v>
      </c>
      <c r="N213" s="50"/>
      <c r="O213" s="53" t="s">
        <v>92</v>
      </c>
      <c r="P213" s="55" t="s">
        <v>1212</v>
      </c>
      <c r="Q213" s="50">
        <v>60.0</v>
      </c>
      <c r="R213" s="50">
        <v>409.0</v>
      </c>
      <c r="S213" s="50" t="s">
        <v>129</v>
      </c>
      <c r="T213" s="56" t="s">
        <v>1319</v>
      </c>
      <c r="U213" s="53" t="s">
        <v>332</v>
      </c>
    </row>
    <row r="214">
      <c r="A214" s="54" t="s">
        <v>1320</v>
      </c>
      <c r="B214" s="50" t="s">
        <v>1208</v>
      </c>
      <c r="C214" s="51" t="s">
        <v>367</v>
      </c>
      <c r="D214" s="51"/>
      <c r="E214" s="51"/>
      <c r="F214" s="51"/>
      <c r="G214" s="50" t="s">
        <v>1321</v>
      </c>
      <c r="H214" s="52">
        <v>44683.454293981486</v>
      </c>
      <c r="I214" s="50"/>
      <c r="J214" s="50"/>
      <c r="K214" s="50"/>
      <c r="L214" s="50"/>
      <c r="M214" s="50" t="s">
        <v>1211</v>
      </c>
      <c r="N214" s="50"/>
      <c r="O214" s="53" t="s">
        <v>92</v>
      </c>
      <c r="P214" s="55" t="s">
        <v>1212</v>
      </c>
      <c r="Q214" s="50">
        <v>60.0</v>
      </c>
      <c r="R214" s="50">
        <v>409.0</v>
      </c>
      <c r="S214" s="50" t="s">
        <v>129</v>
      </c>
      <c r="T214" s="56" t="s">
        <v>1322</v>
      </c>
      <c r="U214" s="53" t="s">
        <v>370</v>
      </c>
    </row>
    <row r="215">
      <c r="A215" s="54" t="s">
        <v>1323</v>
      </c>
      <c r="B215" s="50" t="s">
        <v>1225</v>
      </c>
      <c r="C215" s="51" t="s">
        <v>367</v>
      </c>
      <c r="D215" s="51"/>
      <c r="E215" s="51"/>
      <c r="F215" s="51"/>
      <c r="G215" s="50" t="s">
        <v>1321</v>
      </c>
      <c r="H215" s="52">
        <v>44683.454293981486</v>
      </c>
      <c r="I215" s="50"/>
      <c r="J215" s="50"/>
      <c r="K215" s="50"/>
      <c r="L215" s="50"/>
      <c r="M215" s="50" t="s">
        <v>1227</v>
      </c>
      <c r="N215" s="50"/>
      <c r="O215" s="53" t="s">
        <v>60</v>
      </c>
      <c r="P215" s="55" t="s">
        <v>1228</v>
      </c>
      <c r="Q215" s="50">
        <v>776.0</v>
      </c>
      <c r="R215" s="50">
        <v>883.0</v>
      </c>
      <c r="S215" s="50" t="s">
        <v>1229</v>
      </c>
      <c r="T215" s="56" t="s">
        <v>1324</v>
      </c>
      <c r="U215" s="53" t="s">
        <v>370</v>
      </c>
    </row>
    <row r="216">
      <c r="A216" s="54" t="s">
        <v>1325</v>
      </c>
      <c r="B216" s="50" t="s">
        <v>1326</v>
      </c>
      <c r="C216" s="51" t="s">
        <v>367</v>
      </c>
      <c r="D216" s="51"/>
      <c r="E216" s="51"/>
      <c r="F216" s="51"/>
      <c r="G216" s="50" t="s">
        <v>1327</v>
      </c>
      <c r="H216" s="52">
        <v>44683.45428240741</v>
      </c>
      <c r="I216" s="50"/>
      <c r="J216" s="50"/>
      <c r="K216" s="50"/>
      <c r="L216" s="50"/>
      <c r="M216" s="50" t="s">
        <v>1328</v>
      </c>
      <c r="N216" s="50"/>
      <c r="O216" s="53" t="s">
        <v>70</v>
      </c>
      <c r="P216" s="55" t="s">
        <v>1329</v>
      </c>
      <c r="Q216" s="50">
        <v>2520.0</v>
      </c>
      <c r="R216" s="50">
        <v>2782.0</v>
      </c>
      <c r="S216" s="50"/>
      <c r="T216" s="56" t="s">
        <v>1330</v>
      </c>
      <c r="U216" s="53" t="s">
        <v>370</v>
      </c>
    </row>
    <row r="217">
      <c r="A217" s="54" t="s">
        <v>1331</v>
      </c>
      <c r="B217" s="50" t="s">
        <v>1332</v>
      </c>
      <c r="C217" s="51" t="s">
        <v>1333</v>
      </c>
      <c r="D217" s="51"/>
      <c r="E217" s="51"/>
      <c r="F217" s="51"/>
      <c r="G217" s="50" t="s">
        <v>1334</v>
      </c>
      <c r="H217" s="52">
        <v>44683.45413194444</v>
      </c>
      <c r="I217" s="50"/>
      <c r="J217" s="50"/>
      <c r="K217" s="50"/>
      <c r="L217" s="50"/>
      <c r="M217" s="50" t="s">
        <v>1335</v>
      </c>
      <c r="N217" s="50"/>
      <c r="O217" s="53" t="s">
        <v>60</v>
      </c>
      <c r="P217" s="55" t="s">
        <v>1336</v>
      </c>
      <c r="Q217" s="50">
        <v>62935.0</v>
      </c>
      <c r="R217" s="50">
        <v>5903.0</v>
      </c>
      <c r="S217" s="50" t="s">
        <v>1337</v>
      </c>
      <c r="T217" s="56" t="s">
        <v>1338</v>
      </c>
      <c r="U217" s="53" t="s">
        <v>1339</v>
      </c>
    </row>
    <row r="218">
      <c r="A218" s="54" t="s">
        <v>1340</v>
      </c>
      <c r="B218" s="50" t="s">
        <v>1341</v>
      </c>
      <c r="C218" s="51" t="s">
        <v>1342</v>
      </c>
      <c r="D218" s="51"/>
      <c r="E218" s="51"/>
      <c r="F218" s="51"/>
      <c r="G218" s="50" t="s">
        <v>1343</v>
      </c>
      <c r="H218" s="52">
        <v>44683.45395833333</v>
      </c>
      <c r="I218" s="50"/>
      <c r="J218" s="50"/>
      <c r="K218" s="50" t="s">
        <v>1344</v>
      </c>
      <c r="L218" s="50" t="s">
        <v>1345</v>
      </c>
      <c r="M218" s="50" t="s">
        <v>1346</v>
      </c>
      <c r="N218" s="50" t="s">
        <v>1347</v>
      </c>
      <c r="O218" s="53" t="s">
        <v>60</v>
      </c>
      <c r="P218" s="55" t="s">
        <v>1348</v>
      </c>
      <c r="Q218" s="50">
        <v>3926.0</v>
      </c>
      <c r="R218" s="50">
        <v>4433.0</v>
      </c>
      <c r="S218" s="50" t="s">
        <v>1349</v>
      </c>
      <c r="T218" s="56" t="s">
        <v>1350</v>
      </c>
      <c r="U218" s="53" t="s">
        <v>1351</v>
      </c>
    </row>
    <row r="219">
      <c r="A219" s="54" t="s">
        <v>1352</v>
      </c>
      <c r="B219" s="50" t="s">
        <v>1297</v>
      </c>
      <c r="C219" s="51" t="s">
        <v>367</v>
      </c>
      <c r="D219" s="51"/>
      <c r="E219" s="51"/>
      <c r="F219" s="51"/>
      <c r="G219" s="50" t="s">
        <v>1353</v>
      </c>
      <c r="H219" s="52">
        <v>44683.453946759255</v>
      </c>
      <c r="I219" s="50"/>
      <c r="J219" s="50"/>
      <c r="K219" s="50"/>
      <c r="L219" s="50"/>
      <c r="M219" s="50" t="s">
        <v>1299</v>
      </c>
      <c r="N219" s="50"/>
      <c r="O219" s="53" t="s">
        <v>70</v>
      </c>
      <c r="P219" s="55" t="s">
        <v>1300</v>
      </c>
      <c r="Q219" s="50">
        <v>1366.0</v>
      </c>
      <c r="R219" s="50">
        <v>1391.0</v>
      </c>
      <c r="S219" s="50"/>
      <c r="T219" s="56" t="s">
        <v>1354</v>
      </c>
      <c r="U219" s="53" t="s">
        <v>370</v>
      </c>
    </row>
    <row r="220">
      <c r="A220" s="54" t="s">
        <v>1355</v>
      </c>
      <c r="B220" s="50" t="s">
        <v>1356</v>
      </c>
      <c r="C220" s="51" t="s">
        <v>367</v>
      </c>
      <c r="D220" s="51"/>
      <c r="E220" s="51"/>
      <c r="F220" s="51"/>
      <c r="G220" s="50" t="s">
        <v>1353</v>
      </c>
      <c r="H220" s="52">
        <v>44683.453946759255</v>
      </c>
      <c r="I220" s="50"/>
      <c r="J220" s="50"/>
      <c r="K220" s="50"/>
      <c r="L220" s="50"/>
      <c r="M220" s="50" t="s">
        <v>1357</v>
      </c>
      <c r="N220" s="50"/>
      <c r="O220" s="53" t="s">
        <v>70</v>
      </c>
      <c r="P220" s="55" t="s">
        <v>1358</v>
      </c>
      <c r="Q220" s="50">
        <v>14.0</v>
      </c>
      <c r="R220" s="50">
        <v>293.0</v>
      </c>
      <c r="S220" s="50"/>
      <c r="T220" s="56" t="s">
        <v>1359</v>
      </c>
      <c r="U220" s="53" t="s">
        <v>370</v>
      </c>
    </row>
    <row r="221">
      <c r="A221" s="54" t="s">
        <v>1360</v>
      </c>
      <c r="B221" s="50" t="s">
        <v>1361</v>
      </c>
      <c r="C221" s="51" t="s">
        <v>367</v>
      </c>
      <c r="D221" s="51"/>
      <c r="E221" s="51"/>
      <c r="F221" s="51"/>
      <c r="G221" s="50" t="s">
        <v>1362</v>
      </c>
      <c r="H221" s="52">
        <v>44683.45388888889</v>
      </c>
      <c r="I221" s="50"/>
      <c r="J221" s="50"/>
      <c r="K221" s="50"/>
      <c r="L221" s="50"/>
      <c r="M221" s="50" t="s">
        <v>1363</v>
      </c>
      <c r="N221" s="50"/>
      <c r="O221" s="53" t="s">
        <v>92</v>
      </c>
      <c r="P221" s="55" t="s">
        <v>1364</v>
      </c>
      <c r="Q221" s="50">
        <v>44337.0</v>
      </c>
      <c r="R221" s="50">
        <v>1437.0</v>
      </c>
      <c r="S221" s="50" t="s">
        <v>1365</v>
      </c>
      <c r="T221" s="56" t="s">
        <v>1366</v>
      </c>
      <c r="U221" s="53" t="s">
        <v>370</v>
      </c>
    </row>
    <row r="222">
      <c r="A222" s="54" t="s">
        <v>1367</v>
      </c>
      <c r="B222" s="50" t="s">
        <v>1368</v>
      </c>
      <c r="C222" s="51" t="s">
        <v>367</v>
      </c>
      <c r="D222" s="51"/>
      <c r="E222" s="51"/>
      <c r="F222" s="51"/>
      <c r="G222" s="50" t="s">
        <v>1369</v>
      </c>
      <c r="H222" s="52">
        <v>44683.45379629629</v>
      </c>
      <c r="I222" s="50"/>
      <c r="J222" s="50"/>
      <c r="K222" s="50"/>
      <c r="L222" s="50"/>
      <c r="M222" s="50" t="s">
        <v>1370</v>
      </c>
      <c r="N222" s="50"/>
      <c r="O222" s="53" t="s">
        <v>60</v>
      </c>
      <c r="P222" s="55" t="s">
        <v>1371</v>
      </c>
      <c r="Q222" s="50">
        <v>3809.0</v>
      </c>
      <c r="R222" s="50">
        <v>5001.0</v>
      </c>
      <c r="S222" s="50"/>
      <c r="T222" s="56" t="s">
        <v>1372</v>
      </c>
      <c r="U222" s="53" t="s">
        <v>370</v>
      </c>
    </row>
    <row r="223">
      <c r="A223" s="54" t="s">
        <v>1373</v>
      </c>
      <c r="B223" s="50" t="s">
        <v>1374</v>
      </c>
      <c r="C223" s="51" t="s">
        <v>367</v>
      </c>
      <c r="D223" s="51"/>
      <c r="E223" s="51"/>
      <c r="F223" s="51"/>
      <c r="G223" s="50" t="s">
        <v>1375</v>
      </c>
      <c r="H223" s="52">
        <v>44683.45364583333</v>
      </c>
      <c r="I223" s="50"/>
      <c r="J223" s="50"/>
      <c r="K223" s="50"/>
      <c r="L223" s="50"/>
      <c r="M223" s="50" t="s">
        <v>1376</v>
      </c>
      <c r="N223" s="50"/>
      <c r="O223" s="53" t="s">
        <v>217</v>
      </c>
      <c r="P223" s="55" t="s">
        <v>1377</v>
      </c>
      <c r="Q223" s="50">
        <v>885.0</v>
      </c>
      <c r="R223" s="50">
        <v>2218.0</v>
      </c>
      <c r="S223" s="50"/>
      <c r="T223" s="56" t="s">
        <v>1378</v>
      </c>
      <c r="U223" s="53" t="s">
        <v>370</v>
      </c>
    </row>
    <row r="224">
      <c r="A224" s="54" t="s">
        <v>1379</v>
      </c>
      <c r="B224" s="50" t="s">
        <v>1380</v>
      </c>
      <c r="C224" s="51" t="s">
        <v>367</v>
      </c>
      <c r="D224" s="51"/>
      <c r="E224" s="51"/>
      <c r="F224" s="51"/>
      <c r="G224" s="50" t="s">
        <v>1381</v>
      </c>
      <c r="H224" s="52">
        <v>44683.45358796296</v>
      </c>
      <c r="I224" s="50"/>
      <c r="J224" s="50"/>
      <c r="K224" s="50"/>
      <c r="L224" s="50"/>
      <c r="M224" s="50" t="s">
        <v>1382</v>
      </c>
      <c r="N224" s="50"/>
      <c r="O224" s="53" t="s">
        <v>60</v>
      </c>
      <c r="P224" s="55" t="s">
        <v>1383</v>
      </c>
      <c r="Q224" s="50">
        <v>337.0</v>
      </c>
      <c r="R224" s="50">
        <v>243.0</v>
      </c>
      <c r="S224" s="50" t="s">
        <v>1311</v>
      </c>
      <c r="T224" s="56" t="s">
        <v>1384</v>
      </c>
      <c r="U224" s="53" t="s">
        <v>370</v>
      </c>
    </row>
    <row r="225">
      <c r="A225" s="54" t="s">
        <v>1385</v>
      </c>
      <c r="B225" s="50" t="s">
        <v>1386</v>
      </c>
      <c r="C225" s="51" t="s">
        <v>1387</v>
      </c>
      <c r="D225" s="51"/>
      <c r="E225" s="51"/>
      <c r="F225" s="51"/>
      <c r="G225" s="50" t="s">
        <v>1388</v>
      </c>
      <c r="H225" s="52">
        <v>44683.453564814816</v>
      </c>
      <c r="I225" s="50"/>
      <c r="J225" s="50"/>
      <c r="K225" s="50"/>
      <c r="L225" s="50"/>
      <c r="M225" s="50" t="s">
        <v>1389</v>
      </c>
      <c r="N225" s="50"/>
      <c r="O225" s="53" t="s">
        <v>92</v>
      </c>
      <c r="P225" s="55" t="s">
        <v>1390</v>
      </c>
      <c r="Q225" s="50">
        <v>2152.0</v>
      </c>
      <c r="R225" s="50">
        <v>2397.0</v>
      </c>
      <c r="S225" s="50"/>
      <c r="T225" s="56" t="s">
        <v>1391</v>
      </c>
      <c r="U225" s="53" t="s">
        <v>1392</v>
      </c>
    </row>
    <row r="226">
      <c r="A226" s="54" t="s">
        <v>1393</v>
      </c>
      <c r="B226" s="50" t="s">
        <v>1394</v>
      </c>
      <c r="C226" s="51" t="s">
        <v>367</v>
      </c>
      <c r="D226" s="51"/>
      <c r="E226" s="51"/>
      <c r="F226" s="51"/>
      <c r="G226" s="50" t="s">
        <v>1395</v>
      </c>
      <c r="H226" s="52">
        <v>44683.45349537037</v>
      </c>
      <c r="I226" s="50"/>
      <c r="J226" s="50"/>
      <c r="K226" s="50"/>
      <c r="L226" s="50"/>
      <c r="M226" s="50" t="s">
        <v>1396</v>
      </c>
      <c r="N226" s="50"/>
      <c r="O226" s="53" t="s">
        <v>70</v>
      </c>
      <c r="P226" s="55" t="s">
        <v>1397</v>
      </c>
      <c r="Q226" s="50">
        <v>713.0</v>
      </c>
      <c r="R226" s="50">
        <v>504.0</v>
      </c>
      <c r="S226" s="50" t="s">
        <v>1398</v>
      </c>
      <c r="T226" s="56" t="s">
        <v>1399</v>
      </c>
      <c r="U226" s="53" t="s">
        <v>370</v>
      </c>
    </row>
    <row r="227">
      <c r="A227" s="54" t="s">
        <v>1400</v>
      </c>
      <c r="B227" s="50" t="s">
        <v>1401</v>
      </c>
      <c r="C227" s="51" t="s">
        <v>1402</v>
      </c>
      <c r="D227" s="51"/>
      <c r="E227" s="51"/>
      <c r="F227" s="51"/>
      <c r="G227" s="50" t="s">
        <v>1403</v>
      </c>
      <c r="H227" s="52">
        <v>44683.453414351854</v>
      </c>
      <c r="I227" s="50"/>
      <c r="J227" s="50"/>
      <c r="K227" s="50"/>
      <c r="L227" s="50"/>
      <c r="M227" s="50" t="s">
        <v>1404</v>
      </c>
      <c r="N227" s="50"/>
      <c r="O227" s="53" t="s">
        <v>70</v>
      </c>
      <c r="P227" s="55" t="s">
        <v>1405</v>
      </c>
      <c r="Q227" s="50">
        <v>8320.0</v>
      </c>
      <c r="R227" s="50">
        <v>9125.0</v>
      </c>
      <c r="S227" s="50" t="s">
        <v>1406</v>
      </c>
      <c r="T227" s="56" t="s">
        <v>1407</v>
      </c>
      <c r="U227" s="53" t="s">
        <v>1408</v>
      </c>
    </row>
    <row r="228">
      <c r="A228" s="54" t="s">
        <v>1409</v>
      </c>
      <c r="B228" s="50" t="s">
        <v>1410</v>
      </c>
      <c r="C228" s="51" t="s">
        <v>505</v>
      </c>
      <c r="D228" s="51"/>
      <c r="E228" s="51"/>
      <c r="F228" s="51"/>
      <c r="G228" s="50" t="s">
        <v>1411</v>
      </c>
      <c r="H228" s="52">
        <v>44683.45322916667</v>
      </c>
      <c r="I228" s="50"/>
      <c r="J228" s="50"/>
      <c r="K228" s="50"/>
      <c r="L228" s="50"/>
      <c r="M228" s="50" t="s">
        <v>1412</v>
      </c>
      <c r="N228" s="50"/>
      <c r="O228" s="53" t="s">
        <v>70</v>
      </c>
      <c r="P228" s="55" t="s">
        <v>354</v>
      </c>
      <c r="Q228" s="50">
        <v>8.0</v>
      </c>
      <c r="R228" s="50">
        <v>84.0</v>
      </c>
      <c r="S228" s="50"/>
      <c r="T228" s="56" t="s">
        <v>1413</v>
      </c>
      <c r="U228" s="53" t="s">
        <v>511</v>
      </c>
    </row>
    <row r="229">
      <c r="A229" s="54" t="s">
        <v>1414</v>
      </c>
      <c r="B229" s="50" t="s">
        <v>1415</v>
      </c>
      <c r="C229" s="51" t="s">
        <v>367</v>
      </c>
      <c r="D229" s="51"/>
      <c r="E229" s="51"/>
      <c r="F229" s="51"/>
      <c r="G229" s="50" t="s">
        <v>1411</v>
      </c>
      <c r="H229" s="52">
        <v>44683.45322916667</v>
      </c>
      <c r="I229" s="50"/>
      <c r="J229" s="50"/>
      <c r="K229" s="50"/>
      <c r="L229" s="50"/>
      <c r="M229" s="50" t="s">
        <v>1416</v>
      </c>
      <c r="N229" s="50"/>
      <c r="O229" s="53" t="s">
        <v>92</v>
      </c>
      <c r="P229" s="55" t="s">
        <v>1417</v>
      </c>
      <c r="Q229" s="50">
        <v>673.0</v>
      </c>
      <c r="R229" s="50">
        <v>1738.0</v>
      </c>
      <c r="S229" s="50" t="s">
        <v>1418</v>
      </c>
      <c r="T229" s="56" t="s">
        <v>1419</v>
      </c>
      <c r="U229" s="53" t="s">
        <v>370</v>
      </c>
    </row>
    <row r="230">
      <c r="A230" s="54" t="s">
        <v>1420</v>
      </c>
      <c r="B230" s="50" t="s">
        <v>1421</v>
      </c>
      <c r="C230" s="51" t="s">
        <v>316</v>
      </c>
      <c r="D230" s="51"/>
      <c r="E230" s="51"/>
      <c r="F230" s="51"/>
      <c r="G230" s="50" t="s">
        <v>1411</v>
      </c>
      <c r="H230" s="52">
        <v>44683.45322916667</v>
      </c>
      <c r="I230" s="50"/>
      <c r="J230" s="50"/>
      <c r="K230" s="50"/>
      <c r="L230" s="50"/>
      <c r="M230" s="50" t="s">
        <v>1422</v>
      </c>
      <c r="N230" s="50"/>
      <c r="O230" s="53" t="s">
        <v>60</v>
      </c>
      <c r="P230" s="55" t="s">
        <v>1423</v>
      </c>
      <c r="Q230" s="50">
        <v>30117.0</v>
      </c>
      <c r="R230" s="50">
        <v>25365.0</v>
      </c>
      <c r="S230" s="50" t="s">
        <v>1424</v>
      </c>
      <c r="T230" s="56" t="s">
        <v>1425</v>
      </c>
      <c r="U230" s="53" t="s">
        <v>322</v>
      </c>
    </row>
    <row r="231">
      <c r="A231" s="54" t="s">
        <v>1426</v>
      </c>
      <c r="B231" s="50" t="s">
        <v>1427</v>
      </c>
      <c r="C231" s="51" t="s">
        <v>316</v>
      </c>
      <c r="D231" s="51"/>
      <c r="E231" s="51"/>
      <c r="F231" s="51"/>
      <c r="G231" s="50" t="s">
        <v>1428</v>
      </c>
      <c r="H231" s="52">
        <v>44683.453206018516</v>
      </c>
      <c r="I231" s="50"/>
      <c r="J231" s="50"/>
      <c r="K231" s="50"/>
      <c r="L231" s="50"/>
      <c r="M231" s="50" t="s">
        <v>1429</v>
      </c>
      <c r="N231" s="50"/>
      <c r="O231" s="53" t="s">
        <v>60</v>
      </c>
      <c r="P231" s="55" t="s">
        <v>1430</v>
      </c>
      <c r="Q231" s="50">
        <v>2103.0</v>
      </c>
      <c r="R231" s="50">
        <v>2263.0</v>
      </c>
      <c r="S231" s="50" t="s">
        <v>1311</v>
      </c>
      <c r="T231" s="56" t="s">
        <v>1431</v>
      </c>
      <c r="U231" s="53" t="s">
        <v>322</v>
      </c>
    </row>
    <row r="232">
      <c r="A232" s="54" t="s">
        <v>1432</v>
      </c>
      <c r="B232" s="50" t="s">
        <v>1433</v>
      </c>
      <c r="C232" s="51" t="s">
        <v>367</v>
      </c>
      <c r="D232" s="51"/>
      <c r="E232" s="51"/>
      <c r="F232" s="51"/>
      <c r="G232" s="50" t="s">
        <v>1428</v>
      </c>
      <c r="H232" s="52">
        <v>44683.453206018516</v>
      </c>
      <c r="I232" s="50"/>
      <c r="J232" s="50"/>
      <c r="K232" s="50"/>
      <c r="L232" s="50"/>
      <c r="M232" s="50" t="s">
        <v>1434</v>
      </c>
      <c r="N232" s="50"/>
      <c r="O232" s="53" t="s">
        <v>92</v>
      </c>
      <c r="P232" s="55" t="s">
        <v>1435</v>
      </c>
      <c r="Q232" s="50">
        <v>275.0</v>
      </c>
      <c r="R232" s="50">
        <v>4248.0</v>
      </c>
      <c r="S232" s="50" t="s">
        <v>219</v>
      </c>
      <c r="T232" s="56" t="s">
        <v>1436</v>
      </c>
      <c r="U232" s="53" t="s">
        <v>370</v>
      </c>
    </row>
    <row r="233">
      <c r="A233" s="54" t="s">
        <v>1437</v>
      </c>
      <c r="B233" s="50" t="s">
        <v>1438</v>
      </c>
      <c r="C233" s="51" t="s">
        <v>1439</v>
      </c>
      <c r="D233" s="51"/>
      <c r="E233" s="51"/>
      <c r="F233" s="51"/>
      <c r="G233" s="50" t="s">
        <v>1440</v>
      </c>
      <c r="H233" s="52">
        <v>44683.453194444446</v>
      </c>
      <c r="I233" s="50"/>
      <c r="J233" s="50"/>
      <c r="K233" s="50"/>
      <c r="L233" s="50"/>
      <c r="M233" s="50" t="s">
        <v>1441</v>
      </c>
      <c r="N233" s="50"/>
      <c r="O233" s="53" t="s">
        <v>70</v>
      </c>
      <c r="P233" s="55" t="s">
        <v>354</v>
      </c>
      <c r="Q233" s="50">
        <v>81.0</v>
      </c>
      <c r="R233" s="50">
        <v>191.0</v>
      </c>
      <c r="S233" s="50"/>
      <c r="T233" s="56" t="s">
        <v>1442</v>
      </c>
      <c r="U233" s="53" t="s">
        <v>1443</v>
      </c>
    </row>
    <row r="234">
      <c r="A234" s="54" t="s">
        <v>1444</v>
      </c>
      <c r="B234" s="50" t="s">
        <v>1445</v>
      </c>
      <c r="C234" s="51" t="s">
        <v>1446</v>
      </c>
      <c r="D234" s="51"/>
      <c r="E234" s="51"/>
      <c r="F234" s="51"/>
      <c r="G234" s="50" t="s">
        <v>1447</v>
      </c>
      <c r="H234" s="52">
        <v>44683.45314814815</v>
      </c>
      <c r="I234" s="50"/>
      <c r="J234" s="50"/>
      <c r="K234" s="50"/>
      <c r="L234" s="50"/>
      <c r="M234" s="50" t="s">
        <v>1448</v>
      </c>
      <c r="N234" s="50"/>
      <c r="O234" s="53" t="s">
        <v>70</v>
      </c>
      <c r="P234" s="55" t="s">
        <v>1449</v>
      </c>
      <c r="Q234" s="50">
        <v>707.0</v>
      </c>
      <c r="R234" s="50">
        <v>1610.0</v>
      </c>
      <c r="S234" s="50" t="s">
        <v>1450</v>
      </c>
      <c r="T234" s="56" t="s">
        <v>1451</v>
      </c>
      <c r="U234" s="53" t="s">
        <v>1452</v>
      </c>
    </row>
    <row r="235">
      <c r="A235" s="54" t="s">
        <v>1453</v>
      </c>
      <c r="B235" s="50" t="s">
        <v>1421</v>
      </c>
      <c r="C235" s="51" t="s">
        <v>335</v>
      </c>
      <c r="D235" s="51"/>
      <c r="E235" s="51"/>
      <c r="F235" s="51"/>
      <c r="G235" s="50" t="s">
        <v>1447</v>
      </c>
      <c r="H235" s="52">
        <v>44683.45314814815</v>
      </c>
      <c r="I235" s="50"/>
      <c r="J235" s="50"/>
      <c r="K235" s="50"/>
      <c r="L235" s="50"/>
      <c r="M235" s="50" t="s">
        <v>1422</v>
      </c>
      <c r="N235" s="50"/>
      <c r="O235" s="53" t="s">
        <v>60</v>
      </c>
      <c r="P235" s="55" t="s">
        <v>1423</v>
      </c>
      <c r="Q235" s="50">
        <v>30117.0</v>
      </c>
      <c r="R235" s="50">
        <v>25365.0</v>
      </c>
      <c r="S235" s="50" t="s">
        <v>1424</v>
      </c>
      <c r="T235" s="56" t="s">
        <v>1454</v>
      </c>
      <c r="U235" s="53" t="s">
        <v>339</v>
      </c>
    </row>
    <row r="236">
      <c r="A236" s="54" t="s">
        <v>1455</v>
      </c>
      <c r="B236" s="50" t="s">
        <v>1421</v>
      </c>
      <c r="C236" s="51" t="s">
        <v>363</v>
      </c>
      <c r="D236" s="51"/>
      <c r="E236" s="51"/>
      <c r="F236" s="51"/>
      <c r="G236" s="50" t="s">
        <v>1456</v>
      </c>
      <c r="H236" s="52">
        <v>44683.45311342593</v>
      </c>
      <c r="I236" s="50"/>
      <c r="J236" s="50"/>
      <c r="K236" s="50"/>
      <c r="L236" s="50"/>
      <c r="M236" s="50" t="s">
        <v>1422</v>
      </c>
      <c r="N236" s="50"/>
      <c r="O236" s="53" t="s">
        <v>60</v>
      </c>
      <c r="P236" s="55" t="s">
        <v>1423</v>
      </c>
      <c r="Q236" s="50">
        <v>30117.0</v>
      </c>
      <c r="R236" s="50">
        <v>25365.0</v>
      </c>
      <c r="S236" s="50" t="s">
        <v>1424</v>
      </c>
      <c r="T236" s="56" t="s">
        <v>1457</v>
      </c>
      <c r="U236" s="53" t="s">
        <v>332</v>
      </c>
    </row>
    <row r="237">
      <c r="A237" s="54" t="s">
        <v>1458</v>
      </c>
      <c r="B237" s="50" t="s">
        <v>1459</v>
      </c>
      <c r="C237" s="51" t="s">
        <v>367</v>
      </c>
      <c r="D237" s="51"/>
      <c r="E237" s="51"/>
      <c r="F237" s="51"/>
      <c r="G237" s="50" t="s">
        <v>1460</v>
      </c>
      <c r="H237" s="52">
        <v>44683.453055555554</v>
      </c>
      <c r="I237" s="50"/>
      <c r="J237" s="50"/>
      <c r="K237" s="50"/>
      <c r="L237" s="50"/>
      <c r="M237" s="50" t="s">
        <v>1461</v>
      </c>
      <c r="N237" s="50"/>
      <c r="O237" s="53" t="s">
        <v>60</v>
      </c>
      <c r="P237" s="55" t="s">
        <v>1462</v>
      </c>
      <c r="Q237" s="50">
        <v>1805.0</v>
      </c>
      <c r="R237" s="50">
        <v>474.0</v>
      </c>
      <c r="S237" s="50" t="s">
        <v>1463</v>
      </c>
      <c r="T237" s="56" t="s">
        <v>1464</v>
      </c>
      <c r="U237" s="53" t="s">
        <v>370</v>
      </c>
    </row>
    <row r="238">
      <c r="A238" s="54" t="s">
        <v>1465</v>
      </c>
      <c r="B238" s="50" t="s">
        <v>1421</v>
      </c>
      <c r="C238" s="51" t="s">
        <v>367</v>
      </c>
      <c r="D238" s="51"/>
      <c r="E238" s="51"/>
      <c r="F238" s="51"/>
      <c r="G238" s="50" t="s">
        <v>1466</v>
      </c>
      <c r="H238" s="52">
        <v>44683.45297453704</v>
      </c>
      <c r="I238" s="50"/>
      <c r="J238" s="50"/>
      <c r="K238" s="50"/>
      <c r="L238" s="50"/>
      <c r="M238" s="50" t="s">
        <v>1422</v>
      </c>
      <c r="N238" s="50"/>
      <c r="O238" s="53" t="s">
        <v>60</v>
      </c>
      <c r="P238" s="55" t="s">
        <v>1423</v>
      </c>
      <c r="Q238" s="50">
        <v>30117.0</v>
      </c>
      <c r="R238" s="50">
        <v>25365.0</v>
      </c>
      <c r="S238" s="50" t="s">
        <v>1424</v>
      </c>
      <c r="T238" s="56" t="s">
        <v>1467</v>
      </c>
      <c r="U238" s="53" t="s">
        <v>370</v>
      </c>
    </row>
    <row r="239">
      <c r="A239" s="54" t="s">
        <v>1468</v>
      </c>
      <c r="B239" s="50" t="s">
        <v>1469</v>
      </c>
      <c r="C239" s="51" t="s">
        <v>1307</v>
      </c>
      <c r="D239" s="51"/>
      <c r="E239" s="51"/>
      <c r="F239" s="51"/>
      <c r="G239" s="50" t="s">
        <v>1470</v>
      </c>
      <c r="H239" s="52">
        <v>44683.45291666666</v>
      </c>
      <c r="I239" s="50"/>
      <c r="J239" s="50"/>
      <c r="K239" s="50"/>
      <c r="L239" s="50"/>
      <c r="M239" s="50" t="s">
        <v>1471</v>
      </c>
      <c r="N239" s="50"/>
      <c r="O239" s="53" t="s">
        <v>60</v>
      </c>
      <c r="P239" s="55" t="s">
        <v>1472</v>
      </c>
      <c r="Q239" s="50">
        <v>5739.0</v>
      </c>
      <c r="R239" s="50">
        <v>6152.0</v>
      </c>
      <c r="S239" s="50" t="s">
        <v>1473</v>
      </c>
      <c r="T239" s="56" t="s">
        <v>1474</v>
      </c>
      <c r="U239" s="53" t="s">
        <v>1313</v>
      </c>
    </row>
    <row r="240">
      <c r="A240" s="54" t="s">
        <v>1475</v>
      </c>
      <c r="B240" s="50" t="s">
        <v>1476</v>
      </c>
      <c r="C240" s="51" t="s">
        <v>367</v>
      </c>
      <c r="D240" s="51"/>
      <c r="E240" s="51"/>
      <c r="F240" s="51"/>
      <c r="G240" s="50" t="s">
        <v>1477</v>
      </c>
      <c r="H240" s="52">
        <v>44683.45290509259</v>
      </c>
      <c r="I240" s="50"/>
      <c r="J240" s="50"/>
      <c r="K240" s="50"/>
      <c r="L240" s="50"/>
      <c r="M240" s="50" t="s">
        <v>1478</v>
      </c>
      <c r="N240" s="50"/>
      <c r="O240" s="53" t="s">
        <v>217</v>
      </c>
      <c r="P240" s="55" t="s">
        <v>1479</v>
      </c>
      <c r="Q240" s="50">
        <v>1228.0</v>
      </c>
      <c r="R240" s="50">
        <v>1714.0</v>
      </c>
      <c r="S240" s="50"/>
      <c r="T240" s="56" t="s">
        <v>1480</v>
      </c>
      <c r="U240" s="53" t="s">
        <v>370</v>
      </c>
    </row>
    <row r="241">
      <c r="A241" s="54" t="s">
        <v>1481</v>
      </c>
      <c r="B241" s="50" t="s">
        <v>1482</v>
      </c>
      <c r="C241" s="51" t="s">
        <v>367</v>
      </c>
      <c r="D241" s="51"/>
      <c r="E241" s="51"/>
      <c r="F241" s="51"/>
      <c r="G241" s="50" t="s">
        <v>1483</v>
      </c>
      <c r="H241" s="52">
        <v>44683.45289351852</v>
      </c>
      <c r="I241" s="50"/>
      <c r="J241" s="50"/>
      <c r="K241" s="50"/>
      <c r="L241" s="50"/>
      <c r="M241" s="50" t="s">
        <v>1484</v>
      </c>
      <c r="N241" s="50"/>
      <c r="O241" s="53" t="s">
        <v>70</v>
      </c>
      <c r="P241" s="55" t="s">
        <v>1485</v>
      </c>
      <c r="Q241" s="50">
        <v>2382.0</v>
      </c>
      <c r="R241" s="50">
        <v>3260.0</v>
      </c>
      <c r="S241" s="50"/>
      <c r="T241" s="56" t="s">
        <v>1486</v>
      </c>
      <c r="U241" s="53" t="s">
        <v>370</v>
      </c>
    </row>
    <row r="242">
      <c r="A242" s="54" t="s">
        <v>1487</v>
      </c>
      <c r="B242" s="50" t="s">
        <v>1488</v>
      </c>
      <c r="C242" s="51" t="s">
        <v>367</v>
      </c>
      <c r="D242" s="51"/>
      <c r="E242" s="51"/>
      <c r="F242" s="51"/>
      <c r="G242" s="50" t="s">
        <v>1489</v>
      </c>
      <c r="H242" s="52">
        <v>44683.45282407408</v>
      </c>
      <c r="I242" s="50"/>
      <c r="J242" s="50"/>
      <c r="K242" s="50"/>
      <c r="L242" s="50"/>
      <c r="M242" s="50" t="s">
        <v>1490</v>
      </c>
      <c r="N242" s="50"/>
      <c r="O242" s="53" t="s">
        <v>92</v>
      </c>
      <c r="P242" s="55" t="s">
        <v>1491</v>
      </c>
      <c r="Q242" s="50">
        <v>1851.0</v>
      </c>
      <c r="R242" s="50">
        <v>4999.0</v>
      </c>
      <c r="S242" s="50" t="s">
        <v>1492</v>
      </c>
      <c r="T242" s="56" t="s">
        <v>1493</v>
      </c>
      <c r="U242" s="53" t="s">
        <v>370</v>
      </c>
    </row>
    <row r="243">
      <c r="A243" s="54" t="s">
        <v>1494</v>
      </c>
      <c r="B243" s="50" t="s">
        <v>1495</v>
      </c>
      <c r="C243" s="51" t="s">
        <v>687</v>
      </c>
      <c r="D243" s="51"/>
      <c r="E243" s="51"/>
      <c r="F243" s="51"/>
      <c r="G243" s="50" t="s">
        <v>1496</v>
      </c>
      <c r="H243" s="52">
        <v>44683.452673611115</v>
      </c>
      <c r="I243" s="50"/>
      <c r="J243" s="50"/>
      <c r="K243" s="50"/>
      <c r="L243" s="50"/>
      <c r="M243" s="50" t="s">
        <v>1497</v>
      </c>
      <c r="N243" s="50"/>
      <c r="O243" s="53" t="s">
        <v>60</v>
      </c>
      <c r="P243" s="55" t="s">
        <v>1498</v>
      </c>
      <c r="Q243" s="50">
        <v>546.0</v>
      </c>
      <c r="R243" s="50">
        <v>737.0</v>
      </c>
      <c r="S243" s="50" t="s">
        <v>219</v>
      </c>
      <c r="T243" s="56" t="s">
        <v>1499</v>
      </c>
      <c r="U243" s="53" t="s">
        <v>691</v>
      </c>
    </row>
    <row r="244">
      <c r="A244" s="54" t="s">
        <v>1500</v>
      </c>
      <c r="B244" s="50" t="s">
        <v>1501</v>
      </c>
      <c r="C244" s="51" t="s">
        <v>1402</v>
      </c>
      <c r="D244" s="51"/>
      <c r="E244" s="51"/>
      <c r="F244" s="51"/>
      <c r="G244" s="50" t="s">
        <v>1502</v>
      </c>
      <c r="H244" s="52">
        <v>44683.45266203704</v>
      </c>
      <c r="I244" s="50"/>
      <c r="J244" s="50"/>
      <c r="K244" s="50"/>
      <c r="L244" s="50"/>
      <c r="M244" s="50" t="s">
        <v>1503</v>
      </c>
      <c r="N244" s="50"/>
      <c r="O244" s="53" t="s">
        <v>217</v>
      </c>
      <c r="P244" s="55" t="s">
        <v>1504</v>
      </c>
      <c r="Q244" s="50">
        <v>15818.0</v>
      </c>
      <c r="R244" s="50">
        <v>11432.0</v>
      </c>
      <c r="S244" s="50" t="s">
        <v>1505</v>
      </c>
      <c r="T244" s="56" t="s">
        <v>1506</v>
      </c>
      <c r="U244" s="53" t="s">
        <v>1408</v>
      </c>
    </row>
    <row r="245">
      <c r="A245" s="54" t="s">
        <v>1507</v>
      </c>
      <c r="B245" s="50" t="s">
        <v>1508</v>
      </c>
      <c r="C245" s="51" t="s">
        <v>367</v>
      </c>
      <c r="D245" s="51"/>
      <c r="E245" s="51"/>
      <c r="F245" s="51"/>
      <c r="G245" s="50" t="s">
        <v>1509</v>
      </c>
      <c r="H245" s="52">
        <v>44683.45260416667</v>
      </c>
      <c r="I245" s="50"/>
      <c r="J245" s="50"/>
      <c r="K245" s="50"/>
      <c r="L245" s="50"/>
      <c r="M245" s="50" t="s">
        <v>1510</v>
      </c>
      <c r="N245" s="50"/>
      <c r="O245" s="53" t="s">
        <v>92</v>
      </c>
      <c r="P245" s="55" t="s">
        <v>1511</v>
      </c>
      <c r="Q245" s="50">
        <v>131452.0</v>
      </c>
      <c r="R245" s="50">
        <v>5558.0</v>
      </c>
      <c r="S245" s="50" t="s">
        <v>129</v>
      </c>
      <c r="T245" s="56" t="s">
        <v>1512</v>
      </c>
      <c r="U245" s="53" t="s">
        <v>370</v>
      </c>
    </row>
    <row r="246">
      <c r="A246" s="54" t="s">
        <v>1513</v>
      </c>
      <c r="B246" s="50" t="s">
        <v>1514</v>
      </c>
      <c r="C246" s="51" t="s">
        <v>855</v>
      </c>
      <c r="D246" s="51"/>
      <c r="E246" s="51"/>
      <c r="F246" s="51"/>
      <c r="G246" s="50" t="s">
        <v>1515</v>
      </c>
      <c r="H246" s="52">
        <v>44683.452581018515</v>
      </c>
      <c r="I246" s="50"/>
      <c r="J246" s="50"/>
      <c r="K246" s="50"/>
      <c r="L246" s="50"/>
      <c r="M246" s="50" t="s">
        <v>1516</v>
      </c>
      <c r="N246" s="50"/>
      <c r="O246" s="53" t="s">
        <v>92</v>
      </c>
      <c r="P246" s="55" t="s">
        <v>1517</v>
      </c>
      <c r="Q246" s="50">
        <v>140.0</v>
      </c>
      <c r="R246" s="50">
        <v>514.0</v>
      </c>
      <c r="S246" s="50" t="s">
        <v>1518</v>
      </c>
      <c r="T246" s="56" t="s">
        <v>1519</v>
      </c>
      <c r="U246" s="53" t="s">
        <v>861</v>
      </c>
    </row>
    <row r="247">
      <c r="A247" s="54" t="s">
        <v>1520</v>
      </c>
      <c r="B247" s="50" t="s">
        <v>1521</v>
      </c>
      <c r="C247" s="51" t="s">
        <v>367</v>
      </c>
      <c r="D247" s="51"/>
      <c r="E247" s="51"/>
      <c r="F247" s="51"/>
      <c r="G247" s="50" t="s">
        <v>1522</v>
      </c>
      <c r="H247" s="52">
        <v>44683.45255787037</v>
      </c>
      <c r="I247" s="50"/>
      <c r="J247" s="50"/>
      <c r="K247" s="50"/>
      <c r="L247" s="50"/>
      <c r="M247" s="50" t="s">
        <v>1523</v>
      </c>
      <c r="N247" s="50"/>
      <c r="O247" s="53" t="s">
        <v>217</v>
      </c>
      <c r="P247" s="55" t="s">
        <v>1524</v>
      </c>
      <c r="Q247" s="50">
        <v>18415.0</v>
      </c>
      <c r="R247" s="50">
        <v>2752.0</v>
      </c>
      <c r="S247" s="50" t="s">
        <v>1525</v>
      </c>
      <c r="T247" s="56" t="s">
        <v>1526</v>
      </c>
      <c r="U247" s="53" t="s">
        <v>370</v>
      </c>
    </row>
    <row r="248">
      <c r="A248" s="54" t="s">
        <v>1527</v>
      </c>
      <c r="B248" s="50" t="s">
        <v>1528</v>
      </c>
      <c r="C248" s="51" t="s">
        <v>367</v>
      </c>
      <c r="D248" s="51"/>
      <c r="E248" s="51"/>
      <c r="F248" s="51"/>
      <c r="G248" s="50" t="s">
        <v>1529</v>
      </c>
      <c r="H248" s="52">
        <v>44683.45252314815</v>
      </c>
      <c r="I248" s="50"/>
      <c r="J248" s="50"/>
      <c r="K248" s="50"/>
      <c r="L248" s="50"/>
      <c r="M248" s="50" t="s">
        <v>1530</v>
      </c>
      <c r="N248" s="50"/>
      <c r="O248" s="53" t="s">
        <v>70</v>
      </c>
      <c r="P248" s="55" t="s">
        <v>1531</v>
      </c>
      <c r="Q248" s="50">
        <v>17.0</v>
      </c>
      <c r="R248" s="50">
        <v>38.0</v>
      </c>
      <c r="S248" s="50"/>
      <c r="T248" s="56" t="s">
        <v>1532</v>
      </c>
      <c r="U248" s="53" t="s">
        <v>370</v>
      </c>
    </row>
    <row r="249">
      <c r="A249" s="54" t="s">
        <v>1533</v>
      </c>
      <c r="B249" s="50" t="s">
        <v>1534</v>
      </c>
      <c r="C249" s="51" t="s">
        <v>1535</v>
      </c>
      <c r="D249" s="51"/>
      <c r="E249" s="51"/>
      <c r="F249" s="51"/>
      <c r="G249" s="50" t="s">
        <v>1536</v>
      </c>
      <c r="H249" s="52">
        <v>44683.45238425926</v>
      </c>
      <c r="I249" s="50"/>
      <c r="J249" s="50"/>
      <c r="K249" s="50"/>
      <c r="L249" s="50"/>
      <c r="M249" s="50" t="s">
        <v>1537</v>
      </c>
      <c r="N249" s="50"/>
      <c r="O249" s="53" t="s">
        <v>60</v>
      </c>
      <c r="P249" s="55" t="s">
        <v>1538</v>
      </c>
      <c r="Q249" s="50">
        <v>476.0</v>
      </c>
      <c r="R249" s="50">
        <v>681.0</v>
      </c>
      <c r="S249" s="50" t="s">
        <v>1539</v>
      </c>
      <c r="T249" s="56" t="s">
        <v>1540</v>
      </c>
      <c r="U249" s="53" t="s">
        <v>1541</v>
      </c>
    </row>
    <row r="250">
      <c r="A250" s="54" t="s">
        <v>1542</v>
      </c>
      <c r="B250" s="50" t="s">
        <v>1543</v>
      </c>
      <c r="C250" s="51" t="s">
        <v>316</v>
      </c>
      <c r="D250" s="51"/>
      <c r="E250" s="51"/>
      <c r="F250" s="51"/>
      <c r="G250" s="50" t="s">
        <v>1544</v>
      </c>
      <c r="H250" s="52">
        <v>44683.45234953704</v>
      </c>
      <c r="I250" s="50"/>
      <c r="J250" s="50"/>
      <c r="K250" s="50"/>
      <c r="L250" s="50"/>
      <c r="M250" s="50" t="s">
        <v>1545</v>
      </c>
      <c r="N250" s="50"/>
      <c r="O250" s="53" t="s">
        <v>92</v>
      </c>
      <c r="P250" s="55" t="s">
        <v>1546</v>
      </c>
      <c r="Q250" s="50">
        <v>2437.0</v>
      </c>
      <c r="R250" s="50">
        <v>3425.0</v>
      </c>
      <c r="S250" s="50" t="s">
        <v>1547</v>
      </c>
      <c r="T250" s="56" t="s">
        <v>1548</v>
      </c>
      <c r="U250" s="53" t="s">
        <v>322</v>
      </c>
    </row>
    <row r="251">
      <c r="A251" s="54" t="s">
        <v>1549</v>
      </c>
      <c r="B251" s="50" t="s">
        <v>1550</v>
      </c>
      <c r="C251" s="51" t="s">
        <v>1551</v>
      </c>
      <c r="D251" s="51"/>
      <c r="E251" s="51"/>
      <c r="F251" s="51"/>
      <c r="G251" s="50" t="s">
        <v>1552</v>
      </c>
      <c r="H251" s="52">
        <v>44683.45233796297</v>
      </c>
      <c r="I251" s="50"/>
      <c r="J251" s="50"/>
      <c r="K251" s="50"/>
      <c r="L251" s="50"/>
      <c r="M251" s="50" t="s">
        <v>1553</v>
      </c>
      <c r="N251" s="50"/>
      <c r="O251" s="53" t="s">
        <v>70</v>
      </c>
      <c r="P251" s="55" t="s">
        <v>1554</v>
      </c>
      <c r="Q251" s="50">
        <v>380.0</v>
      </c>
      <c r="R251" s="50">
        <v>526.0</v>
      </c>
      <c r="S251" s="50"/>
      <c r="T251" s="56" t="s">
        <v>1555</v>
      </c>
      <c r="U251" s="53" t="s">
        <v>1556</v>
      </c>
    </row>
    <row r="252">
      <c r="A252" s="54" t="s">
        <v>1557</v>
      </c>
      <c r="B252" s="50" t="s">
        <v>1558</v>
      </c>
      <c r="C252" s="51" t="s">
        <v>329</v>
      </c>
      <c r="D252" s="51"/>
      <c r="E252" s="51"/>
      <c r="F252" s="51"/>
      <c r="G252" s="50" t="s">
        <v>1559</v>
      </c>
      <c r="H252" s="52">
        <v>44683.45212962963</v>
      </c>
      <c r="I252" s="50"/>
      <c r="J252" s="50"/>
      <c r="K252" s="50"/>
      <c r="L252" s="50"/>
      <c r="M252" s="50" t="s">
        <v>1560</v>
      </c>
      <c r="N252" s="50"/>
      <c r="O252" s="53" t="s">
        <v>70</v>
      </c>
      <c r="P252" s="55" t="s">
        <v>1561</v>
      </c>
      <c r="Q252" s="50">
        <v>7412.0</v>
      </c>
      <c r="R252" s="50">
        <v>7216.0</v>
      </c>
      <c r="S252" s="50"/>
      <c r="T252" s="56" t="s">
        <v>1562</v>
      </c>
      <c r="U252" s="53" t="s">
        <v>332</v>
      </c>
    </row>
    <row r="253">
      <c r="A253" s="54" t="s">
        <v>1563</v>
      </c>
      <c r="B253" s="50" t="s">
        <v>1564</v>
      </c>
      <c r="C253" s="51" t="s">
        <v>1565</v>
      </c>
      <c r="D253" s="51"/>
      <c r="E253" s="51"/>
      <c r="F253" s="51"/>
      <c r="G253" s="50" t="s">
        <v>1566</v>
      </c>
      <c r="H253" s="52">
        <v>44683.452002314814</v>
      </c>
      <c r="I253" s="50"/>
      <c r="J253" s="50"/>
      <c r="K253" s="50"/>
      <c r="L253" s="50"/>
      <c r="M253" s="50" t="s">
        <v>1567</v>
      </c>
      <c r="N253" s="50"/>
      <c r="O253" s="53" t="s">
        <v>70</v>
      </c>
      <c r="P253" s="55" t="s">
        <v>1568</v>
      </c>
      <c r="Q253" s="50">
        <v>159.0</v>
      </c>
      <c r="R253" s="50">
        <v>795.0</v>
      </c>
      <c r="S253" s="50"/>
      <c r="T253" s="56" t="s">
        <v>1569</v>
      </c>
      <c r="U253" s="53" t="s">
        <v>1570</v>
      </c>
    </row>
    <row r="254">
      <c r="A254" s="54" t="s">
        <v>1571</v>
      </c>
      <c r="B254" s="50" t="s">
        <v>1469</v>
      </c>
      <c r="C254" s="51" t="s">
        <v>1572</v>
      </c>
      <c r="D254" s="51"/>
      <c r="E254" s="51"/>
      <c r="F254" s="51"/>
      <c r="G254" s="50" t="s">
        <v>1573</v>
      </c>
      <c r="H254" s="52">
        <v>44683.45189814815</v>
      </c>
      <c r="I254" s="50"/>
      <c r="J254" s="50"/>
      <c r="K254" s="50" t="s">
        <v>1574</v>
      </c>
      <c r="L254" s="50" t="s">
        <v>1575</v>
      </c>
      <c r="M254" s="50" t="s">
        <v>1471</v>
      </c>
      <c r="N254" s="50" t="s">
        <v>1576</v>
      </c>
      <c r="O254" s="53" t="s">
        <v>60</v>
      </c>
      <c r="P254" s="55" t="s">
        <v>1472</v>
      </c>
      <c r="Q254" s="50">
        <v>5739.0</v>
      </c>
      <c r="R254" s="50">
        <v>6152.0</v>
      </c>
      <c r="S254" s="50" t="s">
        <v>1473</v>
      </c>
      <c r="T254" s="56" t="s">
        <v>1577</v>
      </c>
      <c r="U254" s="53" t="s">
        <v>1578</v>
      </c>
    </row>
    <row r="255">
      <c r="A255" s="54" t="s">
        <v>1579</v>
      </c>
      <c r="B255" s="50" t="s">
        <v>1580</v>
      </c>
      <c r="C255" s="51" t="s">
        <v>1307</v>
      </c>
      <c r="D255" s="51"/>
      <c r="E255" s="51"/>
      <c r="F255" s="51"/>
      <c r="G255" s="50" t="s">
        <v>1581</v>
      </c>
      <c r="H255" s="52">
        <v>44683.45174768519</v>
      </c>
      <c r="I255" s="50"/>
      <c r="J255" s="50"/>
      <c r="K255" s="50"/>
      <c r="L255" s="50"/>
      <c r="M255" s="50" t="s">
        <v>1582</v>
      </c>
      <c r="N255" s="50"/>
      <c r="O255" s="53" t="s">
        <v>70</v>
      </c>
      <c r="P255" s="55" t="s">
        <v>1583</v>
      </c>
      <c r="Q255" s="50">
        <v>1053.0</v>
      </c>
      <c r="R255" s="50">
        <v>1239.0</v>
      </c>
      <c r="S255" s="50" t="s">
        <v>1584</v>
      </c>
      <c r="T255" s="56" t="s">
        <v>1585</v>
      </c>
      <c r="U255" s="53" t="s">
        <v>1313</v>
      </c>
    </row>
    <row r="256">
      <c r="A256" s="54" t="s">
        <v>1586</v>
      </c>
      <c r="B256" s="50" t="s">
        <v>1587</v>
      </c>
      <c r="C256" s="51" t="s">
        <v>1402</v>
      </c>
      <c r="D256" s="51"/>
      <c r="E256" s="51"/>
      <c r="F256" s="51"/>
      <c r="G256" s="50" t="s">
        <v>1588</v>
      </c>
      <c r="H256" s="52">
        <v>44683.45165509259</v>
      </c>
      <c r="I256" s="50"/>
      <c r="J256" s="50"/>
      <c r="K256" s="50"/>
      <c r="L256" s="50"/>
      <c r="M256" s="50" t="s">
        <v>1589</v>
      </c>
      <c r="N256" s="50"/>
      <c r="O256" s="53" t="s">
        <v>60</v>
      </c>
      <c r="P256" s="55" t="s">
        <v>1590</v>
      </c>
      <c r="Q256" s="50">
        <v>3478.0</v>
      </c>
      <c r="R256" s="50">
        <v>4979.0</v>
      </c>
      <c r="S256" s="50" t="s">
        <v>1591</v>
      </c>
      <c r="T256" s="56" t="s">
        <v>1592</v>
      </c>
      <c r="U256" s="53" t="s">
        <v>1408</v>
      </c>
    </row>
    <row r="257">
      <c r="A257" s="54" t="s">
        <v>1593</v>
      </c>
      <c r="B257" s="50" t="s">
        <v>1594</v>
      </c>
      <c r="C257" s="51" t="s">
        <v>1595</v>
      </c>
      <c r="D257" s="51"/>
      <c r="E257" s="51"/>
      <c r="F257" s="51"/>
      <c r="G257" s="50" t="s">
        <v>1596</v>
      </c>
      <c r="H257" s="52">
        <v>44683.45155092592</v>
      </c>
      <c r="I257" s="50"/>
      <c r="J257" s="50"/>
      <c r="K257" s="50"/>
      <c r="L257" s="50"/>
      <c r="M257" s="50" t="s">
        <v>1597</v>
      </c>
      <c r="N257" s="50"/>
      <c r="O257" s="53" t="s">
        <v>60</v>
      </c>
      <c r="P257" s="55" t="s">
        <v>1598</v>
      </c>
      <c r="Q257" s="50">
        <v>1385.0</v>
      </c>
      <c r="R257" s="50">
        <v>600.0</v>
      </c>
      <c r="S257" s="50" t="s">
        <v>1599</v>
      </c>
      <c r="T257" s="56" t="s">
        <v>1600</v>
      </c>
      <c r="U257" s="53" t="s">
        <v>1601</v>
      </c>
    </row>
    <row r="258">
      <c r="A258" s="54" t="s">
        <v>1602</v>
      </c>
      <c r="B258" s="50" t="s">
        <v>1603</v>
      </c>
      <c r="C258" s="51" t="s">
        <v>367</v>
      </c>
      <c r="D258" s="51"/>
      <c r="E258" s="51"/>
      <c r="F258" s="51"/>
      <c r="G258" s="50" t="s">
        <v>1604</v>
      </c>
      <c r="H258" s="52">
        <v>44683.45144675926</v>
      </c>
      <c r="I258" s="50"/>
      <c r="J258" s="50"/>
      <c r="K258" s="50"/>
      <c r="L258" s="50"/>
      <c r="M258" s="50" t="s">
        <v>1605</v>
      </c>
      <c r="N258" s="50"/>
      <c r="O258" s="53" t="s">
        <v>92</v>
      </c>
      <c r="P258" s="55" t="s">
        <v>1606</v>
      </c>
      <c r="Q258" s="50">
        <v>928.0</v>
      </c>
      <c r="R258" s="50">
        <v>1159.0</v>
      </c>
      <c r="S258" s="50" t="s">
        <v>1607</v>
      </c>
      <c r="T258" s="56" t="s">
        <v>1608</v>
      </c>
      <c r="U258" s="53" t="s">
        <v>370</v>
      </c>
    </row>
    <row r="259">
      <c r="A259" s="54" t="s">
        <v>1609</v>
      </c>
      <c r="B259" s="50" t="s">
        <v>1469</v>
      </c>
      <c r="C259" s="51" t="s">
        <v>1402</v>
      </c>
      <c r="D259" s="51"/>
      <c r="E259" s="51"/>
      <c r="F259" s="51"/>
      <c r="G259" s="50" t="s">
        <v>1610</v>
      </c>
      <c r="H259" s="52">
        <v>44683.45135416667</v>
      </c>
      <c r="I259" s="50"/>
      <c r="J259" s="50"/>
      <c r="K259" s="50"/>
      <c r="L259" s="50"/>
      <c r="M259" s="50" t="s">
        <v>1471</v>
      </c>
      <c r="N259" s="50"/>
      <c r="O259" s="53" t="s">
        <v>60</v>
      </c>
      <c r="P259" s="55" t="s">
        <v>1472</v>
      </c>
      <c r="Q259" s="50">
        <v>5739.0</v>
      </c>
      <c r="R259" s="50">
        <v>6152.0</v>
      </c>
      <c r="S259" s="50" t="s">
        <v>1473</v>
      </c>
      <c r="T259" s="56" t="s">
        <v>1611</v>
      </c>
      <c r="U259" s="53" t="s">
        <v>1408</v>
      </c>
    </row>
    <row r="260">
      <c r="A260" s="54" t="s">
        <v>1612</v>
      </c>
      <c r="B260" s="50" t="s">
        <v>1613</v>
      </c>
      <c r="C260" s="51" t="s">
        <v>1614</v>
      </c>
      <c r="D260" s="51"/>
      <c r="E260" s="51"/>
      <c r="F260" s="51"/>
      <c r="G260" s="50" t="s">
        <v>1615</v>
      </c>
      <c r="H260" s="52">
        <v>44683.451307870375</v>
      </c>
      <c r="I260" s="50"/>
      <c r="J260" s="50"/>
      <c r="K260" s="50"/>
      <c r="L260" s="50"/>
      <c r="M260" s="50" t="s">
        <v>1616</v>
      </c>
      <c r="N260" s="50"/>
      <c r="O260" s="53" t="s">
        <v>70</v>
      </c>
      <c r="P260" s="55" t="s">
        <v>1617</v>
      </c>
      <c r="Q260" s="50">
        <v>207.0</v>
      </c>
      <c r="R260" s="50">
        <v>622.0</v>
      </c>
      <c r="S260" s="50" t="s">
        <v>379</v>
      </c>
      <c r="T260" s="56" t="s">
        <v>1618</v>
      </c>
      <c r="U260" s="53" t="s">
        <v>1619</v>
      </c>
    </row>
    <row r="261">
      <c r="A261" s="54" t="s">
        <v>1620</v>
      </c>
      <c r="B261" s="50" t="s">
        <v>1621</v>
      </c>
      <c r="C261" s="51" t="s">
        <v>1551</v>
      </c>
      <c r="D261" s="51"/>
      <c r="E261" s="51"/>
      <c r="F261" s="51"/>
      <c r="G261" s="50" t="s">
        <v>1622</v>
      </c>
      <c r="H261" s="52">
        <v>44683.450949074075</v>
      </c>
      <c r="I261" s="50"/>
      <c r="J261" s="50"/>
      <c r="K261" s="50"/>
      <c r="L261" s="50"/>
      <c r="M261" s="50" t="s">
        <v>1623</v>
      </c>
      <c r="N261" s="50"/>
      <c r="O261" s="53" t="s">
        <v>92</v>
      </c>
      <c r="P261" s="55" t="s">
        <v>1624</v>
      </c>
      <c r="Q261" s="50">
        <v>948.0</v>
      </c>
      <c r="R261" s="50">
        <v>1102.0</v>
      </c>
      <c r="S261" s="50"/>
      <c r="T261" s="56" t="s">
        <v>1625</v>
      </c>
      <c r="U261" s="53" t="s">
        <v>1556</v>
      </c>
    </row>
    <row r="262">
      <c r="A262" s="54" t="s">
        <v>1626</v>
      </c>
      <c r="B262" s="50" t="s">
        <v>1627</v>
      </c>
      <c r="C262" s="51" t="s">
        <v>1628</v>
      </c>
      <c r="D262" s="51"/>
      <c r="E262" s="51"/>
      <c r="F262" s="51"/>
      <c r="G262" s="50" t="s">
        <v>1629</v>
      </c>
      <c r="H262" s="52">
        <v>44683.45085648148</v>
      </c>
      <c r="I262" s="50"/>
      <c r="J262" s="50"/>
      <c r="K262" s="50"/>
      <c r="L262" s="50"/>
      <c r="M262" s="50" t="s">
        <v>1630</v>
      </c>
      <c r="N262" s="50"/>
      <c r="O262" s="53" t="s">
        <v>92</v>
      </c>
      <c r="P262" s="55" t="s">
        <v>1631</v>
      </c>
      <c r="Q262" s="50">
        <v>530.0</v>
      </c>
      <c r="R262" s="50">
        <v>635.0</v>
      </c>
      <c r="S262" s="50" t="s">
        <v>1632</v>
      </c>
      <c r="T262" s="56" t="s">
        <v>1633</v>
      </c>
      <c r="U262" s="53" t="s">
        <v>1634</v>
      </c>
    </row>
    <row r="263">
      <c r="A263" s="54" t="s">
        <v>1635</v>
      </c>
      <c r="B263" s="50" t="s">
        <v>1636</v>
      </c>
      <c r="C263" s="51" t="s">
        <v>367</v>
      </c>
      <c r="D263" s="51"/>
      <c r="E263" s="51"/>
      <c r="F263" s="51"/>
      <c r="G263" s="50" t="s">
        <v>1637</v>
      </c>
      <c r="H263" s="52">
        <v>44683.45077546296</v>
      </c>
      <c r="I263" s="50"/>
      <c r="J263" s="50"/>
      <c r="K263" s="50"/>
      <c r="L263" s="50"/>
      <c r="M263" s="50" t="s">
        <v>1638</v>
      </c>
      <c r="N263" s="50"/>
      <c r="O263" s="53" t="s">
        <v>60</v>
      </c>
      <c r="P263" s="55" t="s">
        <v>1639</v>
      </c>
      <c r="Q263" s="50">
        <v>222.0</v>
      </c>
      <c r="R263" s="50">
        <v>184.0</v>
      </c>
      <c r="S263" s="50" t="s">
        <v>1640</v>
      </c>
      <c r="T263" s="56" t="s">
        <v>1641</v>
      </c>
      <c r="U263" s="53" t="s">
        <v>370</v>
      </c>
    </row>
    <row r="264">
      <c r="A264" s="54" t="s">
        <v>1642</v>
      </c>
      <c r="B264" s="50" t="s">
        <v>1643</v>
      </c>
      <c r="C264" s="51" t="s">
        <v>367</v>
      </c>
      <c r="D264" s="51"/>
      <c r="E264" s="51"/>
      <c r="F264" s="51"/>
      <c r="G264" s="50" t="s">
        <v>1644</v>
      </c>
      <c r="H264" s="52">
        <v>44683.45070601851</v>
      </c>
      <c r="I264" s="50"/>
      <c r="J264" s="50"/>
      <c r="K264" s="50"/>
      <c r="L264" s="50"/>
      <c r="M264" s="50" t="s">
        <v>1645</v>
      </c>
      <c r="N264" s="50"/>
      <c r="O264" s="53" t="s">
        <v>92</v>
      </c>
      <c r="P264" s="55" t="s">
        <v>1646</v>
      </c>
      <c r="Q264" s="50">
        <v>73.0</v>
      </c>
      <c r="R264" s="50">
        <v>209.0</v>
      </c>
      <c r="S264" s="50" t="s">
        <v>1647</v>
      </c>
      <c r="T264" s="56" t="s">
        <v>1648</v>
      </c>
      <c r="U264" s="53" t="s">
        <v>370</v>
      </c>
    </row>
    <row r="265">
      <c r="A265" s="54" t="s">
        <v>1649</v>
      </c>
      <c r="B265" s="50" t="s">
        <v>1650</v>
      </c>
      <c r="C265" s="51" t="s">
        <v>1651</v>
      </c>
      <c r="D265" s="51"/>
      <c r="E265" s="51"/>
      <c r="F265" s="51"/>
      <c r="G265" s="50" t="s">
        <v>1652</v>
      </c>
      <c r="H265" s="52">
        <v>44683.45061342593</v>
      </c>
      <c r="I265" s="50"/>
      <c r="J265" s="50"/>
      <c r="K265" s="50"/>
      <c r="L265" s="50"/>
      <c r="M265" s="50" t="s">
        <v>1653</v>
      </c>
      <c r="N265" s="50"/>
      <c r="O265" s="53" t="s">
        <v>92</v>
      </c>
      <c r="P265" s="55" t="s">
        <v>1654</v>
      </c>
      <c r="Q265" s="50">
        <v>606.0</v>
      </c>
      <c r="R265" s="50">
        <v>542.0</v>
      </c>
      <c r="S265" s="50" t="s">
        <v>1655</v>
      </c>
      <c r="T265" s="56" t="s">
        <v>1656</v>
      </c>
      <c r="U265" s="53" t="s">
        <v>1657</v>
      </c>
    </row>
    <row r="266">
      <c r="A266" s="54" t="s">
        <v>1658</v>
      </c>
      <c r="B266" s="50" t="s">
        <v>1659</v>
      </c>
      <c r="C266" s="51" t="s">
        <v>363</v>
      </c>
      <c r="D266" s="51"/>
      <c r="E266" s="51"/>
      <c r="F266" s="51"/>
      <c r="G266" s="50" t="s">
        <v>1652</v>
      </c>
      <c r="H266" s="52">
        <v>44683.45061342593</v>
      </c>
      <c r="I266" s="50"/>
      <c r="J266" s="50"/>
      <c r="K266" s="50"/>
      <c r="L266" s="50"/>
      <c r="M266" s="50" t="s">
        <v>1660</v>
      </c>
      <c r="N266" s="50"/>
      <c r="O266" s="53" t="s">
        <v>92</v>
      </c>
      <c r="P266" s="55" t="s">
        <v>1661</v>
      </c>
      <c r="Q266" s="50">
        <v>19.0</v>
      </c>
      <c r="R266" s="50">
        <v>77.0</v>
      </c>
      <c r="S266" s="50" t="s">
        <v>1662</v>
      </c>
      <c r="T266" s="56" t="s">
        <v>1663</v>
      </c>
      <c r="U266" s="53" t="s">
        <v>332</v>
      </c>
    </row>
    <row r="267">
      <c r="A267" s="54" t="s">
        <v>1664</v>
      </c>
      <c r="B267" s="50" t="s">
        <v>1564</v>
      </c>
      <c r="C267" s="51" t="s">
        <v>1665</v>
      </c>
      <c r="D267" s="51"/>
      <c r="E267" s="51"/>
      <c r="F267" s="51"/>
      <c r="G267" s="50" t="s">
        <v>1666</v>
      </c>
      <c r="H267" s="52">
        <v>44683.450578703705</v>
      </c>
      <c r="I267" s="50"/>
      <c r="J267" s="50"/>
      <c r="K267" s="50"/>
      <c r="L267" s="50"/>
      <c r="M267" s="50" t="s">
        <v>1567</v>
      </c>
      <c r="N267" s="50"/>
      <c r="O267" s="53" t="s">
        <v>70</v>
      </c>
      <c r="P267" s="55" t="s">
        <v>1568</v>
      </c>
      <c r="Q267" s="50">
        <v>159.0</v>
      </c>
      <c r="R267" s="50">
        <v>795.0</v>
      </c>
      <c r="S267" s="50"/>
      <c r="T267" s="56" t="s">
        <v>1667</v>
      </c>
      <c r="U267" s="53" t="s">
        <v>1668</v>
      </c>
    </row>
    <row r="268">
      <c r="A268" s="54" t="s">
        <v>1669</v>
      </c>
      <c r="B268" s="50" t="s">
        <v>1670</v>
      </c>
      <c r="C268" s="51" t="s">
        <v>855</v>
      </c>
      <c r="D268" s="51"/>
      <c r="E268" s="51"/>
      <c r="F268" s="51"/>
      <c r="G268" s="50" t="s">
        <v>1671</v>
      </c>
      <c r="H268" s="52">
        <v>44683.45025462963</v>
      </c>
      <c r="I268" s="50"/>
      <c r="J268" s="50"/>
      <c r="K268" s="50"/>
      <c r="L268" s="50"/>
      <c r="M268" s="50" t="s">
        <v>1672</v>
      </c>
      <c r="N268" s="50"/>
      <c r="O268" s="53" t="s">
        <v>70</v>
      </c>
      <c r="P268" s="55" t="s">
        <v>1673</v>
      </c>
      <c r="Q268" s="50">
        <v>58.0</v>
      </c>
      <c r="R268" s="50">
        <v>93.0</v>
      </c>
      <c r="S268" s="50"/>
      <c r="T268" s="56" t="s">
        <v>1674</v>
      </c>
      <c r="U268" s="53" t="s">
        <v>861</v>
      </c>
    </row>
    <row r="269">
      <c r="A269" s="54" t="s">
        <v>1675</v>
      </c>
      <c r="B269" s="50" t="s">
        <v>1676</v>
      </c>
      <c r="C269" s="51" t="s">
        <v>363</v>
      </c>
      <c r="D269" s="51"/>
      <c r="E269" s="51"/>
      <c r="F269" s="51"/>
      <c r="G269" s="50" t="s">
        <v>1677</v>
      </c>
      <c r="H269" s="52">
        <v>44683.45008101852</v>
      </c>
      <c r="I269" s="50"/>
      <c r="J269" s="50"/>
      <c r="K269" s="50"/>
      <c r="L269" s="50"/>
      <c r="M269" s="50" t="s">
        <v>1678</v>
      </c>
      <c r="N269" s="50"/>
      <c r="O269" s="53" t="s">
        <v>60</v>
      </c>
      <c r="P269" s="55" t="s">
        <v>1679</v>
      </c>
      <c r="Q269" s="50">
        <v>8438.0</v>
      </c>
      <c r="R269" s="50">
        <v>8082.0</v>
      </c>
      <c r="S269" s="50" t="s">
        <v>219</v>
      </c>
      <c r="T269" s="56" t="s">
        <v>1680</v>
      </c>
      <c r="U269" s="53" t="s">
        <v>332</v>
      </c>
    </row>
    <row r="270">
      <c r="A270" s="54" t="s">
        <v>1681</v>
      </c>
      <c r="B270" s="50" t="s">
        <v>1682</v>
      </c>
      <c r="C270" s="51" t="s">
        <v>687</v>
      </c>
      <c r="D270" s="51"/>
      <c r="E270" s="51"/>
      <c r="F270" s="51"/>
      <c r="G270" s="50" t="s">
        <v>1683</v>
      </c>
      <c r="H270" s="52">
        <v>44683.45</v>
      </c>
      <c r="I270" s="50"/>
      <c r="J270" s="50"/>
      <c r="K270" s="50"/>
      <c r="L270" s="50"/>
      <c r="M270" s="50" t="s">
        <v>1684</v>
      </c>
      <c r="N270" s="50"/>
      <c r="O270" s="53" t="s">
        <v>60</v>
      </c>
      <c r="P270" s="55" t="s">
        <v>1685</v>
      </c>
      <c r="Q270" s="50">
        <v>1056.0</v>
      </c>
      <c r="R270" s="50">
        <v>1910.0</v>
      </c>
      <c r="S270" s="50" t="s">
        <v>1686</v>
      </c>
      <c r="T270" s="56" t="s">
        <v>1687</v>
      </c>
      <c r="U270" s="53" t="s">
        <v>691</v>
      </c>
    </row>
    <row r="271">
      <c r="A271" s="54" t="s">
        <v>1688</v>
      </c>
      <c r="B271" s="50" t="s">
        <v>1689</v>
      </c>
      <c r="C271" s="51" t="s">
        <v>1690</v>
      </c>
      <c r="D271" s="51"/>
      <c r="E271" s="51"/>
      <c r="F271" s="51"/>
      <c r="G271" s="50" t="s">
        <v>1691</v>
      </c>
      <c r="H271" s="52">
        <v>44683.44998842593</v>
      </c>
      <c r="I271" s="50"/>
      <c r="J271" s="50"/>
      <c r="K271" s="50" t="s">
        <v>1692</v>
      </c>
      <c r="L271" s="50" t="s">
        <v>1693</v>
      </c>
      <c r="M271" s="50" t="s">
        <v>1694</v>
      </c>
      <c r="N271" s="50" t="s">
        <v>1695</v>
      </c>
      <c r="O271" s="53" t="s">
        <v>70</v>
      </c>
      <c r="P271" s="55" t="s">
        <v>1696</v>
      </c>
      <c r="Q271" s="50">
        <v>1738.0</v>
      </c>
      <c r="R271" s="50">
        <v>799.0</v>
      </c>
      <c r="S271" s="50" t="s">
        <v>1697</v>
      </c>
      <c r="T271" s="56" t="s">
        <v>1698</v>
      </c>
      <c r="U271" s="53" t="s">
        <v>1699</v>
      </c>
    </row>
    <row r="272">
      <c r="A272" s="54" t="s">
        <v>1700</v>
      </c>
      <c r="B272" s="50" t="s">
        <v>1701</v>
      </c>
      <c r="C272" s="51" t="s">
        <v>367</v>
      </c>
      <c r="D272" s="51"/>
      <c r="E272" s="51"/>
      <c r="F272" s="51"/>
      <c r="G272" s="50" t="s">
        <v>1702</v>
      </c>
      <c r="H272" s="52">
        <v>44683.44988425926</v>
      </c>
      <c r="I272" s="50"/>
      <c r="J272" s="50"/>
      <c r="K272" s="50"/>
      <c r="L272" s="50"/>
      <c r="M272" s="50" t="s">
        <v>1703</v>
      </c>
      <c r="N272" s="50"/>
      <c r="O272" s="53" t="s">
        <v>217</v>
      </c>
      <c r="P272" s="55" t="s">
        <v>1704</v>
      </c>
      <c r="Q272" s="50">
        <v>123.0</v>
      </c>
      <c r="R272" s="50">
        <v>150.0</v>
      </c>
      <c r="S272" s="50"/>
      <c r="T272" s="56" t="s">
        <v>1705</v>
      </c>
      <c r="U272" s="53" t="s">
        <v>370</v>
      </c>
    </row>
    <row r="273">
      <c r="A273" s="54" t="s">
        <v>1706</v>
      </c>
      <c r="B273" s="50" t="s">
        <v>1707</v>
      </c>
      <c r="C273" s="51" t="s">
        <v>316</v>
      </c>
      <c r="D273" s="51"/>
      <c r="E273" s="51"/>
      <c r="F273" s="51"/>
      <c r="G273" s="50" t="s">
        <v>1708</v>
      </c>
      <c r="H273" s="52">
        <v>44683.4497337963</v>
      </c>
      <c r="I273" s="50"/>
      <c r="J273" s="50"/>
      <c r="K273" s="50"/>
      <c r="L273" s="50"/>
      <c r="M273" s="50" t="s">
        <v>1709</v>
      </c>
      <c r="N273" s="50"/>
      <c r="O273" s="53" t="s">
        <v>217</v>
      </c>
      <c r="P273" s="55" t="s">
        <v>1710</v>
      </c>
      <c r="Q273" s="50">
        <v>215.0</v>
      </c>
      <c r="R273" s="50">
        <v>507.0</v>
      </c>
      <c r="S273" s="50" t="s">
        <v>1711</v>
      </c>
      <c r="T273" s="56" t="s">
        <v>1712</v>
      </c>
      <c r="U273" s="53" t="s">
        <v>322</v>
      </c>
    </row>
    <row r="274">
      <c r="A274" s="54" t="s">
        <v>1713</v>
      </c>
      <c r="B274" s="50" t="s">
        <v>1714</v>
      </c>
      <c r="C274" s="51" t="s">
        <v>505</v>
      </c>
      <c r="D274" s="51"/>
      <c r="E274" s="51"/>
      <c r="F274" s="51"/>
      <c r="G274" s="50" t="s">
        <v>1715</v>
      </c>
      <c r="H274" s="52">
        <v>44683.44969907407</v>
      </c>
      <c r="I274" s="50"/>
      <c r="J274" s="50"/>
      <c r="K274" s="50"/>
      <c r="L274" s="50"/>
      <c r="M274" s="50" t="s">
        <v>1716</v>
      </c>
      <c r="N274" s="50"/>
      <c r="O274" s="53" t="s">
        <v>92</v>
      </c>
      <c r="P274" s="55" t="s">
        <v>1717</v>
      </c>
      <c r="Q274" s="50">
        <v>32261.0</v>
      </c>
      <c r="R274" s="50">
        <v>20453.0</v>
      </c>
      <c r="S274" s="50" t="s">
        <v>1718</v>
      </c>
      <c r="T274" s="56" t="s">
        <v>1719</v>
      </c>
      <c r="U274" s="53" t="s">
        <v>511</v>
      </c>
    </row>
    <row r="275">
      <c r="A275" s="54" t="s">
        <v>1720</v>
      </c>
      <c r="B275" s="50" t="s">
        <v>1721</v>
      </c>
      <c r="C275" s="51" t="s">
        <v>367</v>
      </c>
      <c r="D275" s="51"/>
      <c r="E275" s="51"/>
      <c r="F275" s="51"/>
      <c r="G275" s="50" t="s">
        <v>1722</v>
      </c>
      <c r="H275" s="52">
        <v>44683.449594907404</v>
      </c>
      <c r="I275" s="50"/>
      <c r="J275" s="50"/>
      <c r="K275" s="50"/>
      <c r="L275" s="50"/>
      <c r="M275" s="50" t="s">
        <v>1723</v>
      </c>
      <c r="N275" s="50"/>
      <c r="O275" s="53" t="s">
        <v>70</v>
      </c>
      <c r="P275" s="55" t="s">
        <v>1724</v>
      </c>
      <c r="Q275" s="50">
        <v>156.0</v>
      </c>
      <c r="R275" s="50">
        <v>136.0</v>
      </c>
      <c r="S275" s="50" t="s">
        <v>1725</v>
      </c>
      <c r="T275" s="56" t="s">
        <v>1726</v>
      </c>
      <c r="U275" s="53" t="s">
        <v>370</v>
      </c>
    </row>
    <row r="276">
      <c r="A276" s="54" t="s">
        <v>1727</v>
      </c>
      <c r="B276" s="50" t="s">
        <v>1707</v>
      </c>
      <c r="C276" s="51" t="s">
        <v>367</v>
      </c>
      <c r="D276" s="51"/>
      <c r="E276" s="51"/>
      <c r="F276" s="51"/>
      <c r="G276" s="50" t="s">
        <v>1722</v>
      </c>
      <c r="H276" s="52">
        <v>44683.449594907404</v>
      </c>
      <c r="I276" s="50"/>
      <c r="J276" s="50"/>
      <c r="K276" s="50"/>
      <c r="L276" s="50"/>
      <c r="M276" s="50" t="s">
        <v>1709</v>
      </c>
      <c r="N276" s="50"/>
      <c r="O276" s="53" t="s">
        <v>217</v>
      </c>
      <c r="P276" s="55" t="s">
        <v>1710</v>
      </c>
      <c r="Q276" s="50">
        <v>215.0</v>
      </c>
      <c r="R276" s="50">
        <v>507.0</v>
      </c>
      <c r="S276" s="50" t="s">
        <v>1711</v>
      </c>
      <c r="T276" s="56" t="s">
        <v>1728</v>
      </c>
      <c r="U276" s="53" t="s">
        <v>370</v>
      </c>
    </row>
    <row r="277">
      <c r="A277" s="54" t="s">
        <v>1729</v>
      </c>
      <c r="B277" s="50" t="s">
        <v>1730</v>
      </c>
      <c r="C277" s="51" t="s">
        <v>363</v>
      </c>
      <c r="D277" s="51"/>
      <c r="E277" s="51"/>
      <c r="F277" s="51"/>
      <c r="G277" s="50" t="s">
        <v>1731</v>
      </c>
      <c r="H277" s="52">
        <v>44683.449467592596</v>
      </c>
      <c r="I277" s="50"/>
      <c r="J277" s="50"/>
      <c r="K277" s="50"/>
      <c r="L277" s="50"/>
      <c r="M277" s="50" t="s">
        <v>1732</v>
      </c>
      <c r="N277" s="50"/>
      <c r="O277" s="53" t="s">
        <v>92</v>
      </c>
      <c r="P277" s="55" t="s">
        <v>1733</v>
      </c>
      <c r="Q277" s="50">
        <v>3441.0</v>
      </c>
      <c r="R277" s="50">
        <v>3983.0</v>
      </c>
      <c r="S277" s="50"/>
      <c r="T277" s="56" t="s">
        <v>1734</v>
      </c>
      <c r="U277" s="53" t="s">
        <v>332</v>
      </c>
    </row>
    <row r="278">
      <c r="A278" s="54" t="s">
        <v>1735</v>
      </c>
      <c r="B278" s="50" t="s">
        <v>1736</v>
      </c>
      <c r="C278" s="51" t="s">
        <v>505</v>
      </c>
      <c r="D278" s="51"/>
      <c r="E278" s="51"/>
      <c r="F278" s="51"/>
      <c r="G278" s="50" t="s">
        <v>1737</v>
      </c>
      <c r="H278" s="52">
        <v>44683.44934027777</v>
      </c>
      <c r="I278" s="50"/>
      <c r="J278" s="50"/>
      <c r="K278" s="50"/>
      <c r="L278" s="50"/>
      <c r="M278" s="50" t="s">
        <v>1738</v>
      </c>
      <c r="N278" s="50"/>
      <c r="O278" s="53" t="s">
        <v>1739</v>
      </c>
      <c r="P278" s="55" t="s">
        <v>1740</v>
      </c>
      <c r="Q278" s="50">
        <v>3355.0</v>
      </c>
      <c r="R278" s="50">
        <v>1645.0</v>
      </c>
      <c r="S278" s="50" t="s">
        <v>1741</v>
      </c>
      <c r="T278" s="56" t="s">
        <v>1742</v>
      </c>
      <c r="U278" s="53" t="s">
        <v>511</v>
      </c>
    </row>
    <row r="279">
      <c r="A279" s="54" t="s">
        <v>1743</v>
      </c>
      <c r="B279" s="50" t="s">
        <v>1744</v>
      </c>
      <c r="C279" s="51" t="s">
        <v>1402</v>
      </c>
      <c r="D279" s="51"/>
      <c r="E279" s="51"/>
      <c r="F279" s="51"/>
      <c r="G279" s="50" t="s">
        <v>1745</v>
      </c>
      <c r="H279" s="52">
        <v>44683.44928240741</v>
      </c>
      <c r="I279" s="50"/>
      <c r="J279" s="50"/>
      <c r="K279" s="50"/>
      <c r="L279" s="50"/>
      <c r="M279" s="50" t="s">
        <v>1746</v>
      </c>
      <c r="N279" s="50"/>
      <c r="O279" s="53" t="s">
        <v>217</v>
      </c>
      <c r="P279" s="55" t="s">
        <v>1747</v>
      </c>
      <c r="Q279" s="50">
        <v>2569.0</v>
      </c>
      <c r="R279" s="50">
        <v>3901.0</v>
      </c>
      <c r="S279" s="50" t="s">
        <v>1748</v>
      </c>
      <c r="T279" s="56" t="s">
        <v>1749</v>
      </c>
      <c r="U279" s="53" t="s">
        <v>1408</v>
      </c>
    </row>
    <row r="280">
      <c r="A280" s="54" t="s">
        <v>1750</v>
      </c>
      <c r="B280" s="50" t="s">
        <v>1751</v>
      </c>
      <c r="C280" s="51" t="s">
        <v>367</v>
      </c>
      <c r="D280" s="51"/>
      <c r="E280" s="51"/>
      <c r="F280" s="51"/>
      <c r="G280" s="50" t="s">
        <v>1752</v>
      </c>
      <c r="H280" s="52">
        <v>44683.449224537035</v>
      </c>
      <c r="I280" s="50"/>
      <c r="J280" s="50"/>
      <c r="K280" s="50"/>
      <c r="L280" s="50"/>
      <c r="M280" s="50" t="s">
        <v>1753</v>
      </c>
      <c r="N280" s="50"/>
      <c r="O280" s="53" t="s">
        <v>92</v>
      </c>
      <c r="P280" s="55" t="s">
        <v>1754</v>
      </c>
      <c r="Q280" s="50">
        <v>2029.0</v>
      </c>
      <c r="R280" s="50">
        <v>1439.0</v>
      </c>
      <c r="S280" s="50" t="s">
        <v>1755</v>
      </c>
      <c r="T280" s="56" t="s">
        <v>1756</v>
      </c>
      <c r="U280" s="53" t="s">
        <v>370</v>
      </c>
    </row>
    <row r="281">
      <c r="A281" s="54" t="s">
        <v>1757</v>
      </c>
      <c r="B281" s="50" t="s">
        <v>1758</v>
      </c>
      <c r="C281" s="51" t="s">
        <v>505</v>
      </c>
      <c r="D281" s="51"/>
      <c r="E281" s="51"/>
      <c r="F281" s="51"/>
      <c r="G281" s="50" t="s">
        <v>1759</v>
      </c>
      <c r="H281" s="52">
        <v>44683.44909722223</v>
      </c>
      <c r="I281" s="50"/>
      <c r="J281" s="50"/>
      <c r="K281" s="50"/>
      <c r="L281" s="50"/>
      <c r="M281" s="50" t="s">
        <v>1760</v>
      </c>
      <c r="N281" s="50"/>
      <c r="O281" s="53" t="s">
        <v>60</v>
      </c>
      <c r="P281" s="55" t="s">
        <v>1761</v>
      </c>
      <c r="Q281" s="50">
        <v>384.0</v>
      </c>
      <c r="R281" s="50">
        <v>949.0</v>
      </c>
      <c r="S281" s="50" t="s">
        <v>1762</v>
      </c>
      <c r="T281" s="56" t="s">
        <v>1763</v>
      </c>
      <c r="U281" s="53" t="s">
        <v>511</v>
      </c>
    </row>
    <row r="282">
      <c r="A282" s="54" t="s">
        <v>1764</v>
      </c>
      <c r="B282" s="50" t="s">
        <v>1765</v>
      </c>
      <c r="C282" s="51" t="s">
        <v>363</v>
      </c>
      <c r="D282" s="51"/>
      <c r="E282" s="51"/>
      <c r="F282" s="51"/>
      <c r="G282" s="50" t="s">
        <v>1766</v>
      </c>
      <c r="H282" s="52">
        <v>44683.44891203704</v>
      </c>
      <c r="I282" s="50"/>
      <c r="J282" s="50"/>
      <c r="K282" s="50"/>
      <c r="L282" s="50"/>
      <c r="M282" s="50" t="s">
        <v>1767</v>
      </c>
      <c r="N282" s="50"/>
      <c r="O282" s="53" t="s">
        <v>92</v>
      </c>
      <c r="P282" s="55" t="s">
        <v>1768</v>
      </c>
      <c r="Q282" s="50">
        <v>4325.0</v>
      </c>
      <c r="R282" s="50">
        <v>4983.0</v>
      </c>
      <c r="S282" s="50" t="s">
        <v>129</v>
      </c>
      <c r="T282" s="56" t="s">
        <v>1769</v>
      </c>
      <c r="U282" s="53" t="s">
        <v>332</v>
      </c>
    </row>
    <row r="283">
      <c r="A283" s="54" t="s">
        <v>1770</v>
      </c>
      <c r="B283" s="50" t="s">
        <v>1771</v>
      </c>
      <c r="C283" s="51" t="s">
        <v>1772</v>
      </c>
      <c r="D283" s="51"/>
      <c r="E283" s="51"/>
      <c r="F283" s="51"/>
      <c r="G283" s="50" t="s">
        <v>1773</v>
      </c>
      <c r="H283" s="52">
        <v>44683.44873842593</v>
      </c>
      <c r="I283" s="50"/>
      <c r="J283" s="50"/>
      <c r="K283" s="50"/>
      <c r="L283" s="50"/>
      <c r="M283" s="50" t="s">
        <v>1774</v>
      </c>
      <c r="N283" s="50"/>
      <c r="O283" s="53" t="s">
        <v>92</v>
      </c>
      <c r="P283" s="55" t="s">
        <v>1775</v>
      </c>
      <c r="Q283" s="50">
        <v>4713.0</v>
      </c>
      <c r="R283" s="50">
        <v>3941.0</v>
      </c>
      <c r="S283" s="50"/>
      <c r="T283" s="56" t="s">
        <v>1776</v>
      </c>
      <c r="U283" s="53" t="s">
        <v>1777</v>
      </c>
    </row>
    <row r="284">
      <c r="A284" s="54" t="s">
        <v>1778</v>
      </c>
      <c r="B284" s="50" t="s">
        <v>1779</v>
      </c>
      <c r="C284" s="51" t="s">
        <v>1780</v>
      </c>
      <c r="D284" s="51"/>
      <c r="E284" s="51"/>
      <c r="F284" s="51"/>
      <c r="G284" s="50" t="s">
        <v>1781</v>
      </c>
      <c r="H284" s="52">
        <v>44683.4487037037</v>
      </c>
      <c r="I284" s="50"/>
      <c r="J284" s="50"/>
      <c r="K284" s="50"/>
      <c r="L284" s="50"/>
      <c r="M284" s="50" t="s">
        <v>1782</v>
      </c>
      <c r="N284" s="50"/>
      <c r="O284" s="53" t="s">
        <v>60</v>
      </c>
      <c r="P284" s="55" t="s">
        <v>1783</v>
      </c>
      <c r="Q284" s="50">
        <v>604.0</v>
      </c>
      <c r="R284" s="50">
        <v>63.0</v>
      </c>
      <c r="S284" s="50" t="s">
        <v>1784</v>
      </c>
      <c r="T284" s="56" t="s">
        <v>1785</v>
      </c>
      <c r="U284" s="53" t="s">
        <v>1786</v>
      </c>
    </row>
    <row r="285">
      <c r="A285" s="54" t="s">
        <v>1787</v>
      </c>
      <c r="B285" s="50" t="s">
        <v>1788</v>
      </c>
      <c r="C285" s="51" t="s">
        <v>1789</v>
      </c>
      <c r="D285" s="51"/>
      <c r="E285" s="51"/>
      <c r="F285" s="51"/>
      <c r="G285" s="50" t="s">
        <v>1790</v>
      </c>
      <c r="H285" s="52">
        <v>44683.448483796295</v>
      </c>
      <c r="I285" s="50"/>
      <c r="J285" s="50"/>
      <c r="K285" s="50"/>
      <c r="L285" s="50"/>
      <c r="M285" s="50" t="s">
        <v>1791</v>
      </c>
      <c r="N285" s="50"/>
      <c r="O285" s="53" t="s">
        <v>60</v>
      </c>
      <c r="P285" s="55" t="s">
        <v>1792</v>
      </c>
      <c r="Q285" s="50">
        <v>636.0</v>
      </c>
      <c r="R285" s="50">
        <v>738.0</v>
      </c>
      <c r="S285" s="50" t="s">
        <v>1793</v>
      </c>
      <c r="T285" s="56" t="s">
        <v>1794</v>
      </c>
      <c r="U285" s="53" t="s">
        <v>1795</v>
      </c>
    </row>
    <row r="286">
      <c r="A286" s="54" t="s">
        <v>1796</v>
      </c>
      <c r="B286" s="50" t="s">
        <v>1594</v>
      </c>
      <c r="C286" s="51" t="s">
        <v>1797</v>
      </c>
      <c r="D286" s="51"/>
      <c r="E286" s="51"/>
      <c r="F286" s="51"/>
      <c r="G286" s="50" t="s">
        <v>1798</v>
      </c>
      <c r="H286" s="52">
        <v>44683.448472222226</v>
      </c>
      <c r="I286" s="50"/>
      <c r="J286" s="50"/>
      <c r="K286" s="50"/>
      <c r="L286" s="50"/>
      <c r="M286" s="50" t="s">
        <v>1597</v>
      </c>
      <c r="N286" s="50"/>
      <c r="O286" s="53" t="s">
        <v>60</v>
      </c>
      <c r="P286" s="55" t="s">
        <v>1598</v>
      </c>
      <c r="Q286" s="50">
        <v>1385.0</v>
      </c>
      <c r="R286" s="50">
        <v>600.0</v>
      </c>
      <c r="S286" s="50" t="s">
        <v>1599</v>
      </c>
      <c r="T286" s="56" t="s">
        <v>1799</v>
      </c>
      <c r="U286" s="53" t="s">
        <v>1800</v>
      </c>
    </row>
    <row r="287">
      <c r="A287" s="54" t="s">
        <v>1801</v>
      </c>
      <c r="B287" s="50" t="s">
        <v>1802</v>
      </c>
      <c r="C287" s="51" t="s">
        <v>1803</v>
      </c>
      <c r="D287" s="51"/>
      <c r="E287" s="51"/>
      <c r="F287" s="51"/>
      <c r="G287" s="50" t="s">
        <v>1804</v>
      </c>
      <c r="H287" s="52">
        <v>44683.448229166665</v>
      </c>
      <c r="I287" s="50"/>
      <c r="J287" s="50"/>
      <c r="K287" s="50"/>
      <c r="L287" s="50"/>
      <c r="M287" s="50" t="s">
        <v>1805</v>
      </c>
      <c r="N287" s="50"/>
      <c r="O287" s="53" t="s">
        <v>217</v>
      </c>
      <c r="P287" s="55" t="s">
        <v>1806</v>
      </c>
      <c r="Q287" s="50">
        <v>6774.0</v>
      </c>
      <c r="R287" s="50">
        <v>6832.0</v>
      </c>
      <c r="S287" s="50" t="s">
        <v>1807</v>
      </c>
      <c r="T287" s="56" t="s">
        <v>1808</v>
      </c>
      <c r="U287" s="53" t="s">
        <v>1809</v>
      </c>
    </row>
    <row r="288">
      <c r="A288" s="54" t="s">
        <v>1810</v>
      </c>
      <c r="B288" s="50" t="s">
        <v>1811</v>
      </c>
      <c r="C288" s="51" t="s">
        <v>1307</v>
      </c>
      <c r="D288" s="51"/>
      <c r="E288" s="51"/>
      <c r="F288" s="51"/>
      <c r="G288" s="50" t="s">
        <v>1812</v>
      </c>
      <c r="H288" s="52">
        <v>44683.448217592595</v>
      </c>
      <c r="I288" s="50"/>
      <c r="J288" s="50"/>
      <c r="K288" s="50"/>
      <c r="L288" s="50"/>
      <c r="M288" s="50" t="s">
        <v>1813</v>
      </c>
      <c r="N288" s="50"/>
      <c r="O288" s="53" t="s">
        <v>60</v>
      </c>
      <c r="P288" s="55" t="s">
        <v>1814</v>
      </c>
      <c r="Q288" s="50">
        <v>13229.0</v>
      </c>
      <c r="R288" s="50">
        <v>14387.0</v>
      </c>
      <c r="S288" s="50" t="s">
        <v>1815</v>
      </c>
      <c r="T288" s="56" t="s">
        <v>1816</v>
      </c>
      <c r="U288" s="53" t="s">
        <v>1313</v>
      </c>
    </row>
    <row r="289">
      <c r="A289" s="54" t="s">
        <v>1817</v>
      </c>
      <c r="B289" s="50" t="s">
        <v>1818</v>
      </c>
      <c r="C289" s="51" t="s">
        <v>367</v>
      </c>
      <c r="D289" s="51"/>
      <c r="E289" s="51"/>
      <c r="F289" s="51"/>
      <c r="G289" s="50" t="s">
        <v>1819</v>
      </c>
      <c r="H289" s="52">
        <v>44683.4480787037</v>
      </c>
      <c r="I289" s="50"/>
      <c r="J289" s="50"/>
      <c r="K289" s="50"/>
      <c r="L289" s="50"/>
      <c r="M289" s="50" t="s">
        <v>1820</v>
      </c>
      <c r="N289" s="50"/>
      <c r="O289" s="53" t="s">
        <v>70</v>
      </c>
      <c r="P289" s="55" t="s">
        <v>1821</v>
      </c>
      <c r="Q289" s="50">
        <v>94.0</v>
      </c>
      <c r="R289" s="50">
        <v>203.0</v>
      </c>
      <c r="S289" s="50" t="s">
        <v>1822</v>
      </c>
      <c r="T289" s="56" t="s">
        <v>1823</v>
      </c>
      <c r="U289" s="53" t="s">
        <v>370</v>
      </c>
    </row>
    <row r="290">
      <c r="A290" s="54" t="s">
        <v>1824</v>
      </c>
      <c r="B290" s="50" t="s">
        <v>1825</v>
      </c>
      <c r="C290" s="51" t="s">
        <v>855</v>
      </c>
      <c r="D290" s="51"/>
      <c r="E290" s="51"/>
      <c r="F290" s="51"/>
      <c r="G290" s="50" t="s">
        <v>1826</v>
      </c>
      <c r="H290" s="52">
        <v>44683.44763888889</v>
      </c>
      <c r="I290" s="50"/>
      <c r="J290" s="50"/>
      <c r="K290" s="50"/>
      <c r="L290" s="50"/>
      <c r="M290" s="50" t="s">
        <v>1827</v>
      </c>
      <c r="N290" s="50"/>
      <c r="O290" s="53" t="s">
        <v>92</v>
      </c>
      <c r="P290" s="55" t="s">
        <v>1828</v>
      </c>
      <c r="Q290" s="50">
        <v>1331.0</v>
      </c>
      <c r="R290" s="50">
        <v>3742.0</v>
      </c>
      <c r="S290" s="50" t="s">
        <v>1829</v>
      </c>
      <c r="T290" s="56" t="s">
        <v>1830</v>
      </c>
      <c r="U290" s="53" t="s">
        <v>861</v>
      </c>
    </row>
    <row r="291">
      <c r="A291" s="54" t="s">
        <v>1831</v>
      </c>
      <c r="B291" s="50" t="s">
        <v>1832</v>
      </c>
      <c r="C291" s="51" t="s">
        <v>367</v>
      </c>
      <c r="D291" s="51"/>
      <c r="E291" s="51"/>
      <c r="F291" s="51"/>
      <c r="G291" s="50" t="s">
        <v>1833</v>
      </c>
      <c r="H291" s="52">
        <v>44683.44753472222</v>
      </c>
      <c r="I291" s="50"/>
      <c r="J291" s="50"/>
      <c r="K291" s="50"/>
      <c r="L291" s="50"/>
      <c r="M291" s="50" t="s">
        <v>1834</v>
      </c>
      <c r="N291" s="50"/>
      <c r="O291" s="53" t="s">
        <v>92</v>
      </c>
      <c r="P291" s="55" t="s">
        <v>1835</v>
      </c>
      <c r="Q291" s="50">
        <v>44.0</v>
      </c>
      <c r="R291" s="50">
        <v>246.0</v>
      </c>
      <c r="S291" s="50"/>
      <c r="T291" s="56" t="s">
        <v>1836</v>
      </c>
      <c r="U291" s="53" t="s">
        <v>370</v>
      </c>
    </row>
    <row r="292">
      <c r="A292" s="54" t="s">
        <v>1837</v>
      </c>
      <c r="B292" s="50" t="s">
        <v>1838</v>
      </c>
      <c r="C292" s="51" t="s">
        <v>1839</v>
      </c>
      <c r="D292" s="51"/>
      <c r="E292" s="51"/>
      <c r="F292" s="51"/>
      <c r="G292" s="50" t="s">
        <v>1840</v>
      </c>
      <c r="H292" s="52">
        <v>44683.44733796296</v>
      </c>
      <c r="I292" s="50"/>
      <c r="J292" s="50"/>
      <c r="K292" s="50" t="s">
        <v>1841</v>
      </c>
      <c r="L292" s="50" t="s">
        <v>1842</v>
      </c>
      <c r="M292" s="50" t="s">
        <v>1843</v>
      </c>
      <c r="N292" s="50" t="s">
        <v>1844</v>
      </c>
      <c r="O292" s="53" t="s">
        <v>70</v>
      </c>
      <c r="P292" s="55" t="s">
        <v>1845</v>
      </c>
      <c r="Q292" s="50">
        <v>2206.0</v>
      </c>
      <c r="R292" s="50">
        <v>2368.0</v>
      </c>
      <c r="S292" s="50" t="s">
        <v>1846</v>
      </c>
      <c r="T292" s="56" t="s">
        <v>1847</v>
      </c>
      <c r="U292" s="53" t="s">
        <v>1848</v>
      </c>
    </row>
    <row r="293">
      <c r="A293" s="54" t="s">
        <v>1849</v>
      </c>
      <c r="B293" s="50" t="s">
        <v>1850</v>
      </c>
      <c r="C293" s="51" t="s">
        <v>1851</v>
      </c>
      <c r="D293" s="51"/>
      <c r="E293" s="51"/>
      <c r="F293" s="51"/>
      <c r="G293" s="50" t="s">
        <v>1852</v>
      </c>
      <c r="H293" s="52">
        <v>44683.447175925925</v>
      </c>
      <c r="I293" s="50"/>
      <c r="J293" s="50"/>
      <c r="K293" s="50"/>
      <c r="L293" s="50"/>
      <c r="M293" s="50" t="s">
        <v>1853</v>
      </c>
      <c r="N293" s="50"/>
      <c r="O293" s="53" t="s">
        <v>60</v>
      </c>
      <c r="P293" s="55" t="s">
        <v>1854</v>
      </c>
      <c r="Q293" s="50">
        <v>1347.0</v>
      </c>
      <c r="R293" s="50">
        <v>1444.0</v>
      </c>
      <c r="S293" s="50"/>
      <c r="T293" s="56" t="s">
        <v>1855</v>
      </c>
      <c r="U293" s="53" t="s">
        <v>1856</v>
      </c>
    </row>
    <row r="294">
      <c r="A294" s="54" t="s">
        <v>1857</v>
      </c>
      <c r="B294" s="50" t="s">
        <v>1858</v>
      </c>
      <c r="C294" s="51" t="s">
        <v>367</v>
      </c>
      <c r="D294" s="51"/>
      <c r="E294" s="51"/>
      <c r="F294" s="51"/>
      <c r="G294" s="50" t="s">
        <v>1859</v>
      </c>
      <c r="H294" s="52">
        <v>44683.447118055556</v>
      </c>
      <c r="I294" s="50"/>
      <c r="J294" s="50"/>
      <c r="K294" s="50"/>
      <c r="L294" s="50"/>
      <c r="M294" s="50" t="s">
        <v>1860</v>
      </c>
      <c r="N294" s="50"/>
      <c r="O294" s="53" t="s">
        <v>70</v>
      </c>
      <c r="P294" s="55" t="s">
        <v>1861</v>
      </c>
      <c r="Q294" s="50">
        <v>134.0</v>
      </c>
      <c r="R294" s="50">
        <v>471.0</v>
      </c>
      <c r="S294" s="50" t="s">
        <v>1862</v>
      </c>
      <c r="T294" s="56" t="s">
        <v>1863</v>
      </c>
      <c r="U294" s="53" t="s">
        <v>370</v>
      </c>
    </row>
    <row r="295">
      <c r="A295" s="54" t="s">
        <v>1864</v>
      </c>
      <c r="B295" s="50" t="s">
        <v>1865</v>
      </c>
      <c r="C295" s="51" t="s">
        <v>469</v>
      </c>
      <c r="D295" s="51"/>
      <c r="E295" s="51"/>
      <c r="F295" s="51"/>
      <c r="G295" s="50" t="s">
        <v>1866</v>
      </c>
      <c r="H295" s="52">
        <v>44683.44707175926</v>
      </c>
      <c r="I295" s="50"/>
      <c r="J295" s="50"/>
      <c r="K295" s="50"/>
      <c r="L295" s="50"/>
      <c r="M295" s="50" t="s">
        <v>1867</v>
      </c>
      <c r="N295" s="50"/>
      <c r="O295" s="53" t="s">
        <v>70</v>
      </c>
      <c r="P295" s="55" t="s">
        <v>1868</v>
      </c>
      <c r="Q295" s="50">
        <v>2840.0</v>
      </c>
      <c r="R295" s="50">
        <v>3089.0</v>
      </c>
      <c r="S295" s="50" t="s">
        <v>1869</v>
      </c>
      <c r="T295" s="56" t="s">
        <v>1870</v>
      </c>
      <c r="U295" s="53" t="s">
        <v>475</v>
      </c>
    </row>
    <row r="296">
      <c r="A296" s="54" t="s">
        <v>1871</v>
      </c>
      <c r="B296" s="50" t="s">
        <v>1872</v>
      </c>
      <c r="C296" s="51" t="s">
        <v>367</v>
      </c>
      <c r="D296" s="51"/>
      <c r="E296" s="51"/>
      <c r="F296" s="51"/>
      <c r="G296" s="50" t="s">
        <v>1873</v>
      </c>
      <c r="H296" s="52">
        <v>44683.44697916666</v>
      </c>
      <c r="I296" s="50"/>
      <c r="J296" s="50"/>
      <c r="K296" s="50"/>
      <c r="L296" s="50"/>
      <c r="M296" s="50" t="s">
        <v>1874</v>
      </c>
      <c r="N296" s="50"/>
      <c r="O296" s="53" t="s">
        <v>70</v>
      </c>
      <c r="P296" s="55" t="s">
        <v>354</v>
      </c>
      <c r="Q296" s="50">
        <v>3.0</v>
      </c>
      <c r="R296" s="50">
        <v>31.0</v>
      </c>
      <c r="S296" s="50"/>
      <c r="T296" s="56" t="s">
        <v>1875</v>
      </c>
      <c r="U296" s="53" t="s">
        <v>370</v>
      </c>
    </row>
    <row r="297">
      <c r="A297" s="54" t="s">
        <v>1876</v>
      </c>
      <c r="B297" s="50" t="s">
        <v>1877</v>
      </c>
      <c r="C297" s="51" t="s">
        <v>367</v>
      </c>
      <c r="D297" s="51"/>
      <c r="E297" s="51"/>
      <c r="F297" s="51"/>
      <c r="G297" s="50" t="s">
        <v>1878</v>
      </c>
      <c r="H297" s="52">
        <v>44683.44689814815</v>
      </c>
      <c r="I297" s="50"/>
      <c r="J297" s="50"/>
      <c r="K297" s="50"/>
      <c r="L297" s="50"/>
      <c r="M297" s="50" t="s">
        <v>1879</v>
      </c>
      <c r="N297" s="50"/>
      <c r="O297" s="53" t="s">
        <v>70</v>
      </c>
      <c r="P297" s="55" t="s">
        <v>1880</v>
      </c>
      <c r="Q297" s="50">
        <v>3490.0</v>
      </c>
      <c r="R297" s="50">
        <v>3572.0</v>
      </c>
      <c r="S297" s="50" t="s">
        <v>1881</v>
      </c>
      <c r="T297" s="56" t="s">
        <v>1882</v>
      </c>
      <c r="U297" s="53" t="s">
        <v>370</v>
      </c>
    </row>
    <row r="298">
      <c r="A298" s="54" t="s">
        <v>1883</v>
      </c>
      <c r="B298" s="50" t="s">
        <v>1884</v>
      </c>
      <c r="C298" s="51" t="s">
        <v>1402</v>
      </c>
      <c r="D298" s="51"/>
      <c r="E298" s="51"/>
      <c r="F298" s="51"/>
      <c r="G298" s="50" t="s">
        <v>1885</v>
      </c>
      <c r="H298" s="52">
        <v>44683.44672453703</v>
      </c>
      <c r="I298" s="50"/>
      <c r="J298" s="50"/>
      <c r="K298" s="50"/>
      <c r="L298" s="50"/>
      <c r="M298" s="50" t="s">
        <v>1886</v>
      </c>
      <c r="N298" s="50"/>
      <c r="O298" s="53" t="s">
        <v>92</v>
      </c>
      <c r="P298" s="55" t="s">
        <v>1887</v>
      </c>
      <c r="Q298" s="50">
        <v>7249.0</v>
      </c>
      <c r="R298" s="50">
        <v>7106.0</v>
      </c>
      <c r="S298" s="50" t="s">
        <v>186</v>
      </c>
      <c r="T298" s="56" t="s">
        <v>1888</v>
      </c>
      <c r="U298" s="53" t="s">
        <v>1408</v>
      </c>
    </row>
    <row r="299">
      <c r="A299" s="54" t="s">
        <v>1889</v>
      </c>
      <c r="B299" s="50" t="s">
        <v>1890</v>
      </c>
      <c r="C299" s="51" t="s">
        <v>565</v>
      </c>
      <c r="D299" s="51"/>
      <c r="E299" s="51"/>
      <c r="F299" s="51"/>
      <c r="G299" s="50" t="s">
        <v>1891</v>
      </c>
      <c r="H299" s="52">
        <v>44683.44646990741</v>
      </c>
      <c r="I299" s="50"/>
      <c r="J299" s="50"/>
      <c r="K299" s="50"/>
      <c r="L299" s="50"/>
      <c r="M299" s="50" t="s">
        <v>1892</v>
      </c>
      <c r="N299" s="50"/>
      <c r="O299" s="53" t="s">
        <v>70</v>
      </c>
      <c r="P299" s="55" t="s">
        <v>1893</v>
      </c>
      <c r="Q299" s="50">
        <v>1141.0</v>
      </c>
      <c r="R299" s="50">
        <v>1567.0</v>
      </c>
      <c r="S299" s="50" t="s">
        <v>1894</v>
      </c>
      <c r="T299" s="56" t="s">
        <v>1895</v>
      </c>
      <c r="U299" s="53" t="s">
        <v>571</v>
      </c>
    </row>
    <row r="300">
      <c r="A300" s="54" t="s">
        <v>1896</v>
      </c>
      <c r="B300" s="50" t="s">
        <v>1897</v>
      </c>
      <c r="C300" s="51" t="s">
        <v>367</v>
      </c>
      <c r="D300" s="51"/>
      <c r="E300" s="51"/>
      <c r="F300" s="51"/>
      <c r="G300" s="50" t="s">
        <v>1898</v>
      </c>
      <c r="H300" s="52">
        <v>44683.446226851855</v>
      </c>
      <c r="I300" s="50"/>
      <c r="J300" s="50"/>
      <c r="K300" s="50"/>
      <c r="L300" s="50"/>
      <c r="M300" s="50" t="s">
        <v>1899</v>
      </c>
      <c r="N300" s="50"/>
      <c r="O300" s="53" t="s">
        <v>92</v>
      </c>
      <c r="P300" s="55" t="s">
        <v>1900</v>
      </c>
      <c r="Q300" s="50">
        <v>120.0</v>
      </c>
      <c r="R300" s="50">
        <v>178.0</v>
      </c>
      <c r="S300" s="50" t="s">
        <v>1901</v>
      </c>
      <c r="T300" s="56" t="s">
        <v>1902</v>
      </c>
      <c r="U300" s="53" t="s">
        <v>370</v>
      </c>
    </row>
    <row r="301">
      <c r="A301" s="54" t="s">
        <v>1903</v>
      </c>
      <c r="B301" s="50" t="s">
        <v>1904</v>
      </c>
      <c r="C301" s="51" t="s">
        <v>1905</v>
      </c>
      <c r="D301" s="51"/>
      <c r="E301" s="51"/>
      <c r="F301" s="51"/>
      <c r="G301" s="50" t="s">
        <v>1906</v>
      </c>
      <c r="H301" s="52">
        <v>44683.446180555555</v>
      </c>
      <c r="I301" s="50"/>
      <c r="J301" s="50"/>
      <c r="K301" s="50"/>
      <c r="L301" s="50"/>
      <c r="M301" s="50" t="s">
        <v>1907</v>
      </c>
      <c r="N301" s="50"/>
      <c r="O301" s="53" t="s">
        <v>70</v>
      </c>
      <c r="P301" s="55" t="s">
        <v>1908</v>
      </c>
      <c r="Q301" s="50">
        <v>231.0</v>
      </c>
      <c r="R301" s="50">
        <v>490.0</v>
      </c>
      <c r="S301" s="50" t="s">
        <v>1909</v>
      </c>
      <c r="T301" s="56" t="s">
        <v>1910</v>
      </c>
      <c r="U301" s="53" t="s">
        <v>1911</v>
      </c>
    </row>
    <row r="302">
      <c r="A302" s="54" t="s">
        <v>1912</v>
      </c>
      <c r="B302" s="50" t="s">
        <v>1897</v>
      </c>
      <c r="C302" s="51" t="s">
        <v>1913</v>
      </c>
      <c r="D302" s="51"/>
      <c r="E302" s="51"/>
      <c r="F302" s="51"/>
      <c r="G302" s="50" t="s">
        <v>1914</v>
      </c>
      <c r="H302" s="52">
        <v>44683.44607638889</v>
      </c>
      <c r="I302" s="50"/>
      <c r="J302" s="50"/>
      <c r="K302" s="50"/>
      <c r="L302" s="50"/>
      <c r="M302" s="50" t="s">
        <v>1899</v>
      </c>
      <c r="N302" s="50"/>
      <c r="O302" s="53" t="s">
        <v>92</v>
      </c>
      <c r="P302" s="55" t="s">
        <v>1900</v>
      </c>
      <c r="Q302" s="50">
        <v>120.0</v>
      </c>
      <c r="R302" s="50">
        <v>178.0</v>
      </c>
      <c r="S302" s="50" t="s">
        <v>1901</v>
      </c>
      <c r="T302" s="56" t="s">
        <v>1915</v>
      </c>
      <c r="U302" s="53" t="s">
        <v>1916</v>
      </c>
    </row>
    <row r="303">
      <c r="A303" s="54" t="s">
        <v>1917</v>
      </c>
      <c r="B303" s="50" t="s">
        <v>1918</v>
      </c>
      <c r="C303" s="51" t="s">
        <v>367</v>
      </c>
      <c r="D303" s="51"/>
      <c r="E303" s="51"/>
      <c r="F303" s="51"/>
      <c r="G303" s="50" t="s">
        <v>1919</v>
      </c>
      <c r="H303" s="52">
        <v>44683.445972222224</v>
      </c>
      <c r="I303" s="50"/>
      <c r="J303" s="50"/>
      <c r="K303" s="50"/>
      <c r="L303" s="50"/>
      <c r="M303" s="50" t="s">
        <v>1920</v>
      </c>
      <c r="N303" s="50"/>
      <c r="O303" s="53" t="s">
        <v>70</v>
      </c>
      <c r="P303" s="55" t="s">
        <v>1921</v>
      </c>
      <c r="Q303" s="50">
        <v>63.0</v>
      </c>
      <c r="R303" s="50">
        <v>269.0</v>
      </c>
      <c r="S303" s="50"/>
      <c r="T303" s="56" t="s">
        <v>1922</v>
      </c>
      <c r="U303" s="53" t="s">
        <v>370</v>
      </c>
    </row>
    <row r="304">
      <c r="A304" s="54" t="s">
        <v>1923</v>
      </c>
      <c r="B304" s="50" t="s">
        <v>1924</v>
      </c>
      <c r="C304" s="51" t="s">
        <v>316</v>
      </c>
      <c r="D304" s="51"/>
      <c r="E304" s="51"/>
      <c r="F304" s="51"/>
      <c r="G304" s="50" t="s">
        <v>1925</v>
      </c>
      <c r="H304" s="52">
        <v>44683.44592592593</v>
      </c>
      <c r="I304" s="50"/>
      <c r="J304" s="50"/>
      <c r="K304" s="50"/>
      <c r="L304" s="50"/>
      <c r="M304" s="50" t="s">
        <v>1926</v>
      </c>
      <c r="N304" s="50"/>
      <c r="O304" s="53" t="s">
        <v>70</v>
      </c>
      <c r="P304" s="55" t="s">
        <v>1927</v>
      </c>
      <c r="Q304" s="50">
        <v>171.0</v>
      </c>
      <c r="R304" s="50">
        <v>225.0</v>
      </c>
      <c r="S304" s="50"/>
      <c r="T304" s="56" t="s">
        <v>1928</v>
      </c>
      <c r="U304" s="53" t="s">
        <v>322</v>
      </c>
    </row>
    <row r="305">
      <c r="A305" s="54" t="s">
        <v>1929</v>
      </c>
      <c r="B305" s="50" t="s">
        <v>1930</v>
      </c>
      <c r="C305" s="51" t="s">
        <v>367</v>
      </c>
      <c r="D305" s="51"/>
      <c r="E305" s="51"/>
      <c r="F305" s="51"/>
      <c r="G305" s="50" t="s">
        <v>1931</v>
      </c>
      <c r="H305" s="52">
        <v>44683.445810185185</v>
      </c>
      <c r="I305" s="50"/>
      <c r="J305" s="50"/>
      <c r="K305" s="50"/>
      <c r="L305" s="50"/>
      <c r="M305" s="50" t="s">
        <v>1932</v>
      </c>
      <c r="N305" s="50"/>
      <c r="O305" s="53" t="s">
        <v>70</v>
      </c>
      <c r="P305" s="55" t="s">
        <v>1933</v>
      </c>
      <c r="Q305" s="50">
        <v>2080.0</v>
      </c>
      <c r="R305" s="50">
        <v>2415.0</v>
      </c>
      <c r="S305" s="50" t="s">
        <v>1934</v>
      </c>
      <c r="T305" s="56" t="s">
        <v>1935</v>
      </c>
      <c r="U305" s="53" t="s">
        <v>370</v>
      </c>
    </row>
    <row r="306">
      <c r="A306" s="54" t="s">
        <v>1936</v>
      </c>
      <c r="B306" s="50" t="s">
        <v>1937</v>
      </c>
      <c r="C306" s="51" t="s">
        <v>1614</v>
      </c>
      <c r="D306" s="51"/>
      <c r="E306" s="51"/>
      <c r="F306" s="51"/>
      <c r="G306" s="50" t="s">
        <v>1938</v>
      </c>
      <c r="H306" s="52">
        <v>44683.44578703704</v>
      </c>
      <c r="I306" s="50"/>
      <c r="J306" s="50"/>
      <c r="K306" s="50"/>
      <c r="L306" s="50"/>
      <c r="M306" s="50" t="s">
        <v>1939</v>
      </c>
      <c r="N306" s="50"/>
      <c r="O306" s="53" t="s">
        <v>60</v>
      </c>
      <c r="P306" s="55" t="s">
        <v>1940</v>
      </c>
      <c r="Q306" s="50">
        <v>4851.0</v>
      </c>
      <c r="R306" s="50">
        <v>4946.0</v>
      </c>
      <c r="S306" s="50" t="s">
        <v>1941</v>
      </c>
      <c r="T306" s="56" t="s">
        <v>1942</v>
      </c>
      <c r="U306" s="53" t="s">
        <v>1619</v>
      </c>
    </row>
    <row r="307">
      <c r="A307" s="54" t="s">
        <v>1943</v>
      </c>
      <c r="B307" s="50" t="s">
        <v>1944</v>
      </c>
      <c r="C307" s="51" t="s">
        <v>1945</v>
      </c>
      <c r="D307" s="51"/>
      <c r="E307" s="51"/>
      <c r="F307" s="51"/>
      <c r="G307" s="50" t="s">
        <v>1946</v>
      </c>
      <c r="H307" s="52">
        <v>44683.44577546296</v>
      </c>
      <c r="I307" s="50"/>
      <c r="J307" s="50"/>
      <c r="K307" s="50" t="s">
        <v>1947</v>
      </c>
      <c r="L307" s="50" t="s">
        <v>1948</v>
      </c>
      <c r="M307" s="50" t="s">
        <v>1949</v>
      </c>
      <c r="N307" s="50" t="s">
        <v>1950</v>
      </c>
      <c r="O307" s="53" t="s">
        <v>92</v>
      </c>
      <c r="P307" s="55" t="s">
        <v>1951</v>
      </c>
      <c r="Q307" s="50">
        <v>141.0</v>
      </c>
      <c r="R307" s="50">
        <v>198.0</v>
      </c>
      <c r="S307" s="50"/>
      <c r="T307" s="56" t="s">
        <v>1952</v>
      </c>
      <c r="U307" s="53" t="s">
        <v>1953</v>
      </c>
    </row>
    <row r="308">
      <c r="A308" s="54" t="s">
        <v>1954</v>
      </c>
      <c r="B308" s="50" t="s">
        <v>1924</v>
      </c>
      <c r="C308" s="51" t="s">
        <v>335</v>
      </c>
      <c r="D308" s="51"/>
      <c r="E308" s="51"/>
      <c r="F308" s="51"/>
      <c r="G308" s="50" t="s">
        <v>1955</v>
      </c>
      <c r="H308" s="52">
        <v>44683.44572916666</v>
      </c>
      <c r="I308" s="50"/>
      <c r="J308" s="50"/>
      <c r="K308" s="50"/>
      <c r="L308" s="50"/>
      <c r="M308" s="50" t="s">
        <v>1926</v>
      </c>
      <c r="N308" s="50"/>
      <c r="O308" s="53" t="s">
        <v>70</v>
      </c>
      <c r="P308" s="55" t="s">
        <v>1927</v>
      </c>
      <c r="Q308" s="50">
        <v>171.0</v>
      </c>
      <c r="R308" s="50">
        <v>225.0</v>
      </c>
      <c r="S308" s="50"/>
      <c r="T308" s="56" t="s">
        <v>1956</v>
      </c>
      <c r="U308" s="53" t="s">
        <v>339</v>
      </c>
    </row>
    <row r="309">
      <c r="A309" s="54" t="s">
        <v>1957</v>
      </c>
      <c r="B309" s="50" t="s">
        <v>1924</v>
      </c>
      <c r="C309" s="51" t="s">
        <v>363</v>
      </c>
      <c r="D309" s="51"/>
      <c r="E309" s="51"/>
      <c r="F309" s="51"/>
      <c r="G309" s="50" t="s">
        <v>1958</v>
      </c>
      <c r="H309" s="52">
        <v>44683.44554398148</v>
      </c>
      <c r="I309" s="50"/>
      <c r="J309" s="50"/>
      <c r="K309" s="50"/>
      <c r="L309" s="50"/>
      <c r="M309" s="50" t="s">
        <v>1926</v>
      </c>
      <c r="N309" s="50"/>
      <c r="O309" s="53" t="s">
        <v>70</v>
      </c>
      <c r="P309" s="55" t="s">
        <v>1927</v>
      </c>
      <c r="Q309" s="50">
        <v>171.0</v>
      </c>
      <c r="R309" s="50">
        <v>225.0</v>
      </c>
      <c r="S309" s="50"/>
      <c r="T309" s="56" t="s">
        <v>1959</v>
      </c>
      <c r="U309" s="53" t="s">
        <v>332</v>
      </c>
    </row>
    <row r="310">
      <c r="A310" s="54" t="s">
        <v>1960</v>
      </c>
      <c r="B310" s="50" t="s">
        <v>1924</v>
      </c>
      <c r="C310" s="51" t="s">
        <v>367</v>
      </c>
      <c r="D310" s="51"/>
      <c r="E310" s="51"/>
      <c r="F310" s="51"/>
      <c r="G310" s="50" t="s">
        <v>1961</v>
      </c>
      <c r="H310" s="52">
        <v>44683.445381944446</v>
      </c>
      <c r="I310" s="50"/>
      <c r="J310" s="50"/>
      <c r="K310" s="50"/>
      <c r="L310" s="50"/>
      <c r="M310" s="50" t="s">
        <v>1926</v>
      </c>
      <c r="N310" s="50"/>
      <c r="O310" s="53" t="s">
        <v>70</v>
      </c>
      <c r="P310" s="55" t="s">
        <v>1927</v>
      </c>
      <c r="Q310" s="50">
        <v>171.0</v>
      </c>
      <c r="R310" s="50">
        <v>225.0</v>
      </c>
      <c r="S310" s="50"/>
      <c r="T310" s="56" t="s">
        <v>1962</v>
      </c>
      <c r="U310" s="53" t="s">
        <v>370</v>
      </c>
    </row>
    <row r="311">
      <c r="A311" s="54" t="s">
        <v>1963</v>
      </c>
      <c r="B311" s="50" t="s">
        <v>1964</v>
      </c>
      <c r="C311" s="51" t="s">
        <v>1402</v>
      </c>
      <c r="D311" s="51"/>
      <c r="E311" s="51"/>
      <c r="F311" s="51"/>
      <c r="G311" s="50" t="s">
        <v>1965</v>
      </c>
      <c r="H311" s="52">
        <v>44683.445185185185</v>
      </c>
      <c r="I311" s="50"/>
      <c r="J311" s="50"/>
      <c r="K311" s="50"/>
      <c r="L311" s="50"/>
      <c r="M311" s="50" t="s">
        <v>1966</v>
      </c>
      <c r="N311" s="50"/>
      <c r="O311" s="53" t="s">
        <v>60</v>
      </c>
      <c r="P311" s="55" t="s">
        <v>1967</v>
      </c>
      <c r="Q311" s="50">
        <v>4705.0</v>
      </c>
      <c r="R311" s="50">
        <v>5159.0</v>
      </c>
      <c r="S311" s="50" t="s">
        <v>1968</v>
      </c>
      <c r="T311" s="56" t="s">
        <v>1969</v>
      </c>
      <c r="U311" s="53" t="s">
        <v>1408</v>
      </c>
    </row>
    <row r="312">
      <c r="A312" s="54" t="s">
        <v>1970</v>
      </c>
      <c r="B312" s="50" t="s">
        <v>1971</v>
      </c>
      <c r="C312" s="51" t="s">
        <v>1972</v>
      </c>
      <c r="D312" s="51"/>
      <c r="E312" s="51"/>
      <c r="F312" s="51"/>
      <c r="G312" s="50" t="s">
        <v>1973</v>
      </c>
      <c r="H312" s="52">
        <v>44683.44509259259</v>
      </c>
      <c r="I312" s="50"/>
      <c r="J312" s="50"/>
      <c r="K312" s="50"/>
      <c r="L312" s="50"/>
      <c r="M312" s="50" t="s">
        <v>1974</v>
      </c>
      <c r="N312" s="50"/>
      <c r="O312" s="53" t="s">
        <v>70</v>
      </c>
      <c r="P312" s="55" t="s">
        <v>1975</v>
      </c>
      <c r="Q312" s="50">
        <v>236.0</v>
      </c>
      <c r="R312" s="50">
        <v>694.0</v>
      </c>
      <c r="S312" s="50"/>
      <c r="T312" s="56" t="s">
        <v>1976</v>
      </c>
      <c r="U312" s="53" t="s">
        <v>1977</v>
      </c>
    </row>
    <row r="313">
      <c r="A313" s="54" t="s">
        <v>1978</v>
      </c>
      <c r="B313" s="50" t="s">
        <v>1979</v>
      </c>
      <c r="C313" s="51" t="s">
        <v>1789</v>
      </c>
      <c r="D313" s="51"/>
      <c r="E313" s="51"/>
      <c r="F313" s="51"/>
      <c r="G313" s="50" t="s">
        <v>1980</v>
      </c>
      <c r="H313" s="52">
        <v>44683.445069444446</v>
      </c>
      <c r="I313" s="50"/>
      <c r="J313" s="50"/>
      <c r="K313" s="50"/>
      <c r="L313" s="50"/>
      <c r="M313" s="50" t="s">
        <v>1981</v>
      </c>
      <c r="N313" s="50"/>
      <c r="O313" s="53" t="s">
        <v>60</v>
      </c>
      <c r="P313" s="55" t="s">
        <v>1982</v>
      </c>
      <c r="Q313" s="50">
        <v>931.0</v>
      </c>
      <c r="R313" s="50">
        <v>989.0</v>
      </c>
      <c r="S313" s="50" t="s">
        <v>1983</v>
      </c>
      <c r="T313" s="56" t="s">
        <v>1984</v>
      </c>
      <c r="U313" s="53" t="s">
        <v>1795</v>
      </c>
    </row>
    <row r="314">
      <c r="A314" s="54" t="s">
        <v>1985</v>
      </c>
      <c r="B314" s="50" t="s">
        <v>1594</v>
      </c>
      <c r="C314" s="51" t="s">
        <v>1986</v>
      </c>
      <c r="D314" s="51"/>
      <c r="E314" s="51"/>
      <c r="F314" s="51"/>
      <c r="G314" s="50" t="s">
        <v>1987</v>
      </c>
      <c r="H314" s="52">
        <v>44683.4450462963</v>
      </c>
      <c r="I314" s="50"/>
      <c r="J314" s="50"/>
      <c r="K314" s="50"/>
      <c r="L314" s="50"/>
      <c r="M314" s="50" t="s">
        <v>1597</v>
      </c>
      <c r="N314" s="50"/>
      <c r="O314" s="53" t="s">
        <v>60</v>
      </c>
      <c r="P314" s="55" t="s">
        <v>1598</v>
      </c>
      <c r="Q314" s="50">
        <v>1385.0</v>
      </c>
      <c r="R314" s="50">
        <v>600.0</v>
      </c>
      <c r="S314" s="50" t="s">
        <v>1599</v>
      </c>
      <c r="T314" s="56" t="s">
        <v>1988</v>
      </c>
      <c r="U314" s="53" t="s">
        <v>1989</v>
      </c>
    </row>
    <row r="315">
      <c r="A315" s="54" t="s">
        <v>1990</v>
      </c>
      <c r="B315" s="50" t="s">
        <v>1991</v>
      </c>
      <c r="C315" s="51" t="s">
        <v>1992</v>
      </c>
      <c r="D315" s="51"/>
      <c r="E315" s="51"/>
      <c r="F315" s="51"/>
      <c r="G315" s="50" t="s">
        <v>1993</v>
      </c>
      <c r="H315" s="52">
        <v>44683.44498842592</v>
      </c>
      <c r="I315" s="50"/>
      <c r="J315" s="50"/>
      <c r="K315" s="50" t="s">
        <v>1994</v>
      </c>
      <c r="L315" s="50" t="s">
        <v>1995</v>
      </c>
      <c r="M315" s="50" t="s">
        <v>1996</v>
      </c>
      <c r="N315" s="50" t="s">
        <v>1997</v>
      </c>
      <c r="O315" s="53" t="s">
        <v>217</v>
      </c>
      <c r="P315" s="55" t="s">
        <v>1998</v>
      </c>
      <c r="Q315" s="50">
        <v>457.0</v>
      </c>
      <c r="R315" s="50">
        <v>623.0</v>
      </c>
      <c r="S315" s="50" t="s">
        <v>246</v>
      </c>
      <c r="T315" s="56" t="s">
        <v>1999</v>
      </c>
      <c r="U315" s="53" t="s">
        <v>2000</v>
      </c>
    </row>
    <row r="316">
      <c r="A316" s="54" t="s">
        <v>2001</v>
      </c>
      <c r="B316" s="50" t="s">
        <v>2002</v>
      </c>
      <c r="C316" s="51" t="s">
        <v>2003</v>
      </c>
      <c r="D316" s="51"/>
      <c r="E316" s="51"/>
      <c r="F316" s="51"/>
      <c r="G316" s="50" t="s">
        <v>2004</v>
      </c>
      <c r="H316" s="52">
        <v>44683.44472222222</v>
      </c>
      <c r="I316" s="50"/>
      <c r="J316" s="50"/>
      <c r="K316" s="50" t="s">
        <v>2005</v>
      </c>
      <c r="L316" s="50" t="s">
        <v>2006</v>
      </c>
      <c r="M316" s="50" t="s">
        <v>2007</v>
      </c>
      <c r="N316" s="50" t="s">
        <v>2008</v>
      </c>
      <c r="O316" s="53" t="s">
        <v>217</v>
      </c>
      <c r="P316" s="55" t="s">
        <v>2009</v>
      </c>
      <c r="Q316" s="50">
        <v>2137.0</v>
      </c>
      <c r="R316" s="50">
        <v>4999.0</v>
      </c>
      <c r="S316" s="50" t="s">
        <v>2010</v>
      </c>
      <c r="T316" s="56" t="s">
        <v>2011</v>
      </c>
      <c r="U316" s="53" t="s">
        <v>2012</v>
      </c>
    </row>
    <row r="317">
      <c r="A317" s="54" t="s">
        <v>2013</v>
      </c>
      <c r="B317" s="50" t="s">
        <v>1676</v>
      </c>
      <c r="C317" s="51" t="s">
        <v>505</v>
      </c>
      <c r="D317" s="51"/>
      <c r="E317" s="51"/>
      <c r="F317" s="51"/>
      <c r="G317" s="50" t="s">
        <v>2014</v>
      </c>
      <c r="H317" s="52">
        <v>44683.444340277776</v>
      </c>
      <c r="I317" s="50"/>
      <c r="J317" s="50"/>
      <c r="K317" s="50"/>
      <c r="L317" s="50"/>
      <c r="M317" s="50" t="s">
        <v>1678</v>
      </c>
      <c r="N317" s="50"/>
      <c r="O317" s="53" t="s">
        <v>60</v>
      </c>
      <c r="P317" s="55" t="s">
        <v>1679</v>
      </c>
      <c r="Q317" s="50">
        <v>8438.0</v>
      </c>
      <c r="R317" s="50">
        <v>8082.0</v>
      </c>
      <c r="S317" s="50" t="s">
        <v>219</v>
      </c>
      <c r="T317" s="56" t="s">
        <v>2015</v>
      </c>
      <c r="U317" s="53" t="s">
        <v>511</v>
      </c>
    </row>
    <row r="318">
      <c r="A318" s="54" t="s">
        <v>2016</v>
      </c>
      <c r="B318" s="50" t="s">
        <v>2017</v>
      </c>
      <c r="C318" s="51" t="s">
        <v>367</v>
      </c>
      <c r="D318" s="51"/>
      <c r="E318" s="51"/>
      <c r="F318" s="51"/>
      <c r="G318" s="50" t="s">
        <v>2018</v>
      </c>
      <c r="H318" s="52">
        <v>44683.444236111114</v>
      </c>
      <c r="I318" s="50"/>
      <c r="J318" s="50"/>
      <c r="K318" s="50"/>
      <c r="L318" s="50"/>
      <c r="M318" s="50" t="s">
        <v>2019</v>
      </c>
      <c r="N318" s="50"/>
      <c r="O318" s="53" t="s">
        <v>92</v>
      </c>
      <c r="P318" s="55" t="s">
        <v>2020</v>
      </c>
      <c r="Q318" s="50">
        <v>57.0</v>
      </c>
      <c r="R318" s="50">
        <v>50.0</v>
      </c>
      <c r="S318" s="50" t="s">
        <v>129</v>
      </c>
      <c r="T318" s="56" t="s">
        <v>2021</v>
      </c>
      <c r="U318" s="53" t="s">
        <v>370</v>
      </c>
    </row>
    <row r="319">
      <c r="A319" s="54" t="s">
        <v>2022</v>
      </c>
      <c r="B319" s="50" t="s">
        <v>2023</v>
      </c>
      <c r="C319" s="51" t="s">
        <v>2024</v>
      </c>
      <c r="D319" s="51"/>
      <c r="E319" s="51"/>
      <c r="F319" s="51"/>
      <c r="G319" s="50" t="s">
        <v>2025</v>
      </c>
      <c r="H319" s="52">
        <v>44683.444189814814</v>
      </c>
      <c r="I319" s="50"/>
      <c r="J319" s="50"/>
      <c r="K319" s="50"/>
      <c r="L319" s="50"/>
      <c r="M319" s="50" t="s">
        <v>2026</v>
      </c>
      <c r="N319" s="50"/>
      <c r="O319" s="53" t="s">
        <v>60</v>
      </c>
      <c r="P319" s="55" t="s">
        <v>2027</v>
      </c>
      <c r="Q319" s="50">
        <v>76.0</v>
      </c>
      <c r="R319" s="50"/>
      <c r="S319" s="50" t="s">
        <v>2028</v>
      </c>
      <c r="T319" s="56" t="s">
        <v>2029</v>
      </c>
      <c r="U319" s="53" t="s">
        <v>2030</v>
      </c>
    </row>
    <row r="320">
      <c r="A320" s="54" t="s">
        <v>2031</v>
      </c>
      <c r="B320" s="50" t="s">
        <v>2032</v>
      </c>
      <c r="C320" s="51" t="s">
        <v>2033</v>
      </c>
      <c r="D320" s="51"/>
      <c r="E320" s="51"/>
      <c r="F320" s="51"/>
      <c r="G320" s="50" t="s">
        <v>2025</v>
      </c>
      <c r="H320" s="52">
        <v>44683.444189814814</v>
      </c>
      <c r="I320" s="50"/>
      <c r="J320" s="50"/>
      <c r="K320" s="50"/>
      <c r="L320" s="50"/>
      <c r="M320" s="50" t="s">
        <v>2034</v>
      </c>
      <c r="N320" s="50"/>
      <c r="O320" s="53" t="s">
        <v>70</v>
      </c>
      <c r="P320" s="55" t="s">
        <v>2035</v>
      </c>
      <c r="Q320" s="50">
        <v>6015.0</v>
      </c>
      <c r="R320" s="50">
        <v>1384.0</v>
      </c>
      <c r="S320" s="50"/>
      <c r="T320" s="56" t="s">
        <v>2036</v>
      </c>
      <c r="U320" s="53" t="s">
        <v>2037</v>
      </c>
    </row>
    <row r="321">
      <c r="A321" s="54" t="s">
        <v>2038</v>
      </c>
      <c r="B321" s="50" t="s">
        <v>2039</v>
      </c>
      <c r="C321" s="51" t="s">
        <v>2040</v>
      </c>
      <c r="D321" s="51"/>
      <c r="E321" s="51"/>
      <c r="F321" s="51"/>
      <c r="G321" s="50" t="s">
        <v>2041</v>
      </c>
      <c r="H321" s="52">
        <v>44683.44416666667</v>
      </c>
      <c r="I321" s="50"/>
      <c r="J321" s="50"/>
      <c r="K321" s="50"/>
      <c r="L321" s="50"/>
      <c r="M321" s="50" t="s">
        <v>2042</v>
      </c>
      <c r="N321" s="50"/>
      <c r="O321" s="53" t="s">
        <v>60</v>
      </c>
      <c r="P321" s="55" t="s">
        <v>2043</v>
      </c>
      <c r="Q321" s="50">
        <v>3705.0</v>
      </c>
      <c r="R321" s="50">
        <v>4937.0</v>
      </c>
      <c r="S321" s="50" t="s">
        <v>2044</v>
      </c>
      <c r="T321" s="56" t="s">
        <v>2045</v>
      </c>
      <c r="U321" s="53" t="s">
        <v>2046</v>
      </c>
    </row>
    <row r="322">
      <c r="A322" s="54" t="s">
        <v>2047</v>
      </c>
      <c r="B322" s="50" t="s">
        <v>2048</v>
      </c>
      <c r="C322" s="51" t="s">
        <v>1772</v>
      </c>
      <c r="D322" s="51"/>
      <c r="E322" s="51"/>
      <c r="F322" s="51"/>
      <c r="G322" s="50" t="s">
        <v>2049</v>
      </c>
      <c r="H322" s="52">
        <v>44683.4437962963</v>
      </c>
      <c r="I322" s="50"/>
      <c r="J322" s="50"/>
      <c r="K322" s="50"/>
      <c r="L322" s="50"/>
      <c r="M322" s="50" t="s">
        <v>2050</v>
      </c>
      <c r="N322" s="50"/>
      <c r="O322" s="53" t="s">
        <v>60</v>
      </c>
      <c r="P322" s="55" t="s">
        <v>2051</v>
      </c>
      <c r="Q322" s="50">
        <v>5151.0</v>
      </c>
      <c r="R322" s="50">
        <v>5666.0</v>
      </c>
      <c r="S322" s="50" t="s">
        <v>2052</v>
      </c>
      <c r="T322" s="56" t="s">
        <v>2053</v>
      </c>
      <c r="U322" s="53" t="s">
        <v>1777</v>
      </c>
    </row>
    <row r="323">
      <c r="A323" s="54" t="s">
        <v>2054</v>
      </c>
      <c r="B323" s="50" t="s">
        <v>2055</v>
      </c>
      <c r="C323" s="51" t="s">
        <v>505</v>
      </c>
      <c r="D323" s="51"/>
      <c r="E323" s="51"/>
      <c r="F323" s="51"/>
      <c r="G323" s="50" t="s">
        <v>2056</v>
      </c>
      <c r="H323" s="52">
        <v>44683.44362268518</v>
      </c>
      <c r="I323" s="50"/>
      <c r="J323" s="50"/>
      <c r="K323" s="50"/>
      <c r="L323" s="50"/>
      <c r="M323" s="50" t="s">
        <v>2057</v>
      </c>
      <c r="N323" s="50"/>
      <c r="O323" s="53" t="s">
        <v>60</v>
      </c>
      <c r="P323" s="55" t="s">
        <v>2058</v>
      </c>
      <c r="Q323" s="50">
        <v>13489.0</v>
      </c>
      <c r="R323" s="50">
        <v>12939.0</v>
      </c>
      <c r="S323" s="50"/>
      <c r="T323" s="56" t="s">
        <v>2059</v>
      </c>
      <c r="U323" s="53" t="s">
        <v>511</v>
      </c>
    </row>
    <row r="324">
      <c r="A324" s="54" t="s">
        <v>2060</v>
      </c>
      <c r="B324" s="50" t="s">
        <v>2061</v>
      </c>
      <c r="C324" s="51" t="s">
        <v>505</v>
      </c>
      <c r="D324" s="51"/>
      <c r="E324" s="51"/>
      <c r="F324" s="51"/>
      <c r="G324" s="50" t="s">
        <v>2062</v>
      </c>
      <c r="H324" s="52">
        <v>44683.44357638889</v>
      </c>
      <c r="I324" s="50"/>
      <c r="J324" s="50"/>
      <c r="K324" s="50"/>
      <c r="L324" s="50"/>
      <c r="M324" s="50" t="s">
        <v>2063</v>
      </c>
      <c r="N324" s="50"/>
      <c r="O324" s="53" t="s">
        <v>60</v>
      </c>
      <c r="P324" s="55" t="s">
        <v>2064</v>
      </c>
      <c r="Q324" s="50">
        <v>6516.0</v>
      </c>
      <c r="R324" s="50">
        <v>777.0</v>
      </c>
      <c r="S324" s="50"/>
      <c r="T324" s="56" t="s">
        <v>2065</v>
      </c>
      <c r="U324" s="53" t="s">
        <v>511</v>
      </c>
    </row>
    <row r="325">
      <c r="A325" s="54" t="s">
        <v>2066</v>
      </c>
      <c r="B325" s="50" t="s">
        <v>2067</v>
      </c>
      <c r="C325" s="51" t="s">
        <v>2068</v>
      </c>
      <c r="D325" s="51"/>
      <c r="E325" s="51"/>
      <c r="F325" s="51"/>
      <c r="G325" s="50" t="s">
        <v>2069</v>
      </c>
      <c r="H325" s="52">
        <v>44683.4435300926</v>
      </c>
      <c r="I325" s="50"/>
      <c r="J325" s="50"/>
      <c r="K325" s="50"/>
      <c r="L325" s="50"/>
      <c r="M325" s="50" t="s">
        <v>2070</v>
      </c>
      <c r="N325" s="50"/>
      <c r="O325" s="53" t="s">
        <v>60</v>
      </c>
      <c r="P325" s="55" t="s">
        <v>2071</v>
      </c>
      <c r="Q325" s="50">
        <v>1741.0</v>
      </c>
      <c r="R325" s="50">
        <v>4841.0</v>
      </c>
      <c r="S325" s="50"/>
      <c r="T325" s="56" t="s">
        <v>2072</v>
      </c>
      <c r="U325" s="53" t="s">
        <v>2073</v>
      </c>
    </row>
    <row r="326">
      <c r="A326" s="54" t="s">
        <v>2074</v>
      </c>
      <c r="B326" s="50" t="s">
        <v>2075</v>
      </c>
      <c r="C326" s="51" t="s">
        <v>2076</v>
      </c>
      <c r="D326" s="51"/>
      <c r="E326" s="51"/>
      <c r="F326" s="51"/>
      <c r="G326" s="50" t="s">
        <v>2077</v>
      </c>
      <c r="H326" s="52">
        <v>44683.4434837963</v>
      </c>
      <c r="I326" s="50"/>
      <c r="J326" s="50"/>
      <c r="K326" s="50"/>
      <c r="L326" s="50"/>
      <c r="M326" s="50" t="s">
        <v>2078</v>
      </c>
      <c r="N326" s="50"/>
      <c r="O326" s="53" t="s">
        <v>70</v>
      </c>
      <c r="P326" s="55" t="s">
        <v>354</v>
      </c>
      <c r="Q326" s="50">
        <v>167.0</v>
      </c>
      <c r="R326" s="50">
        <v>1327.0</v>
      </c>
      <c r="S326" s="50" t="s">
        <v>2079</v>
      </c>
      <c r="T326" s="56" t="s">
        <v>2080</v>
      </c>
      <c r="U326" s="53" t="s">
        <v>691</v>
      </c>
    </row>
    <row r="327">
      <c r="A327" s="54" t="s">
        <v>2081</v>
      </c>
      <c r="B327" s="50" t="s">
        <v>2082</v>
      </c>
      <c r="C327" s="51" t="s">
        <v>2083</v>
      </c>
      <c r="D327" s="51"/>
      <c r="E327" s="51"/>
      <c r="F327" s="51"/>
      <c r="G327" s="50" t="s">
        <v>2077</v>
      </c>
      <c r="H327" s="52">
        <v>44683.4434837963</v>
      </c>
      <c r="I327" s="50"/>
      <c r="J327" s="50"/>
      <c r="K327" s="50"/>
      <c r="L327" s="50"/>
      <c r="M327" s="50" t="s">
        <v>2084</v>
      </c>
      <c r="N327" s="50"/>
      <c r="O327" s="53" t="s">
        <v>92</v>
      </c>
      <c r="P327" s="55" t="s">
        <v>2085</v>
      </c>
      <c r="Q327" s="50">
        <v>979.0</v>
      </c>
      <c r="R327" s="50">
        <v>788.0</v>
      </c>
      <c r="S327" s="50" t="s">
        <v>1139</v>
      </c>
      <c r="T327" s="56" t="s">
        <v>2086</v>
      </c>
      <c r="U327" s="53" t="s">
        <v>2087</v>
      </c>
    </row>
    <row r="328">
      <c r="A328" s="54" t="s">
        <v>2088</v>
      </c>
      <c r="B328" s="50" t="s">
        <v>2089</v>
      </c>
      <c r="C328" s="51" t="s">
        <v>367</v>
      </c>
      <c r="D328" s="51"/>
      <c r="E328" s="51"/>
      <c r="F328" s="51"/>
      <c r="G328" s="50" t="s">
        <v>2090</v>
      </c>
      <c r="H328" s="52">
        <v>44683.443402777775</v>
      </c>
      <c r="I328" s="50"/>
      <c r="J328" s="50"/>
      <c r="K328" s="50"/>
      <c r="L328" s="50"/>
      <c r="M328" s="50" t="s">
        <v>2091</v>
      </c>
      <c r="N328" s="50"/>
      <c r="O328" s="53" t="s">
        <v>92</v>
      </c>
      <c r="P328" s="55" t="s">
        <v>2092</v>
      </c>
      <c r="Q328" s="50">
        <v>77.0</v>
      </c>
      <c r="R328" s="50">
        <v>414.0</v>
      </c>
      <c r="S328" s="50" t="s">
        <v>2093</v>
      </c>
      <c r="T328" s="56" t="s">
        <v>2094</v>
      </c>
      <c r="U328" s="53" t="s">
        <v>370</v>
      </c>
    </row>
    <row r="329">
      <c r="A329" s="54" t="s">
        <v>2095</v>
      </c>
      <c r="B329" s="50" t="s">
        <v>2096</v>
      </c>
      <c r="C329" s="51" t="s">
        <v>367</v>
      </c>
      <c r="D329" s="51"/>
      <c r="E329" s="51"/>
      <c r="F329" s="51"/>
      <c r="G329" s="50" t="s">
        <v>2097</v>
      </c>
      <c r="H329" s="52">
        <v>44683.44337962963</v>
      </c>
      <c r="I329" s="50"/>
      <c r="J329" s="50"/>
      <c r="K329" s="50"/>
      <c r="L329" s="50"/>
      <c r="M329" s="50" t="s">
        <v>2098</v>
      </c>
      <c r="N329" s="50"/>
      <c r="O329" s="53" t="s">
        <v>92</v>
      </c>
      <c r="P329" s="55" t="s">
        <v>354</v>
      </c>
      <c r="Q329" s="50">
        <v>1.0</v>
      </c>
      <c r="R329" s="50">
        <v>63.0</v>
      </c>
      <c r="S329" s="50"/>
      <c r="T329" s="56" t="s">
        <v>2099</v>
      </c>
      <c r="U329" s="53" t="s">
        <v>370</v>
      </c>
    </row>
    <row r="330">
      <c r="A330" s="54" t="s">
        <v>2100</v>
      </c>
      <c r="B330" s="50" t="s">
        <v>2101</v>
      </c>
      <c r="C330" s="51" t="s">
        <v>316</v>
      </c>
      <c r="D330" s="51"/>
      <c r="E330" s="51"/>
      <c r="F330" s="51"/>
      <c r="G330" s="50" t="s">
        <v>2102</v>
      </c>
      <c r="H330" s="52">
        <v>44683.44336805555</v>
      </c>
      <c r="I330" s="50"/>
      <c r="J330" s="50"/>
      <c r="K330" s="50"/>
      <c r="L330" s="50"/>
      <c r="M330" s="50" t="s">
        <v>2103</v>
      </c>
      <c r="N330" s="50"/>
      <c r="O330" s="53" t="s">
        <v>70</v>
      </c>
      <c r="P330" s="55" t="s">
        <v>2104</v>
      </c>
      <c r="Q330" s="50">
        <v>1227.0</v>
      </c>
      <c r="R330" s="50">
        <v>2343.0</v>
      </c>
      <c r="S330" s="50" t="s">
        <v>2105</v>
      </c>
      <c r="T330" s="56" t="s">
        <v>2106</v>
      </c>
      <c r="U330" s="53" t="s">
        <v>322</v>
      </c>
    </row>
    <row r="331">
      <c r="A331" s="54" t="s">
        <v>2107</v>
      </c>
      <c r="B331" s="50" t="s">
        <v>2108</v>
      </c>
      <c r="C331" s="51" t="s">
        <v>367</v>
      </c>
      <c r="D331" s="51"/>
      <c r="E331" s="51"/>
      <c r="F331" s="51"/>
      <c r="G331" s="50" t="s">
        <v>2109</v>
      </c>
      <c r="H331" s="52">
        <v>44683.44328703704</v>
      </c>
      <c r="I331" s="50"/>
      <c r="J331" s="50"/>
      <c r="K331" s="50"/>
      <c r="L331" s="50"/>
      <c r="M331" s="50" t="s">
        <v>2110</v>
      </c>
      <c r="N331" s="50"/>
      <c r="O331" s="53" t="s">
        <v>92</v>
      </c>
      <c r="P331" s="55" t="s">
        <v>354</v>
      </c>
      <c r="Q331" s="50">
        <v>25.0</v>
      </c>
      <c r="R331" s="50">
        <v>160.0</v>
      </c>
      <c r="S331" s="50"/>
      <c r="T331" s="56" t="s">
        <v>2111</v>
      </c>
      <c r="U331" s="53" t="s">
        <v>370</v>
      </c>
    </row>
    <row r="332">
      <c r="A332" s="54" t="s">
        <v>2112</v>
      </c>
      <c r="B332" s="50" t="s">
        <v>2113</v>
      </c>
      <c r="C332" s="51" t="s">
        <v>367</v>
      </c>
      <c r="D332" s="51"/>
      <c r="E332" s="51"/>
      <c r="F332" s="51"/>
      <c r="G332" s="50" t="s">
        <v>2114</v>
      </c>
      <c r="H332" s="52">
        <v>44683.44321759259</v>
      </c>
      <c r="I332" s="50"/>
      <c r="J332" s="50"/>
      <c r="K332" s="50"/>
      <c r="L332" s="50"/>
      <c r="M332" s="50" t="s">
        <v>2115</v>
      </c>
      <c r="N332" s="50"/>
      <c r="O332" s="53" t="s">
        <v>70</v>
      </c>
      <c r="P332" s="55" t="s">
        <v>354</v>
      </c>
      <c r="Q332" s="50">
        <v>58.0</v>
      </c>
      <c r="R332" s="50">
        <v>277.0</v>
      </c>
      <c r="S332" s="50"/>
      <c r="T332" s="56" t="s">
        <v>2116</v>
      </c>
      <c r="U332" s="53" t="s">
        <v>370</v>
      </c>
    </row>
    <row r="333">
      <c r="A333" s="54" t="s">
        <v>2117</v>
      </c>
      <c r="B333" s="50" t="s">
        <v>2118</v>
      </c>
      <c r="C333" s="51" t="s">
        <v>2119</v>
      </c>
      <c r="D333" s="51"/>
      <c r="E333" s="51"/>
      <c r="F333" s="51"/>
      <c r="G333" s="50" t="s">
        <v>2120</v>
      </c>
      <c r="H333" s="52">
        <v>44683.44306712963</v>
      </c>
      <c r="I333" s="50"/>
      <c r="J333" s="50"/>
      <c r="K333" s="50" t="s">
        <v>2121</v>
      </c>
      <c r="L333" s="50" t="s">
        <v>2122</v>
      </c>
      <c r="M333" s="50" t="s">
        <v>2123</v>
      </c>
      <c r="N333" s="50" t="s">
        <v>2124</v>
      </c>
      <c r="O333" s="53" t="s">
        <v>60</v>
      </c>
      <c r="P333" s="55" t="s">
        <v>2125</v>
      </c>
      <c r="Q333" s="50">
        <v>1818.0</v>
      </c>
      <c r="R333" s="50">
        <v>1497.0</v>
      </c>
      <c r="S333" s="50" t="s">
        <v>2126</v>
      </c>
      <c r="T333" s="56" t="s">
        <v>2127</v>
      </c>
      <c r="U333" s="53" t="s">
        <v>2128</v>
      </c>
    </row>
    <row r="334">
      <c r="A334" s="54" t="s">
        <v>2129</v>
      </c>
      <c r="B334" s="50" t="s">
        <v>2130</v>
      </c>
      <c r="C334" s="51" t="s">
        <v>1789</v>
      </c>
      <c r="D334" s="51"/>
      <c r="E334" s="51"/>
      <c r="F334" s="51"/>
      <c r="G334" s="50" t="s">
        <v>2131</v>
      </c>
      <c r="H334" s="52">
        <v>44683.44289351851</v>
      </c>
      <c r="I334" s="50"/>
      <c r="J334" s="50"/>
      <c r="K334" s="50"/>
      <c r="L334" s="50"/>
      <c r="M334" s="50" t="s">
        <v>2132</v>
      </c>
      <c r="N334" s="50"/>
      <c r="O334" s="53" t="s">
        <v>70</v>
      </c>
      <c r="P334" s="55" t="s">
        <v>2133</v>
      </c>
      <c r="Q334" s="50">
        <v>4098.0</v>
      </c>
      <c r="R334" s="50">
        <v>2326.0</v>
      </c>
      <c r="S334" s="50" t="s">
        <v>2134</v>
      </c>
      <c r="T334" s="56" t="s">
        <v>2135</v>
      </c>
      <c r="U334" s="53" t="s">
        <v>1795</v>
      </c>
    </row>
    <row r="335">
      <c r="A335" s="54" t="s">
        <v>2136</v>
      </c>
      <c r="B335" s="50" t="s">
        <v>2137</v>
      </c>
      <c r="C335" s="51" t="s">
        <v>855</v>
      </c>
      <c r="D335" s="51"/>
      <c r="E335" s="51"/>
      <c r="F335" s="51"/>
      <c r="G335" s="50" t="s">
        <v>2138</v>
      </c>
      <c r="H335" s="52">
        <v>44683.442881944444</v>
      </c>
      <c r="I335" s="50"/>
      <c r="J335" s="50"/>
      <c r="K335" s="50"/>
      <c r="L335" s="50"/>
      <c r="M335" s="50" t="s">
        <v>2139</v>
      </c>
      <c r="N335" s="50"/>
      <c r="O335" s="53" t="s">
        <v>92</v>
      </c>
      <c r="P335" s="55" t="s">
        <v>2140</v>
      </c>
      <c r="Q335" s="50">
        <v>204.0</v>
      </c>
      <c r="R335" s="50">
        <v>174.0</v>
      </c>
      <c r="S335" s="50" t="s">
        <v>2141</v>
      </c>
      <c r="T335" s="56" t="s">
        <v>2142</v>
      </c>
      <c r="U335" s="53" t="s">
        <v>861</v>
      </c>
    </row>
    <row r="336">
      <c r="A336" s="54" t="s">
        <v>2143</v>
      </c>
      <c r="B336" s="50" t="s">
        <v>2144</v>
      </c>
      <c r="C336" s="51" t="s">
        <v>2145</v>
      </c>
      <c r="D336" s="51"/>
      <c r="E336" s="51"/>
      <c r="F336" s="51"/>
      <c r="G336" s="50" t="s">
        <v>2146</v>
      </c>
      <c r="H336" s="52">
        <v>44683.44270833333</v>
      </c>
      <c r="I336" s="50"/>
      <c r="J336" s="50"/>
      <c r="K336" s="50" t="s">
        <v>2147</v>
      </c>
      <c r="L336" s="50" t="s">
        <v>2148</v>
      </c>
      <c r="M336" s="50" t="s">
        <v>2149</v>
      </c>
      <c r="N336" s="50" t="s">
        <v>2150</v>
      </c>
      <c r="O336" s="53" t="s">
        <v>92</v>
      </c>
      <c r="P336" s="55" t="s">
        <v>2151</v>
      </c>
      <c r="Q336" s="50">
        <v>4451.0</v>
      </c>
      <c r="R336" s="50">
        <v>4501.0</v>
      </c>
      <c r="S336" s="50"/>
      <c r="T336" s="56" t="s">
        <v>2152</v>
      </c>
      <c r="U336" s="53" t="s">
        <v>2153</v>
      </c>
    </row>
    <row r="337">
      <c r="A337" s="54" t="s">
        <v>2154</v>
      </c>
      <c r="B337" s="50" t="s">
        <v>2155</v>
      </c>
      <c r="C337" s="51" t="s">
        <v>687</v>
      </c>
      <c r="D337" s="51"/>
      <c r="E337" s="51"/>
      <c r="F337" s="51"/>
      <c r="G337" s="50" t="s">
        <v>2156</v>
      </c>
      <c r="H337" s="52">
        <v>44683.44246527778</v>
      </c>
      <c r="I337" s="50"/>
      <c r="J337" s="50"/>
      <c r="K337" s="50"/>
      <c r="L337" s="50"/>
      <c r="M337" s="50" t="s">
        <v>2157</v>
      </c>
      <c r="N337" s="50"/>
      <c r="O337" s="53" t="s">
        <v>217</v>
      </c>
      <c r="P337" s="55" t="s">
        <v>354</v>
      </c>
      <c r="Q337" s="50">
        <v>1528.0</v>
      </c>
      <c r="R337" s="50">
        <v>1287.0</v>
      </c>
      <c r="S337" s="50" t="s">
        <v>887</v>
      </c>
      <c r="T337" s="56" t="s">
        <v>2158</v>
      </c>
      <c r="U337" s="53" t="s">
        <v>691</v>
      </c>
    </row>
    <row r="338">
      <c r="A338" s="54" t="s">
        <v>2159</v>
      </c>
      <c r="B338" s="50" t="s">
        <v>1421</v>
      </c>
      <c r="C338" s="51" t="s">
        <v>2160</v>
      </c>
      <c r="D338" s="51"/>
      <c r="E338" s="51"/>
      <c r="F338" s="51"/>
      <c r="G338" s="50" t="s">
        <v>2161</v>
      </c>
      <c r="H338" s="52">
        <v>44683.44237268518</v>
      </c>
      <c r="I338" s="50"/>
      <c r="J338" s="50"/>
      <c r="K338" s="50"/>
      <c r="L338" s="50"/>
      <c r="M338" s="50" t="s">
        <v>1422</v>
      </c>
      <c r="N338" s="50"/>
      <c r="O338" s="53" t="s">
        <v>60</v>
      </c>
      <c r="P338" s="55" t="s">
        <v>1423</v>
      </c>
      <c r="Q338" s="50">
        <v>30117.0</v>
      </c>
      <c r="R338" s="50">
        <v>25365.0</v>
      </c>
      <c r="S338" s="50" t="s">
        <v>1424</v>
      </c>
      <c r="T338" s="56" t="s">
        <v>2162</v>
      </c>
      <c r="U338" s="53" t="s">
        <v>2163</v>
      </c>
    </row>
    <row r="339">
      <c r="A339" s="54" t="s">
        <v>2164</v>
      </c>
      <c r="B339" s="50" t="s">
        <v>2165</v>
      </c>
      <c r="C339" s="51" t="s">
        <v>367</v>
      </c>
      <c r="D339" s="51"/>
      <c r="E339" s="51"/>
      <c r="F339" s="51"/>
      <c r="G339" s="50" t="s">
        <v>2166</v>
      </c>
      <c r="H339" s="52">
        <v>44683.442152777774</v>
      </c>
      <c r="I339" s="50"/>
      <c r="J339" s="50"/>
      <c r="K339" s="50"/>
      <c r="L339" s="50"/>
      <c r="M339" s="50" t="s">
        <v>2167</v>
      </c>
      <c r="N339" s="50"/>
      <c r="O339" s="53" t="s">
        <v>60</v>
      </c>
      <c r="P339" s="55" t="s">
        <v>2168</v>
      </c>
      <c r="Q339" s="50">
        <v>2421.0</v>
      </c>
      <c r="R339" s="50">
        <v>2603.0</v>
      </c>
      <c r="S339" s="50" t="s">
        <v>2169</v>
      </c>
      <c r="T339" s="56" t="s">
        <v>2170</v>
      </c>
      <c r="U339" s="53" t="s">
        <v>370</v>
      </c>
    </row>
    <row r="340">
      <c r="A340" s="54" t="s">
        <v>2171</v>
      </c>
      <c r="B340" s="50" t="s">
        <v>2172</v>
      </c>
      <c r="C340" s="51" t="s">
        <v>2173</v>
      </c>
      <c r="D340" s="51"/>
      <c r="E340" s="51"/>
      <c r="F340" s="51"/>
      <c r="G340" s="50" t="s">
        <v>2174</v>
      </c>
      <c r="H340" s="52">
        <v>44683.44210648148</v>
      </c>
      <c r="I340" s="50"/>
      <c r="J340" s="50"/>
      <c r="K340" s="50"/>
      <c r="L340" s="50"/>
      <c r="M340" s="50" t="s">
        <v>2175</v>
      </c>
      <c r="N340" s="50"/>
      <c r="O340" s="53" t="s">
        <v>70</v>
      </c>
      <c r="P340" s="55" t="s">
        <v>2176</v>
      </c>
      <c r="Q340" s="50">
        <v>18108.0</v>
      </c>
      <c r="R340" s="50">
        <v>13392.0</v>
      </c>
      <c r="S340" s="50" t="s">
        <v>2177</v>
      </c>
      <c r="T340" s="56" t="s">
        <v>2178</v>
      </c>
      <c r="U340" s="53" t="s">
        <v>2179</v>
      </c>
    </row>
    <row r="341">
      <c r="A341" s="54" t="s">
        <v>2180</v>
      </c>
      <c r="B341" s="50" t="s">
        <v>2181</v>
      </c>
      <c r="C341" s="51" t="s">
        <v>2182</v>
      </c>
      <c r="D341" s="51"/>
      <c r="E341" s="51"/>
      <c r="F341" s="51"/>
      <c r="G341" s="50" t="s">
        <v>2183</v>
      </c>
      <c r="H341" s="52">
        <v>44683.44204861111</v>
      </c>
      <c r="I341" s="50"/>
      <c r="J341" s="50"/>
      <c r="K341" s="50"/>
      <c r="L341" s="50"/>
      <c r="M341" s="50" t="s">
        <v>2184</v>
      </c>
      <c r="N341" s="50"/>
      <c r="O341" s="53" t="s">
        <v>2185</v>
      </c>
      <c r="P341" s="55" t="s">
        <v>2186</v>
      </c>
      <c r="Q341" s="50">
        <v>3770.0</v>
      </c>
      <c r="R341" s="50">
        <v>2608.0</v>
      </c>
      <c r="S341" s="50" t="s">
        <v>1311</v>
      </c>
      <c r="T341" s="56" t="s">
        <v>2187</v>
      </c>
      <c r="U341" s="53" t="s">
        <v>2188</v>
      </c>
    </row>
    <row r="342">
      <c r="A342" s="54" t="s">
        <v>2189</v>
      </c>
      <c r="B342" s="50" t="s">
        <v>2190</v>
      </c>
      <c r="C342" s="51" t="s">
        <v>2191</v>
      </c>
      <c r="D342" s="51"/>
      <c r="E342" s="51"/>
      <c r="F342" s="51"/>
      <c r="G342" s="50" t="s">
        <v>2192</v>
      </c>
      <c r="H342" s="52">
        <v>44683.441875000004</v>
      </c>
      <c r="I342" s="50"/>
      <c r="J342" s="50"/>
      <c r="K342" s="50"/>
      <c r="L342" s="50"/>
      <c r="M342" s="50" t="s">
        <v>2193</v>
      </c>
      <c r="N342" s="50"/>
      <c r="O342" s="53" t="s">
        <v>92</v>
      </c>
      <c r="P342" s="55" t="s">
        <v>2194</v>
      </c>
      <c r="Q342" s="50">
        <v>629.0</v>
      </c>
      <c r="R342" s="50">
        <v>605.0</v>
      </c>
      <c r="S342" s="50" t="s">
        <v>2195</v>
      </c>
      <c r="T342" s="56" t="s">
        <v>2196</v>
      </c>
      <c r="U342" s="53" t="s">
        <v>2197</v>
      </c>
    </row>
    <row r="343">
      <c r="A343" s="54" t="s">
        <v>2198</v>
      </c>
      <c r="B343" s="50" t="s">
        <v>2199</v>
      </c>
      <c r="C343" s="51" t="s">
        <v>1789</v>
      </c>
      <c r="D343" s="51"/>
      <c r="E343" s="51"/>
      <c r="F343" s="51"/>
      <c r="G343" s="50" t="s">
        <v>2200</v>
      </c>
      <c r="H343" s="52">
        <v>44683.441828703704</v>
      </c>
      <c r="I343" s="50"/>
      <c r="J343" s="50"/>
      <c r="K343" s="50"/>
      <c r="L343" s="50"/>
      <c r="M343" s="50" t="s">
        <v>2201</v>
      </c>
      <c r="N343" s="50"/>
      <c r="O343" s="53" t="s">
        <v>60</v>
      </c>
      <c r="P343" s="55" t="s">
        <v>2202</v>
      </c>
      <c r="Q343" s="50">
        <v>21908.0</v>
      </c>
      <c r="R343" s="50">
        <v>14241.0</v>
      </c>
      <c r="S343" s="50" t="s">
        <v>2203</v>
      </c>
      <c r="T343" s="56" t="s">
        <v>2204</v>
      </c>
      <c r="U343" s="53" t="s">
        <v>1795</v>
      </c>
    </row>
    <row r="344">
      <c r="A344" s="54" t="s">
        <v>2205</v>
      </c>
      <c r="B344" s="50" t="s">
        <v>2206</v>
      </c>
      <c r="C344" s="51" t="s">
        <v>687</v>
      </c>
      <c r="D344" s="51"/>
      <c r="E344" s="51"/>
      <c r="F344" s="51"/>
      <c r="G344" s="50" t="s">
        <v>2207</v>
      </c>
      <c r="H344" s="52">
        <v>44683.441782407404</v>
      </c>
      <c r="I344" s="50"/>
      <c r="J344" s="50"/>
      <c r="K344" s="50"/>
      <c r="L344" s="50"/>
      <c r="M344" s="50" t="s">
        <v>2208</v>
      </c>
      <c r="N344" s="50"/>
      <c r="O344" s="53" t="s">
        <v>70</v>
      </c>
      <c r="P344" s="55" t="s">
        <v>2209</v>
      </c>
      <c r="Q344" s="50">
        <v>1095.0</v>
      </c>
      <c r="R344" s="50">
        <v>2345.0</v>
      </c>
      <c r="S344" s="50"/>
      <c r="T344" s="56" t="s">
        <v>2210</v>
      </c>
      <c r="U344" s="53" t="s">
        <v>691</v>
      </c>
    </row>
    <row r="345">
      <c r="A345" s="54" t="s">
        <v>2211</v>
      </c>
      <c r="B345" s="50" t="s">
        <v>2190</v>
      </c>
      <c r="C345" s="51" t="s">
        <v>2212</v>
      </c>
      <c r="D345" s="51"/>
      <c r="E345" s="51"/>
      <c r="F345" s="51"/>
      <c r="G345" s="50" t="s">
        <v>2213</v>
      </c>
      <c r="H345" s="52">
        <v>44683.44163194444</v>
      </c>
      <c r="I345" s="50"/>
      <c r="J345" s="50"/>
      <c r="K345" s="50"/>
      <c r="L345" s="50"/>
      <c r="M345" s="50" t="s">
        <v>2193</v>
      </c>
      <c r="N345" s="50"/>
      <c r="O345" s="53" t="s">
        <v>92</v>
      </c>
      <c r="P345" s="55" t="s">
        <v>2194</v>
      </c>
      <c r="Q345" s="50">
        <v>629.0</v>
      </c>
      <c r="R345" s="50">
        <v>605.0</v>
      </c>
      <c r="S345" s="50" t="s">
        <v>2195</v>
      </c>
      <c r="T345" s="56" t="s">
        <v>2214</v>
      </c>
      <c r="U345" s="53" t="s">
        <v>2215</v>
      </c>
    </row>
    <row r="346">
      <c r="A346" s="54" t="s">
        <v>2216</v>
      </c>
      <c r="B346" s="50" t="s">
        <v>2217</v>
      </c>
      <c r="C346" s="51" t="s">
        <v>329</v>
      </c>
      <c r="D346" s="51"/>
      <c r="E346" s="51"/>
      <c r="F346" s="51"/>
      <c r="G346" s="50" t="s">
        <v>2218</v>
      </c>
      <c r="H346" s="52">
        <v>44683.44143518519</v>
      </c>
      <c r="I346" s="50"/>
      <c r="J346" s="50"/>
      <c r="K346" s="50"/>
      <c r="L346" s="50"/>
      <c r="M346" s="50" t="s">
        <v>2219</v>
      </c>
      <c r="N346" s="50"/>
      <c r="O346" s="53" t="s">
        <v>92</v>
      </c>
      <c r="P346" s="55" t="s">
        <v>2220</v>
      </c>
      <c r="Q346" s="50">
        <v>853.0</v>
      </c>
      <c r="R346" s="50">
        <v>3138.0</v>
      </c>
      <c r="S346" s="50" t="s">
        <v>2221</v>
      </c>
      <c r="T346" s="56" t="s">
        <v>2222</v>
      </c>
      <c r="U346" s="53" t="s">
        <v>332</v>
      </c>
    </row>
    <row r="347">
      <c r="A347" s="54" t="s">
        <v>2223</v>
      </c>
      <c r="B347" s="50" t="s">
        <v>2224</v>
      </c>
      <c r="C347" s="51" t="s">
        <v>2225</v>
      </c>
      <c r="D347" s="51"/>
      <c r="E347" s="51"/>
      <c r="F347" s="51"/>
      <c r="G347" s="50" t="s">
        <v>2226</v>
      </c>
      <c r="H347" s="52">
        <v>44683.44137731481</v>
      </c>
      <c r="I347" s="50"/>
      <c r="J347" s="50"/>
      <c r="K347" s="50" t="s">
        <v>2227</v>
      </c>
      <c r="L347" s="50" t="s">
        <v>2228</v>
      </c>
      <c r="M347" s="50" t="s">
        <v>2229</v>
      </c>
      <c r="N347" s="50" t="s">
        <v>2230</v>
      </c>
      <c r="O347" s="53" t="s">
        <v>92</v>
      </c>
      <c r="P347" s="55" t="s">
        <v>354</v>
      </c>
      <c r="Q347" s="50">
        <v>108.0</v>
      </c>
      <c r="R347" s="50">
        <v>82.0</v>
      </c>
      <c r="S347" s="50" t="s">
        <v>1153</v>
      </c>
      <c r="T347" s="56" t="s">
        <v>2231</v>
      </c>
      <c r="U347" s="53" t="s">
        <v>2232</v>
      </c>
    </row>
    <row r="348">
      <c r="A348" s="54" t="s">
        <v>2233</v>
      </c>
      <c r="B348" s="50" t="s">
        <v>2234</v>
      </c>
      <c r="C348" s="51" t="s">
        <v>316</v>
      </c>
      <c r="D348" s="51"/>
      <c r="E348" s="51"/>
      <c r="F348" s="51"/>
      <c r="G348" s="50" t="s">
        <v>2226</v>
      </c>
      <c r="H348" s="52">
        <v>44683.44137731481</v>
      </c>
      <c r="I348" s="50"/>
      <c r="J348" s="50"/>
      <c r="K348" s="50"/>
      <c r="L348" s="50"/>
      <c r="M348" s="50" t="s">
        <v>2235</v>
      </c>
      <c r="N348" s="50"/>
      <c r="O348" s="53" t="s">
        <v>92</v>
      </c>
      <c r="P348" s="55" t="s">
        <v>354</v>
      </c>
      <c r="Q348" s="50">
        <v>1335.0</v>
      </c>
      <c r="R348" s="50">
        <v>2604.0</v>
      </c>
      <c r="S348" s="50"/>
      <c r="T348" s="56" t="s">
        <v>2236</v>
      </c>
      <c r="U348" s="53" t="s">
        <v>322</v>
      </c>
    </row>
    <row r="349">
      <c r="A349" s="54" t="s">
        <v>2237</v>
      </c>
      <c r="B349" s="50" t="s">
        <v>2238</v>
      </c>
      <c r="C349" s="51" t="s">
        <v>367</v>
      </c>
      <c r="D349" s="51"/>
      <c r="E349" s="51"/>
      <c r="F349" s="51"/>
      <c r="G349" s="50" t="s">
        <v>2239</v>
      </c>
      <c r="H349" s="52">
        <v>44683.441307870366</v>
      </c>
      <c r="I349" s="50"/>
      <c r="J349" s="50"/>
      <c r="K349" s="50"/>
      <c r="L349" s="50"/>
      <c r="M349" s="50" t="s">
        <v>2240</v>
      </c>
      <c r="N349" s="50"/>
      <c r="O349" s="53" t="s">
        <v>70</v>
      </c>
      <c r="P349" s="55" t="s">
        <v>2241</v>
      </c>
      <c r="Q349" s="50">
        <v>566.0</v>
      </c>
      <c r="R349" s="50">
        <v>162.0</v>
      </c>
      <c r="S349" s="50" t="s">
        <v>2242</v>
      </c>
      <c r="T349" s="56" t="s">
        <v>2243</v>
      </c>
      <c r="U349" s="53" t="s">
        <v>370</v>
      </c>
    </row>
    <row r="350">
      <c r="A350" s="54" t="s">
        <v>2244</v>
      </c>
      <c r="B350" s="50" t="s">
        <v>2234</v>
      </c>
      <c r="C350" s="51" t="s">
        <v>329</v>
      </c>
      <c r="D350" s="51"/>
      <c r="E350" s="51"/>
      <c r="F350" s="51"/>
      <c r="G350" s="50" t="s">
        <v>2245</v>
      </c>
      <c r="H350" s="52">
        <v>44683.44128472223</v>
      </c>
      <c r="I350" s="50"/>
      <c r="J350" s="50"/>
      <c r="K350" s="50"/>
      <c r="L350" s="50"/>
      <c r="M350" s="50" t="s">
        <v>2235</v>
      </c>
      <c r="N350" s="50"/>
      <c r="O350" s="53" t="s">
        <v>92</v>
      </c>
      <c r="P350" s="55" t="s">
        <v>354</v>
      </c>
      <c r="Q350" s="50">
        <v>1335.0</v>
      </c>
      <c r="R350" s="50">
        <v>2604.0</v>
      </c>
      <c r="S350" s="50"/>
      <c r="T350" s="56" t="s">
        <v>2246</v>
      </c>
      <c r="U350" s="53" t="s">
        <v>332</v>
      </c>
    </row>
    <row r="351">
      <c r="A351" s="54" t="s">
        <v>2247</v>
      </c>
      <c r="B351" s="50" t="s">
        <v>2248</v>
      </c>
      <c r="C351" s="51" t="s">
        <v>2249</v>
      </c>
      <c r="D351" s="51"/>
      <c r="E351" s="51"/>
      <c r="F351" s="51"/>
      <c r="G351" s="50" t="s">
        <v>2250</v>
      </c>
      <c r="H351" s="52">
        <v>44683.44112268518</v>
      </c>
      <c r="I351" s="50"/>
      <c r="J351" s="50"/>
      <c r="K351" s="50"/>
      <c r="L351" s="50"/>
      <c r="M351" s="50" t="s">
        <v>2251</v>
      </c>
      <c r="N351" s="50"/>
      <c r="O351" s="53" t="s">
        <v>60</v>
      </c>
      <c r="P351" s="55" t="s">
        <v>2252</v>
      </c>
      <c r="Q351" s="50">
        <v>15170.0</v>
      </c>
      <c r="R351" s="50">
        <v>1966.0</v>
      </c>
      <c r="S351" s="50" t="s">
        <v>2253</v>
      </c>
      <c r="T351" s="56" t="s">
        <v>2254</v>
      </c>
      <c r="U351" s="53" t="s">
        <v>2255</v>
      </c>
    </row>
    <row r="352">
      <c r="A352" s="54" t="s">
        <v>2256</v>
      </c>
      <c r="B352" s="50" t="s">
        <v>2257</v>
      </c>
      <c r="C352" s="51" t="s">
        <v>2258</v>
      </c>
      <c r="D352" s="51"/>
      <c r="E352" s="51"/>
      <c r="F352" s="51"/>
      <c r="G352" s="50" t="s">
        <v>2259</v>
      </c>
      <c r="H352" s="52">
        <v>44683.44091435186</v>
      </c>
      <c r="I352" s="50"/>
      <c r="J352" s="50"/>
      <c r="K352" s="50"/>
      <c r="L352" s="50"/>
      <c r="M352" s="50" t="s">
        <v>2260</v>
      </c>
      <c r="N352" s="50"/>
      <c r="O352" s="53" t="s">
        <v>60</v>
      </c>
      <c r="P352" s="55" t="s">
        <v>2261</v>
      </c>
      <c r="Q352" s="50">
        <v>11596.0</v>
      </c>
      <c r="R352" s="50">
        <v>2035.0</v>
      </c>
      <c r="S352" s="50" t="s">
        <v>219</v>
      </c>
      <c r="T352" s="56" t="s">
        <v>2262</v>
      </c>
      <c r="U352" s="53" t="s">
        <v>2263</v>
      </c>
    </row>
    <row r="353">
      <c r="A353" s="54" t="s">
        <v>2264</v>
      </c>
      <c r="B353" s="50" t="s">
        <v>2265</v>
      </c>
      <c r="C353" s="51" t="s">
        <v>2266</v>
      </c>
      <c r="D353" s="51"/>
      <c r="E353" s="51"/>
      <c r="F353" s="51"/>
      <c r="G353" s="50" t="s">
        <v>2267</v>
      </c>
      <c r="H353" s="52">
        <v>44683.44082175926</v>
      </c>
      <c r="I353" s="50"/>
      <c r="J353" s="50"/>
      <c r="K353" s="50"/>
      <c r="L353" s="50"/>
      <c r="M353" s="50" t="s">
        <v>2268</v>
      </c>
      <c r="N353" s="50"/>
      <c r="O353" s="53" t="s">
        <v>2269</v>
      </c>
      <c r="P353" s="55" t="s">
        <v>2270</v>
      </c>
      <c r="Q353" s="50">
        <v>23.0</v>
      </c>
      <c r="R353" s="50">
        <v>68.0</v>
      </c>
      <c r="S353" s="50" t="s">
        <v>2271</v>
      </c>
      <c r="T353" s="56" t="s">
        <v>2272</v>
      </c>
      <c r="U353" s="53" t="s">
        <v>2273</v>
      </c>
    </row>
    <row r="354">
      <c r="A354" s="54" t="s">
        <v>2274</v>
      </c>
      <c r="B354" s="50" t="s">
        <v>2275</v>
      </c>
      <c r="C354" s="51" t="s">
        <v>367</v>
      </c>
      <c r="D354" s="51"/>
      <c r="E354" s="51"/>
      <c r="F354" s="51"/>
      <c r="G354" s="50" t="s">
        <v>2276</v>
      </c>
      <c r="H354" s="52">
        <v>44683.44071759259</v>
      </c>
      <c r="I354" s="50"/>
      <c r="J354" s="50"/>
      <c r="K354" s="50"/>
      <c r="L354" s="50"/>
      <c r="M354" s="50" t="s">
        <v>2277</v>
      </c>
      <c r="N354" s="50"/>
      <c r="O354" s="53" t="s">
        <v>70</v>
      </c>
      <c r="P354" s="55" t="s">
        <v>2278</v>
      </c>
      <c r="Q354" s="50"/>
      <c r="R354" s="50">
        <v>2.0</v>
      </c>
      <c r="S354" s="50"/>
      <c r="T354" s="56" t="s">
        <v>2279</v>
      </c>
      <c r="U354" s="53" t="s">
        <v>370</v>
      </c>
    </row>
    <row r="355">
      <c r="A355" s="54" t="s">
        <v>2280</v>
      </c>
      <c r="B355" s="50" t="s">
        <v>2281</v>
      </c>
      <c r="C355" s="51" t="s">
        <v>1195</v>
      </c>
      <c r="D355" s="51"/>
      <c r="E355" s="51"/>
      <c r="F355" s="51"/>
      <c r="G355" s="50" t="s">
        <v>2282</v>
      </c>
      <c r="H355" s="52">
        <v>44683.44069444445</v>
      </c>
      <c r="I355" s="50"/>
      <c r="J355" s="50"/>
      <c r="K355" s="50"/>
      <c r="L355" s="50"/>
      <c r="M355" s="50" t="s">
        <v>2283</v>
      </c>
      <c r="N355" s="50"/>
      <c r="O355" s="53" t="s">
        <v>92</v>
      </c>
      <c r="P355" s="55" t="s">
        <v>2284</v>
      </c>
      <c r="Q355" s="50">
        <v>2156.0</v>
      </c>
      <c r="R355" s="50">
        <v>4829.0</v>
      </c>
      <c r="S355" s="50" t="s">
        <v>2285</v>
      </c>
      <c r="T355" s="56" t="s">
        <v>2286</v>
      </c>
      <c r="U355" s="53" t="s">
        <v>691</v>
      </c>
    </row>
    <row r="356">
      <c r="A356" s="54" t="s">
        <v>2287</v>
      </c>
      <c r="B356" s="50" t="s">
        <v>2288</v>
      </c>
      <c r="C356" s="51" t="s">
        <v>1307</v>
      </c>
      <c r="D356" s="51"/>
      <c r="E356" s="51"/>
      <c r="F356" s="51"/>
      <c r="G356" s="50" t="s">
        <v>2289</v>
      </c>
      <c r="H356" s="52">
        <v>44683.44064814815</v>
      </c>
      <c r="I356" s="50"/>
      <c r="J356" s="50"/>
      <c r="K356" s="50"/>
      <c r="L356" s="50"/>
      <c r="M356" s="50" t="s">
        <v>2290</v>
      </c>
      <c r="N356" s="50"/>
      <c r="O356" s="53" t="s">
        <v>60</v>
      </c>
      <c r="P356" s="55" t="s">
        <v>2291</v>
      </c>
      <c r="Q356" s="50">
        <v>234.0</v>
      </c>
      <c r="R356" s="50">
        <v>61.0</v>
      </c>
      <c r="S356" s="50" t="s">
        <v>2079</v>
      </c>
      <c r="T356" s="56" t="s">
        <v>2292</v>
      </c>
      <c r="U356" s="53" t="s">
        <v>1313</v>
      </c>
    </row>
    <row r="357">
      <c r="A357" s="54" t="s">
        <v>2293</v>
      </c>
      <c r="B357" s="50" t="s">
        <v>2294</v>
      </c>
      <c r="C357" s="51" t="s">
        <v>2295</v>
      </c>
      <c r="D357" s="51"/>
      <c r="E357" s="51"/>
      <c r="F357" s="51"/>
      <c r="G357" s="50" t="s">
        <v>2296</v>
      </c>
      <c r="H357" s="52">
        <v>44683.44047453704</v>
      </c>
      <c r="I357" s="50"/>
      <c r="J357" s="50"/>
      <c r="K357" s="50"/>
      <c r="L357" s="50"/>
      <c r="M357" s="50" t="s">
        <v>2297</v>
      </c>
      <c r="N357" s="50"/>
      <c r="O357" s="53" t="s">
        <v>92</v>
      </c>
      <c r="P357" s="55" t="s">
        <v>2298</v>
      </c>
      <c r="Q357" s="50">
        <v>846.0</v>
      </c>
      <c r="R357" s="50">
        <v>1511.0</v>
      </c>
      <c r="S357" s="50" t="s">
        <v>379</v>
      </c>
      <c r="T357" s="56" t="s">
        <v>2299</v>
      </c>
      <c r="U357" s="53" t="s">
        <v>2300</v>
      </c>
    </row>
    <row r="358">
      <c r="A358" s="54" t="s">
        <v>2301</v>
      </c>
      <c r="B358" s="50" t="s">
        <v>2302</v>
      </c>
      <c r="C358" s="51" t="s">
        <v>367</v>
      </c>
      <c r="D358" s="51"/>
      <c r="E358" s="51"/>
      <c r="F358" s="51"/>
      <c r="G358" s="50" t="s">
        <v>2303</v>
      </c>
      <c r="H358" s="52">
        <v>44683.44033564815</v>
      </c>
      <c r="I358" s="50"/>
      <c r="J358" s="50"/>
      <c r="K358" s="50"/>
      <c r="L358" s="50"/>
      <c r="M358" s="50" t="s">
        <v>2304</v>
      </c>
      <c r="N358" s="50"/>
      <c r="O358" s="53" t="s">
        <v>60</v>
      </c>
      <c r="P358" s="55" t="s">
        <v>2305</v>
      </c>
      <c r="Q358" s="50">
        <v>595.0</v>
      </c>
      <c r="R358" s="50">
        <v>1296.0</v>
      </c>
      <c r="S358" s="50" t="s">
        <v>2306</v>
      </c>
      <c r="T358" s="56" t="s">
        <v>2307</v>
      </c>
      <c r="U358" s="53" t="s">
        <v>370</v>
      </c>
    </row>
    <row r="359">
      <c r="A359" s="54" t="s">
        <v>2308</v>
      </c>
      <c r="B359" s="50" t="s">
        <v>2309</v>
      </c>
      <c r="C359" s="51" t="s">
        <v>367</v>
      </c>
      <c r="D359" s="51"/>
      <c r="E359" s="51"/>
      <c r="F359" s="51"/>
      <c r="G359" s="50" t="s">
        <v>2310</v>
      </c>
      <c r="H359" s="52">
        <v>44683.44019675926</v>
      </c>
      <c r="I359" s="50"/>
      <c r="J359" s="50"/>
      <c r="K359" s="50"/>
      <c r="L359" s="50"/>
      <c r="M359" s="50" t="s">
        <v>2311</v>
      </c>
      <c r="N359" s="50"/>
      <c r="O359" s="53" t="s">
        <v>217</v>
      </c>
      <c r="P359" s="55" t="s">
        <v>2312</v>
      </c>
      <c r="Q359" s="50">
        <v>74.0</v>
      </c>
      <c r="R359" s="50">
        <v>649.0</v>
      </c>
      <c r="S359" s="50" t="s">
        <v>129</v>
      </c>
      <c r="T359" s="56" t="s">
        <v>2313</v>
      </c>
      <c r="U359" s="53" t="s">
        <v>370</v>
      </c>
    </row>
    <row r="360">
      <c r="A360" s="54" t="s">
        <v>2314</v>
      </c>
      <c r="B360" s="50" t="s">
        <v>2315</v>
      </c>
      <c r="C360" s="51" t="s">
        <v>367</v>
      </c>
      <c r="D360" s="51"/>
      <c r="E360" s="51"/>
      <c r="F360" s="51"/>
      <c r="G360" s="50" t="s">
        <v>2316</v>
      </c>
      <c r="H360" s="52">
        <v>44683.43996527778</v>
      </c>
      <c r="I360" s="50"/>
      <c r="J360" s="50"/>
      <c r="K360" s="50"/>
      <c r="L360" s="50"/>
      <c r="M360" s="50" t="s">
        <v>2317</v>
      </c>
      <c r="N360" s="50"/>
      <c r="O360" s="53" t="s">
        <v>70</v>
      </c>
      <c r="P360" s="55" t="s">
        <v>2318</v>
      </c>
      <c r="Q360" s="50">
        <v>1244.0</v>
      </c>
      <c r="R360" s="50">
        <v>2784.0</v>
      </c>
      <c r="S360" s="50"/>
      <c r="T360" s="56" t="s">
        <v>2319</v>
      </c>
      <c r="U360" s="53" t="s">
        <v>370</v>
      </c>
    </row>
    <row r="361">
      <c r="A361" s="54" t="s">
        <v>2320</v>
      </c>
      <c r="B361" s="50" t="s">
        <v>2321</v>
      </c>
      <c r="C361" s="51" t="s">
        <v>2322</v>
      </c>
      <c r="D361" s="51"/>
      <c r="E361" s="51"/>
      <c r="F361" s="51"/>
      <c r="G361" s="50" t="s">
        <v>2323</v>
      </c>
      <c r="H361" s="52">
        <v>44683.439780092594</v>
      </c>
      <c r="I361" s="50"/>
      <c r="J361" s="50"/>
      <c r="K361" s="50" t="s">
        <v>2324</v>
      </c>
      <c r="L361" s="50" t="s">
        <v>2325</v>
      </c>
      <c r="M361" s="50" t="s">
        <v>2326</v>
      </c>
      <c r="N361" s="50" t="s">
        <v>2327</v>
      </c>
      <c r="O361" s="53" t="s">
        <v>60</v>
      </c>
      <c r="P361" s="55" t="s">
        <v>2328</v>
      </c>
      <c r="Q361" s="50">
        <v>4742.0</v>
      </c>
      <c r="R361" s="50">
        <v>4525.0</v>
      </c>
      <c r="S361" s="50" t="s">
        <v>658</v>
      </c>
      <c r="T361" s="56" t="s">
        <v>2329</v>
      </c>
      <c r="U361" s="53" t="s">
        <v>2330</v>
      </c>
    </row>
    <row r="362">
      <c r="A362" s="54" t="s">
        <v>2331</v>
      </c>
      <c r="B362" s="50" t="s">
        <v>2332</v>
      </c>
      <c r="C362" s="51" t="s">
        <v>367</v>
      </c>
      <c r="D362" s="51"/>
      <c r="E362" s="51"/>
      <c r="F362" s="51"/>
      <c r="G362" s="50" t="s">
        <v>2333</v>
      </c>
      <c r="H362" s="52">
        <v>44683.439733796295</v>
      </c>
      <c r="I362" s="50"/>
      <c r="J362" s="50"/>
      <c r="K362" s="50"/>
      <c r="L362" s="50"/>
      <c r="M362" s="50" t="s">
        <v>2334</v>
      </c>
      <c r="N362" s="50"/>
      <c r="O362" s="53" t="s">
        <v>70</v>
      </c>
      <c r="P362" s="55" t="s">
        <v>2335</v>
      </c>
      <c r="Q362" s="50">
        <v>16.0</v>
      </c>
      <c r="R362" s="50">
        <v>208.0</v>
      </c>
      <c r="S362" s="50" t="s">
        <v>2336</v>
      </c>
      <c r="T362" s="56" t="s">
        <v>2337</v>
      </c>
      <c r="U362" s="53" t="s">
        <v>370</v>
      </c>
    </row>
    <row r="363">
      <c r="A363" s="54" t="s">
        <v>2338</v>
      </c>
      <c r="B363" s="50" t="s">
        <v>2339</v>
      </c>
      <c r="C363" s="51" t="s">
        <v>329</v>
      </c>
      <c r="D363" s="51"/>
      <c r="E363" s="51"/>
      <c r="F363" s="51"/>
      <c r="G363" s="50" t="s">
        <v>2340</v>
      </c>
      <c r="H363" s="52">
        <v>44683.43962962963</v>
      </c>
      <c r="I363" s="50"/>
      <c r="J363" s="50"/>
      <c r="K363" s="50"/>
      <c r="L363" s="50"/>
      <c r="M363" s="50" t="s">
        <v>2341</v>
      </c>
      <c r="N363" s="50"/>
      <c r="O363" s="53" t="s">
        <v>92</v>
      </c>
      <c r="P363" s="55" t="s">
        <v>2342</v>
      </c>
      <c r="Q363" s="50">
        <v>3104.0</v>
      </c>
      <c r="R363" s="50">
        <v>2935.0</v>
      </c>
      <c r="S363" s="50" t="s">
        <v>2343</v>
      </c>
      <c r="T363" s="56" t="s">
        <v>2344</v>
      </c>
      <c r="U363" s="53" t="s">
        <v>332</v>
      </c>
    </row>
    <row r="364">
      <c r="A364" s="54" t="s">
        <v>2345</v>
      </c>
      <c r="B364" s="50" t="s">
        <v>2346</v>
      </c>
      <c r="C364" s="51" t="s">
        <v>2347</v>
      </c>
      <c r="D364" s="51"/>
      <c r="E364" s="51"/>
      <c r="F364" s="51"/>
      <c r="G364" s="50" t="s">
        <v>2348</v>
      </c>
      <c r="H364" s="52">
        <v>44683.439571759256</v>
      </c>
      <c r="I364" s="50"/>
      <c r="J364" s="50"/>
      <c r="K364" s="50" t="s">
        <v>2349</v>
      </c>
      <c r="L364" s="50" t="s">
        <v>2350</v>
      </c>
      <c r="M364" s="50" t="s">
        <v>2351</v>
      </c>
      <c r="N364" s="50" t="s">
        <v>2352</v>
      </c>
      <c r="O364" s="53" t="s">
        <v>60</v>
      </c>
      <c r="P364" s="55" t="s">
        <v>2353</v>
      </c>
      <c r="Q364" s="50">
        <v>677.0</v>
      </c>
      <c r="R364" s="50">
        <v>2424.0</v>
      </c>
      <c r="S364" s="50" t="s">
        <v>2354</v>
      </c>
      <c r="T364" s="56" t="s">
        <v>2355</v>
      </c>
      <c r="U364" s="53" t="s">
        <v>2356</v>
      </c>
    </row>
    <row r="365">
      <c r="A365" s="54" t="s">
        <v>2357</v>
      </c>
      <c r="B365" s="50" t="s">
        <v>2358</v>
      </c>
      <c r="C365" s="57" t="s">
        <v>2359</v>
      </c>
      <c r="D365" s="57"/>
      <c r="E365" s="57"/>
      <c r="F365" s="57"/>
      <c r="G365" s="50" t="s">
        <v>2360</v>
      </c>
      <c r="H365" s="52">
        <v>44683.43925925926</v>
      </c>
      <c r="I365" s="50"/>
      <c r="J365" s="50"/>
      <c r="K365" s="50"/>
      <c r="L365" s="50"/>
      <c r="M365" s="50" t="s">
        <v>2361</v>
      </c>
      <c r="N365" s="50"/>
      <c r="O365" s="53" t="s">
        <v>70</v>
      </c>
      <c r="P365" s="55" t="s">
        <v>2362</v>
      </c>
      <c r="Q365" s="50">
        <v>1987.0</v>
      </c>
      <c r="R365" s="50">
        <v>701.0</v>
      </c>
      <c r="S365" s="50" t="s">
        <v>2363</v>
      </c>
      <c r="T365" s="56" t="s">
        <v>2364</v>
      </c>
      <c r="U365" s="53" t="s">
        <v>2365</v>
      </c>
    </row>
    <row r="366">
      <c r="A366" s="54" t="s">
        <v>2366</v>
      </c>
      <c r="B366" s="50" t="s">
        <v>2367</v>
      </c>
      <c r="C366" s="51" t="s">
        <v>367</v>
      </c>
      <c r="D366" s="51"/>
      <c r="E366" s="51"/>
      <c r="F366" s="51"/>
      <c r="G366" s="50" t="s">
        <v>2368</v>
      </c>
      <c r="H366" s="52">
        <v>44683.43913194444</v>
      </c>
      <c r="I366" s="50"/>
      <c r="J366" s="50"/>
      <c r="K366" s="50"/>
      <c r="L366" s="50"/>
      <c r="M366" s="50" t="s">
        <v>2369</v>
      </c>
      <c r="N366" s="50"/>
      <c r="O366" s="53" t="s">
        <v>70</v>
      </c>
      <c r="P366" s="55" t="s">
        <v>2370</v>
      </c>
      <c r="Q366" s="50">
        <v>2137.0</v>
      </c>
      <c r="R366" s="50">
        <v>1992.0</v>
      </c>
      <c r="S366" s="50"/>
      <c r="T366" s="56" t="s">
        <v>2371</v>
      </c>
      <c r="U366" s="53" t="s">
        <v>370</v>
      </c>
    </row>
    <row r="367">
      <c r="A367" s="54" t="s">
        <v>2372</v>
      </c>
      <c r="B367" s="50" t="s">
        <v>2373</v>
      </c>
      <c r="C367" s="51" t="s">
        <v>687</v>
      </c>
      <c r="D367" s="51"/>
      <c r="E367" s="51"/>
      <c r="F367" s="51"/>
      <c r="G367" s="50" t="s">
        <v>2374</v>
      </c>
      <c r="H367" s="52">
        <v>44683.438993055555</v>
      </c>
      <c r="I367" s="50"/>
      <c r="J367" s="50"/>
      <c r="K367" s="50"/>
      <c r="L367" s="50"/>
      <c r="M367" s="50" t="s">
        <v>2375</v>
      </c>
      <c r="N367" s="50"/>
      <c r="O367" s="53" t="s">
        <v>60</v>
      </c>
      <c r="P367" s="55" t="s">
        <v>2376</v>
      </c>
      <c r="Q367" s="50">
        <v>3638.0</v>
      </c>
      <c r="R367" s="50">
        <v>3678.0</v>
      </c>
      <c r="S367" s="50"/>
      <c r="T367" s="56" t="s">
        <v>2377</v>
      </c>
      <c r="U367" s="53" t="s">
        <v>691</v>
      </c>
    </row>
    <row r="368">
      <c r="A368" s="54" t="s">
        <v>2378</v>
      </c>
      <c r="B368" s="50" t="s">
        <v>2379</v>
      </c>
      <c r="C368" s="51" t="s">
        <v>2380</v>
      </c>
      <c r="D368" s="51"/>
      <c r="E368" s="51"/>
      <c r="F368" s="51"/>
      <c r="G368" s="50" t="s">
        <v>2381</v>
      </c>
      <c r="H368" s="52">
        <v>44683.43895833333</v>
      </c>
      <c r="I368" s="50"/>
      <c r="J368" s="50"/>
      <c r="K368" s="50"/>
      <c r="L368" s="50"/>
      <c r="M368" s="50" t="s">
        <v>2382</v>
      </c>
      <c r="N368" s="50"/>
      <c r="O368" s="53" t="s">
        <v>92</v>
      </c>
      <c r="P368" s="55" t="s">
        <v>2383</v>
      </c>
      <c r="Q368" s="50">
        <v>163.0</v>
      </c>
      <c r="R368" s="50">
        <v>801.0</v>
      </c>
      <c r="S368" s="50"/>
      <c r="T368" s="56" t="s">
        <v>2384</v>
      </c>
      <c r="U368" s="53" t="s">
        <v>2385</v>
      </c>
    </row>
    <row r="369">
      <c r="A369" s="54" t="s">
        <v>2386</v>
      </c>
      <c r="B369" s="50" t="s">
        <v>2387</v>
      </c>
      <c r="C369" s="51" t="s">
        <v>363</v>
      </c>
      <c r="D369" s="51"/>
      <c r="E369" s="51"/>
      <c r="F369" s="51"/>
      <c r="G369" s="50" t="s">
        <v>2388</v>
      </c>
      <c r="H369" s="52">
        <v>44683.438796296294</v>
      </c>
      <c r="I369" s="50"/>
      <c r="J369" s="50"/>
      <c r="K369" s="50"/>
      <c r="L369" s="50"/>
      <c r="M369" s="50" t="s">
        <v>2389</v>
      </c>
      <c r="N369" s="50"/>
      <c r="O369" s="53" t="s">
        <v>70</v>
      </c>
      <c r="P369" s="55" t="s">
        <v>2390</v>
      </c>
      <c r="Q369" s="50">
        <v>152.0</v>
      </c>
      <c r="R369" s="50">
        <v>135.0</v>
      </c>
      <c r="S369" s="50" t="s">
        <v>1285</v>
      </c>
      <c r="T369" s="56" t="s">
        <v>2391</v>
      </c>
      <c r="U369" s="53" t="s">
        <v>332</v>
      </c>
    </row>
    <row r="370">
      <c r="A370" s="54" t="s">
        <v>2392</v>
      </c>
      <c r="B370" s="50" t="s">
        <v>2393</v>
      </c>
      <c r="C370" s="51" t="s">
        <v>363</v>
      </c>
      <c r="D370" s="51"/>
      <c r="E370" s="51"/>
      <c r="F370" s="51"/>
      <c r="G370" s="50" t="s">
        <v>2394</v>
      </c>
      <c r="H370" s="52">
        <v>44683.43872685185</v>
      </c>
      <c r="I370" s="50"/>
      <c r="J370" s="50"/>
      <c r="K370" s="50"/>
      <c r="L370" s="50"/>
      <c r="M370" s="50" t="s">
        <v>2395</v>
      </c>
      <c r="N370" s="50"/>
      <c r="O370" s="53" t="s">
        <v>60</v>
      </c>
      <c r="P370" s="55" t="s">
        <v>2396</v>
      </c>
      <c r="Q370" s="50">
        <v>3317.0</v>
      </c>
      <c r="R370" s="50">
        <v>3555.0</v>
      </c>
      <c r="S370" s="50" t="s">
        <v>2397</v>
      </c>
      <c r="T370" s="56" t="s">
        <v>2398</v>
      </c>
      <c r="U370" s="53" t="s">
        <v>332</v>
      </c>
    </row>
    <row r="371">
      <c r="A371" s="54" t="s">
        <v>2399</v>
      </c>
      <c r="B371" s="50" t="s">
        <v>2387</v>
      </c>
      <c r="C371" s="51" t="s">
        <v>316</v>
      </c>
      <c r="D371" s="51"/>
      <c r="E371" s="51"/>
      <c r="F371" s="51"/>
      <c r="G371" s="50" t="s">
        <v>2400</v>
      </c>
      <c r="H371" s="52">
        <v>44683.43870370371</v>
      </c>
      <c r="I371" s="50"/>
      <c r="J371" s="50"/>
      <c r="K371" s="50"/>
      <c r="L371" s="50"/>
      <c r="M371" s="50" t="s">
        <v>2389</v>
      </c>
      <c r="N371" s="50"/>
      <c r="O371" s="53" t="s">
        <v>70</v>
      </c>
      <c r="P371" s="55" t="s">
        <v>2390</v>
      </c>
      <c r="Q371" s="50">
        <v>152.0</v>
      </c>
      <c r="R371" s="50">
        <v>135.0</v>
      </c>
      <c r="S371" s="50" t="s">
        <v>1285</v>
      </c>
      <c r="T371" s="56" t="s">
        <v>2401</v>
      </c>
      <c r="U371" s="53" t="s">
        <v>322</v>
      </c>
    </row>
    <row r="372">
      <c r="A372" s="54" t="s">
        <v>2402</v>
      </c>
      <c r="B372" s="50" t="s">
        <v>2403</v>
      </c>
      <c r="C372" s="51" t="s">
        <v>2404</v>
      </c>
      <c r="D372" s="51"/>
      <c r="E372" s="51"/>
      <c r="F372" s="51"/>
      <c r="G372" s="50" t="s">
        <v>2405</v>
      </c>
      <c r="H372" s="52">
        <v>44683.438668981486</v>
      </c>
      <c r="I372" s="50"/>
      <c r="J372" s="50"/>
      <c r="K372" s="50"/>
      <c r="L372" s="50"/>
      <c r="M372" s="50" t="s">
        <v>2406</v>
      </c>
      <c r="N372" s="50"/>
      <c r="O372" s="53" t="s">
        <v>217</v>
      </c>
      <c r="P372" s="55" t="s">
        <v>2407</v>
      </c>
      <c r="Q372" s="50">
        <v>642.0</v>
      </c>
      <c r="R372" s="50">
        <v>4569.0</v>
      </c>
      <c r="S372" s="50" t="s">
        <v>2408</v>
      </c>
      <c r="T372" s="56" t="s">
        <v>2409</v>
      </c>
      <c r="U372" s="53" t="s">
        <v>2410</v>
      </c>
    </row>
    <row r="373">
      <c r="A373" s="54" t="s">
        <v>2411</v>
      </c>
      <c r="B373" s="50" t="s">
        <v>2332</v>
      </c>
      <c r="C373" s="51" t="s">
        <v>363</v>
      </c>
      <c r="D373" s="51"/>
      <c r="E373" s="51"/>
      <c r="F373" s="51"/>
      <c r="G373" s="50" t="s">
        <v>2412</v>
      </c>
      <c r="H373" s="52">
        <v>44683.43846064815</v>
      </c>
      <c r="I373" s="50"/>
      <c r="J373" s="50"/>
      <c r="K373" s="50"/>
      <c r="L373" s="50"/>
      <c r="M373" s="50" t="s">
        <v>2334</v>
      </c>
      <c r="N373" s="50"/>
      <c r="O373" s="53" t="s">
        <v>70</v>
      </c>
      <c r="P373" s="55" t="s">
        <v>2335</v>
      </c>
      <c r="Q373" s="50">
        <v>16.0</v>
      </c>
      <c r="R373" s="50">
        <v>208.0</v>
      </c>
      <c r="S373" s="50" t="s">
        <v>2336</v>
      </c>
      <c r="T373" s="56" t="s">
        <v>2413</v>
      </c>
      <c r="U373" s="53" t="s">
        <v>332</v>
      </c>
    </row>
    <row r="374">
      <c r="A374" s="54" t="s">
        <v>2414</v>
      </c>
      <c r="B374" s="50" t="s">
        <v>2415</v>
      </c>
      <c r="C374" s="51" t="s">
        <v>2416</v>
      </c>
      <c r="D374" s="51"/>
      <c r="E374" s="51"/>
      <c r="F374" s="51"/>
      <c r="G374" s="50" t="s">
        <v>2417</v>
      </c>
      <c r="H374" s="52">
        <v>44683.43826388889</v>
      </c>
      <c r="I374" s="50"/>
      <c r="J374" s="50"/>
      <c r="K374" s="50"/>
      <c r="L374" s="50"/>
      <c r="M374" s="50" t="s">
        <v>2418</v>
      </c>
      <c r="N374" s="50"/>
      <c r="O374" s="53" t="s">
        <v>92</v>
      </c>
      <c r="P374" s="55" t="s">
        <v>2419</v>
      </c>
      <c r="Q374" s="50">
        <v>547.0</v>
      </c>
      <c r="R374" s="50">
        <v>667.0</v>
      </c>
      <c r="S374" s="50"/>
      <c r="T374" s="56" t="s">
        <v>2420</v>
      </c>
      <c r="U374" s="53" t="s">
        <v>2421</v>
      </c>
    </row>
    <row r="375">
      <c r="A375" s="54" t="s">
        <v>2422</v>
      </c>
      <c r="B375" s="50" t="s">
        <v>2423</v>
      </c>
      <c r="C375" s="51" t="s">
        <v>2424</v>
      </c>
      <c r="D375" s="51"/>
      <c r="E375" s="51"/>
      <c r="F375" s="51"/>
      <c r="G375" s="50" t="s">
        <v>2425</v>
      </c>
      <c r="H375" s="52">
        <v>44683.4378587963</v>
      </c>
      <c r="I375" s="50"/>
      <c r="J375" s="50"/>
      <c r="K375" s="50"/>
      <c r="L375" s="50"/>
      <c r="M375" s="50" t="s">
        <v>2426</v>
      </c>
      <c r="N375" s="50"/>
      <c r="O375" s="53" t="s">
        <v>92</v>
      </c>
      <c r="P375" s="55" t="s">
        <v>2427</v>
      </c>
      <c r="Q375" s="50">
        <v>1366.0</v>
      </c>
      <c r="R375" s="50">
        <v>1484.0</v>
      </c>
      <c r="S375" s="50"/>
      <c r="T375" s="56" t="s">
        <v>2428</v>
      </c>
      <c r="U375" s="53" t="s">
        <v>2429</v>
      </c>
    </row>
    <row r="376">
      <c r="A376" s="54" t="s">
        <v>2430</v>
      </c>
      <c r="B376" s="50" t="s">
        <v>2431</v>
      </c>
      <c r="C376" s="51" t="s">
        <v>367</v>
      </c>
      <c r="D376" s="51"/>
      <c r="E376" s="51"/>
      <c r="F376" s="51"/>
      <c r="G376" s="50" t="s">
        <v>2432</v>
      </c>
      <c r="H376" s="52">
        <v>44683.437673611115</v>
      </c>
      <c r="I376" s="50"/>
      <c r="J376" s="50"/>
      <c r="K376" s="50"/>
      <c r="L376" s="50"/>
      <c r="M376" s="50" t="s">
        <v>2433</v>
      </c>
      <c r="N376" s="50"/>
      <c r="O376" s="53" t="s">
        <v>70</v>
      </c>
      <c r="P376" s="55" t="s">
        <v>2434</v>
      </c>
      <c r="Q376" s="50">
        <v>4.0</v>
      </c>
      <c r="R376" s="50">
        <v>25.0</v>
      </c>
      <c r="S376" s="50"/>
      <c r="T376" s="56" t="s">
        <v>2435</v>
      </c>
      <c r="U376" s="53" t="s">
        <v>370</v>
      </c>
    </row>
    <row r="377">
      <c r="A377" s="54" t="s">
        <v>2436</v>
      </c>
      <c r="B377" s="50" t="s">
        <v>2437</v>
      </c>
      <c r="C377" s="51" t="s">
        <v>367</v>
      </c>
      <c r="D377" s="51"/>
      <c r="E377" s="51"/>
      <c r="F377" s="51"/>
      <c r="G377" s="50" t="s">
        <v>2432</v>
      </c>
      <c r="H377" s="52">
        <v>44683.437673611115</v>
      </c>
      <c r="I377" s="50"/>
      <c r="J377" s="50"/>
      <c r="K377" s="50"/>
      <c r="L377" s="50"/>
      <c r="M377" s="50" t="s">
        <v>2438</v>
      </c>
      <c r="N377" s="50"/>
      <c r="O377" s="53" t="s">
        <v>70</v>
      </c>
      <c r="P377" s="55" t="s">
        <v>2439</v>
      </c>
      <c r="Q377" s="50">
        <v>1382.0</v>
      </c>
      <c r="R377" s="50">
        <v>1759.0</v>
      </c>
      <c r="S377" s="50" t="s">
        <v>1311</v>
      </c>
      <c r="T377" s="56" t="s">
        <v>2440</v>
      </c>
      <c r="U377" s="53" t="s">
        <v>370</v>
      </c>
    </row>
    <row r="378">
      <c r="A378" s="54" t="s">
        <v>2441</v>
      </c>
      <c r="B378" s="50" t="s">
        <v>2442</v>
      </c>
      <c r="C378" s="51" t="s">
        <v>367</v>
      </c>
      <c r="D378" s="51"/>
      <c r="E378" s="51"/>
      <c r="F378" s="51"/>
      <c r="G378" s="50" t="s">
        <v>2443</v>
      </c>
      <c r="H378" s="52">
        <v>44683.43752314815</v>
      </c>
      <c r="I378" s="50"/>
      <c r="J378" s="50"/>
      <c r="K378" s="50"/>
      <c r="L378" s="50"/>
      <c r="M378" s="50" t="s">
        <v>2444</v>
      </c>
      <c r="N378" s="50"/>
      <c r="O378" s="53" t="s">
        <v>70</v>
      </c>
      <c r="P378" s="55" t="s">
        <v>2445</v>
      </c>
      <c r="Q378" s="50">
        <v>121.0</v>
      </c>
      <c r="R378" s="50">
        <v>40.0</v>
      </c>
      <c r="S378" s="50" t="s">
        <v>2446</v>
      </c>
      <c r="T378" s="56" t="s">
        <v>2447</v>
      </c>
      <c r="U378" s="53" t="s">
        <v>370</v>
      </c>
    </row>
    <row r="379">
      <c r="A379" s="54" t="s">
        <v>2448</v>
      </c>
      <c r="B379" s="50" t="s">
        <v>2449</v>
      </c>
      <c r="C379" s="51" t="s">
        <v>367</v>
      </c>
      <c r="D379" s="51"/>
      <c r="E379" s="51"/>
      <c r="F379" s="51"/>
      <c r="G379" s="50" t="s">
        <v>2450</v>
      </c>
      <c r="H379" s="52">
        <v>44683.43740740741</v>
      </c>
      <c r="I379" s="50"/>
      <c r="J379" s="50"/>
      <c r="K379" s="50"/>
      <c r="L379" s="50"/>
      <c r="M379" s="50" t="s">
        <v>2451</v>
      </c>
      <c r="N379" s="50"/>
      <c r="O379" s="53" t="s">
        <v>92</v>
      </c>
      <c r="P379" s="55" t="s">
        <v>2452</v>
      </c>
      <c r="Q379" s="50">
        <v>600.0</v>
      </c>
      <c r="R379" s="50">
        <v>784.0</v>
      </c>
      <c r="S379" s="50"/>
      <c r="T379" s="56" t="s">
        <v>2453</v>
      </c>
      <c r="U379" s="53" t="s">
        <v>370</v>
      </c>
    </row>
    <row r="380">
      <c r="A380" s="54" t="s">
        <v>2454</v>
      </c>
      <c r="B380" s="50" t="s">
        <v>2455</v>
      </c>
      <c r="C380" s="51" t="s">
        <v>2456</v>
      </c>
      <c r="D380" s="51"/>
      <c r="E380" s="51"/>
      <c r="F380" s="51"/>
      <c r="G380" s="50" t="s">
        <v>2450</v>
      </c>
      <c r="H380" s="52">
        <v>44683.43740740741</v>
      </c>
      <c r="I380" s="50"/>
      <c r="J380" s="50"/>
      <c r="K380" s="50"/>
      <c r="L380" s="50"/>
      <c r="M380" s="50" t="s">
        <v>2457</v>
      </c>
      <c r="N380" s="50"/>
      <c r="O380" s="53" t="s">
        <v>92</v>
      </c>
      <c r="P380" s="55" t="s">
        <v>2458</v>
      </c>
      <c r="Q380" s="50">
        <v>55.0</v>
      </c>
      <c r="R380" s="50">
        <v>456.0</v>
      </c>
      <c r="S380" s="50" t="s">
        <v>2459</v>
      </c>
      <c r="T380" s="56" t="s">
        <v>2460</v>
      </c>
      <c r="U380" s="53" t="s">
        <v>2461</v>
      </c>
    </row>
    <row r="381">
      <c r="A381" s="54" t="s">
        <v>2462</v>
      </c>
      <c r="B381" s="50" t="s">
        <v>2463</v>
      </c>
      <c r="C381" s="51" t="s">
        <v>367</v>
      </c>
      <c r="D381" s="51"/>
      <c r="E381" s="51"/>
      <c r="F381" s="51"/>
      <c r="G381" s="50" t="s">
        <v>2464</v>
      </c>
      <c r="H381" s="52">
        <v>44683.437314814815</v>
      </c>
      <c r="I381" s="50"/>
      <c r="J381" s="50"/>
      <c r="K381" s="50"/>
      <c r="L381" s="50"/>
      <c r="M381" s="50" t="s">
        <v>2465</v>
      </c>
      <c r="N381" s="50"/>
      <c r="O381" s="53" t="s">
        <v>70</v>
      </c>
      <c r="P381" s="55" t="s">
        <v>2466</v>
      </c>
      <c r="Q381" s="50">
        <v>297.0</v>
      </c>
      <c r="R381" s="50">
        <v>281.0</v>
      </c>
      <c r="S381" s="50"/>
      <c r="T381" s="56" t="s">
        <v>2467</v>
      </c>
      <c r="U381" s="53" t="s">
        <v>370</v>
      </c>
    </row>
    <row r="382">
      <c r="A382" s="54" t="s">
        <v>2468</v>
      </c>
      <c r="B382" s="50" t="s">
        <v>2469</v>
      </c>
      <c r="C382" s="51" t="s">
        <v>2404</v>
      </c>
      <c r="D382" s="51"/>
      <c r="E382" s="51"/>
      <c r="F382" s="51"/>
      <c r="G382" s="50" t="s">
        <v>2470</v>
      </c>
      <c r="H382" s="52">
        <v>44683.43722222222</v>
      </c>
      <c r="I382" s="50"/>
      <c r="J382" s="50"/>
      <c r="K382" s="50"/>
      <c r="L382" s="50"/>
      <c r="M382" s="50" t="s">
        <v>2471</v>
      </c>
      <c r="N382" s="50"/>
      <c r="O382" s="53" t="s">
        <v>60</v>
      </c>
      <c r="P382" s="55" t="s">
        <v>2472</v>
      </c>
      <c r="Q382" s="50">
        <v>5953.0</v>
      </c>
      <c r="R382" s="50">
        <v>385.0</v>
      </c>
      <c r="S382" s="50" t="s">
        <v>2473</v>
      </c>
      <c r="T382" s="56" t="s">
        <v>2474</v>
      </c>
      <c r="U382" s="53" t="s">
        <v>2410</v>
      </c>
    </row>
    <row r="383">
      <c r="A383" s="54" t="s">
        <v>2475</v>
      </c>
      <c r="B383" s="50" t="s">
        <v>2476</v>
      </c>
      <c r="C383" s="51" t="s">
        <v>367</v>
      </c>
      <c r="D383" s="51"/>
      <c r="E383" s="51"/>
      <c r="F383" s="51"/>
      <c r="G383" s="50" t="s">
        <v>2477</v>
      </c>
      <c r="H383" s="52">
        <v>44683.43715277778</v>
      </c>
      <c r="I383" s="50"/>
      <c r="J383" s="50"/>
      <c r="K383" s="50"/>
      <c r="L383" s="50"/>
      <c r="M383" s="50" t="s">
        <v>2478</v>
      </c>
      <c r="N383" s="50"/>
      <c r="O383" s="53" t="s">
        <v>70</v>
      </c>
      <c r="P383" s="55" t="s">
        <v>2479</v>
      </c>
      <c r="Q383" s="50">
        <v>20.0</v>
      </c>
      <c r="R383" s="50">
        <v>337.0</v>
      </c>
      <c r="S383" s="50"/>
      <c r="T383" s="56" t="s">
        <v>2480</v>
      </c>
      <c r="U383" s="53" t="s">
        <v>370</v>
      </c>
    </row>
    <row r="384">
      <c r="A384" s="54" t="s">
        <v>2481</v>
      </c>
      <c r="B384" s="50" t="s">
        <v>2482</v>
      </c>
      <c r="C384" s="51" t="s">
        <v>2483</v>
      </c>
      <c r="D384" s="51"/>
      <c r="E384" s="51"/>
      <c r="F384" s="51"/>
      <c r="G384" s="50" t="s">
        <v>2484</v>
      </c>
      <c r="H384" s="52">
        <v>44683.43666666667</v>
      </c>
      <c r="I384" s="50"/>
      <c r="J384" s="50"/>
      <c r="K384" s="50"/>
      <c r="L384" s="50"/>
      <c r="M384" s="50" t="s">
        <v>2485</v>
      </c>
      <c r="N384" s="50"/>
      <c r="O384" s="53" t="s">
        <v>92</v>
      </c>
      <c r="P384" s="55" t="s">
        <v>2486</v>
      </c>
      <c r="Q384" s="50">
        <v>44.0</v>
      </c>
      <c r="R384" s="50">
        <v>95.0</v>
      </c>
      <c r="S384" s="50" t="s">
        <v>2487</v>
      </c>
      <c r="T384" s="56" t="s">
        <v>2488</v>
      </c>
      <c r="U384" s="53" t="s">
        <v>2489</v>
      </c>
    </row>
    <row r="385">
      <c r="A385" s="54" t="s">
        <v>2490</v>
      </c>
      <c r="B385" s="50" t="s">
        <v>2491</v>
      </c>
      <c r="C385" s="51" t="s">
        <v>855</v>
      </c>
      <c r="D385" s="51"/>
      <c r="E385" s="51"/>
      <c r="F385" s="51"/>
      <c r="G385" s="50" t="s">
        <v>2492</v>
      </c>
      <c r="H385" s="52">
        <v>44683.436053240745</v>
      </c>
      <c r="I385" s="50"/>
      <c r="J385" s="50"/>
      <c r="K385" s="50"/>
      <c r="L385" s="50"/>
      <c r="M385" s="50" t="s">
        <v>2493</v>
      </c>
      <c r="N385" s="50"/>
      <c r="O385" s="53" t="s">
        <v>92</v>
      </c>
      <c r="P385" s="55" t="s">
        <v>2494</v>
      </c>
      <c r="Q385" s="50">
        <v>40779.0</v>
      </c>
      <c r="R385" s="50">
        <v>4207.0</v>
      </c>
      <c r="S385" s="50" t="s">
        <v>2495</v>
      </c>
      <c r="T385" s="56" t="s">
        <v>2496</v>
      </c>
      <c r="U385" s="53" t="s">
        <v>861</v>
      </c>
    </row>
    <row r="386">
      <c r="A386" s="54" t="s">
        <v>2497</v>
      </c>
      <c r="B386" s="50" t="s">
        <v>2498</v>
      </c>
      <c r="C386" s="51" t="s">
        <v>2499</v>
      </c>
      <c r="D386" s="51"/>
      <c r="E386" s="51"/>
      <c r="F386" s="51"/>
      <c r="G386" s="50" t="s">
        <v>2500</v>
      </c>
      <c r="H386" s="52">
        <v>44683.43597222222</v>
      </c>
      <c r="I386" s="50"/>
      <c r="J386" s="50"/>
      <c r="K386" s="50"/>
      <c r="L386" s="50"/>
      <c r="M386" s="50" t="s">
        <v>2501</v>
      </c>
      <c r="N386" s="50"/>
      <c r="O386" s="53" t="s">
        <v>92</v>
      </c>
      <c r="P386" s="55" t="s">
        <v>2502</v>
      </c>
      <c r="Q386" s="50">
        <v>2414.0</v>
      </c>
      <c r="R386" s="50">
        <v>3932.0</v>
      </c>
      <c r="S386" s="50" t="s">
        <v>2503</v>
      </c>
      <c r="T386" s="56" t="s">
        <v>2504</v>
      </c>
      <c r="U386" s="53" t="s">
        <v>2505</v>
      </c>
    </row>
    <row r="387">
      <c r="A387" s="54" t="s">
        <v>2506</v>
      </c>
      <c r="B387" s="50" t="s">
        <v>2507</v>
      </c>
      <c r="C387" s="51" t="s">
        <v>363</v>
      </c>
      <c r="D387" s="51"/>
      <c r="E387" s="51"/>
      <c r="F387" s="51"/>
      <c r="G387" s="50" t="s">
        <v>2508</v>
      </c>
      <c r="H387" s="52">
        <v>44683.4359375</v>
      </c>
      <c r="I387" s="50"/>
      <c r="J387" s="50"/>
      <c r="K387" s="50"/>
      <c r="L387" s="50"/>
      <c r="M387" s="50" t="s">
        <v>2509</v>
      </c>
      <c r="N387" s="50"/>
      <c r="O387" s="53" t="s">
        <v>92</v>
      </c>
      <c r="P387" s="55" t="s">
        <v>2510</v>
      </c>
      <c r="Q387" s="50">
        <v>1068.0</v>
      </c>
      <c r="R387" s="50">
        <v>1196.0</v>
      </c>
      <c r="S387" s="50"/>
      <c r="T387" s="56" t="s">
        <v>2511</v>
      </c>
      <c r="U387" s="53" t="s">
        <v>332</v>
      </c>
    </row>
    <row r="388">
      <c r="A388" s="54" t="s">
        <v>2512</v>
      </c>
      <c r="B388" s="50" t="s">
        <v>2507</v>
      </c>
      <c r="C388" s="51" t="s">
        <v>367</v>
      </c>
      <c r="D388" s="51"/>
      <c r="E388" s="51"/>
      <c r="F388" s="51"/>
      <c r="G388" s="50" t="s">
        <v>2513</v>
      </c>
      <c r="H388" s="52">
        <v>44683.43590277778</v>
      </c>
      <c r="I388" s="50"/>
      <c r="J388" s="50"/>
      <c r="K388" s="50"/>
      <c r="L388" s="50"/>
      <c r="M388" s="50" t="s">
        <v>2509</v>
      </c>
      <c r="N388" s="50"/>
      <c r="O388" s="53" t="s">
        <v>92</v>
      </c>
      <c r="P388" s="55" t="s">
        <v>2510</v>
      </c>
      <c r="Q388" s="50">
        <v>1068.0</v>
      </c>
      <c r="R388" s="50">
        <v>1196.0</v>
      </c>
      <c r="S388" s="50"/>
      <c r="T388" s="56" t="s">
        <v>2514</v>
      </c>
      <c r="U388" s="53" t="s">
        <v>370</v>
      </c>
    </row>
    <row r="389">
      <c r="A389" s="54" t="s">
        <v>2515</v>
      </c>
      <c r="B389" s="50" t="s">
        <v>2516</v>
      </c>
      <c r="C389" s="51" t="s">
        <v>367</v>
      </c>
      <c r="D389" s="51"/>
      <c r="E389" s="51"/>
      <c r="F389" s="51"/>
      <c r="G389" s="50" t="s">
        <v>2517</v>
      </c>
      <c r="H389" s="52">
        <v>44683.43574074074</v>
      </c>
      <c r="I389" s="50"/>
      <c r="J389" s="50"/>
      <c r="K389" s="50"/>
      <c r="L389" s="50"/>
      <c r="M389" s="50" t="s">
        <v>2518</v>
      </c>
      <c r="N389" s="50"/>
      <c r="O389" s="53" t="s">
        <v>92</v>
      </c>
      <c r="P389" s="55" t="s">
        <v>2519</v>
      </c>
      <c r="Q389" s="50">
        <v>569.0</v>
      </c>
      <c r="R389" s="50">
        <v>876.0</v>
      </c>
      <c r="S389" s="50" t="s">
        <v>2520</v>
      </c>
      <c r="T389" s="56" t="s">
        <v>2521</v>
      </c>
      <c r="U389" s="53" t="s">
        <v>370</v>
      </c>
    </row>
    <row r="390">
      <c r="A390" s="54" t="s">
        <v>2522</v>
      </c>
      <c r="B390" s="50" t="s">
        <v>2523</v>
      </c>
      <c r="C390" s="51" t="s">
        <v>367</v>
      </c>
      <c r="D390" s="51"/>
      <c r="E390" s="51"/>
      <c r="F390" s="51"/>
      <c r="G390" s="50" t="s">
        <v>2524</v>
      </c>
      <c r="H390" s="52">
        <v>44683.4356712963</v>
      </c>
      <c r="I390" s="50"/>
      <c r="J390" s="50"/>
      <c r="K390" s="50"/>
      <c r="L390" s="50"/>
      <c r="M390" s="50" t="s">
        <v>2525</v>
      </c>
      <c r="N390" s="50"/>
      <c r="O390" s="53" t="s">
        <v>70</v>
      </c>
      <c r="P390" s="55" t="s">
        <v>354</v>
      </c>
      <c r="Q390" s="50">
        <v>288.0</v>
      </c>
      <c r="R390" s="50">
        <v>536.0</v>
      </c>
      <c r="S390" s="50"/>
      <c r="T390" s="56" t="s">
        <v>2526</v>
      </c>
      <c r="U390" s="53" t="s">
        <v>370</v>
      </c>
    </row>
    <row r="391">
      <c r="A391" s="54" t="s">
        <v>2527</v>
      </c>
      <c r="B391" s="50" t="s">
        <v>2528</v>
      </c>
      <c r="C391" s="51" t="s">
        <v>363</v>
      </c>
      <c r="D391" s="51"/>
      <c r="E391" s="51"/>
      <c r="F391" s="51"/>
      <c r="G391" s="50" t="s">
        <v>2529</v>
      </c>
      <c r="H391" s="52">
        <v>44683.435428240744</v>
      </c>
      <c r="I391" s="50"/>
      <c r="J391" s="50"/>
      <c r="K391" s="50"/>
      <c r="L391" s="50"/>
      <c r="M391" s="50" t="s">
        <v>2530</v>
      </c>
      <c r="N391" s="50"/>
      <c r="O391" s="53" t="s">
        <v>60</v>
      </c>
      <c r="P391" s="55" t="s">
        <v>354</v>
      </c>
      <c r="Q391" s="50">
        <v>115.0</v>
      </c>
      <c r="R391" s="50">
        <v>291.0</v>
      </c>
      <c r="S391" s="50"/>
      <c r="T391" s="56" t="s">
        <v>2531</v>
      </c>
      <c r="U391" s="53" t="s">
        <v>332</v>
      </c>
    </row>
    <row r="392">
      <c r="A392" s="54" t="s">
        <v>2532</v>
      </c>
      <c r="B392" s="50" t="s">
        <v>2533</v>
      </c>
      <c r="C392" s="51" t="s">
        <v>316</v>
      </c>
      <c r="D392" s="51"/>
      <c r="E392" s="51"/>
      <c r="F392" s="51"/>
      <c r="G392" s="50" t="s">
        <v>2534</v>
      </c>
      <c r="H392" s="52">
        <v>44683.435324074075</v>
      </c>
      <c r="I392" s="50"/>
      <c r="J392" s="50"/>
      <c r="K392" s="50"/>
      <c r="L392" s="50"/>
      <c r="M392" s="50" t="s">
        <v>2535</v>
      </c>
      <c r="N392" s="50"/>
      <c r="O392" s="53" t="s">
        <v>60</v>
      </c>
      <c r="P392" s="55" t="s">
        <v>2536</v>
      </c>
      <c r="Q392" s="50">
        <v>2726.0</v>
      </c>
      <c r="R392" s="50">
        <v>4996.0</v>
      </c>
      <c r="S392" s="50"/>
      <c r="T392" s="56" t="s">
        <v>2537</v>
      </c>
      <c r="U392" s="53" t="s">
        <v>322</v>
      </c>
    </row>
    <row r="393">
      <c r="A393" s="54" t="s">
        <v>2538</v>
      </c>
      <c r="B393" s="50" t="s">
        <v>2533</v>
      </c>
      <c r="C393" s="51" t="s">
        <v>329</v>
      </c>
      <c r="D393" s="51"/>
      <c r="E393" s="51"/>
      <c r="F393" s="51"/>
      <c r="G393" s="50" t="s">
        <v>2539</v>
      </c>
      <c r="H393" s="52">
        <v>44683.43525462963</v>
      </c>
      <c r="I393" s="50"/>
      <c r="J393" s="50"/>
      <c r="K393" s="50"/>
      <c r="L393" s="50"/>
      <c r="M393" s="50" t="s">
        <v>2535</v>
      </c>
      <c r="N393" s="50"/>
      <c r="O393" s="53" t="s">
        <v>60</v>
      </c>
      <c r="P393" s="55" t="s">
        <v>2536</v>
      </c>
      <c r="Q393" s="50">
        <v>2726.0</v>
      </c>
      <c r="R393" s="50">
        <v>4996.0</v>
      </c>
      <c r="S393" s="50"/>
      <c r="T393" s="56" t="s">
        <v>2540</v>
      </c>
      <c r="U393" s="53" t="s">
        <v>332</v>
      </c>
    </row>
    <row r="394">
      <c r="A394" s="54" t="s">
        <v>2541</v>
      </c>
      <c r="B394" s="50" t="s">
        <v>2542</v>
      </c>
      <c r="C394" s="51" t="s">
        <v>316</v>
      </c>
      <c r="D394" s="51"/>
      <c r="E394" s="51"/>
      <c r="F394" s="51"/>
      <c r="G394" s="50" t="s">
        <v>2543</v>
      </c>
      <c r="H394" s="52">
        <v>44683.43513888889</v>
      </c>
      <c r="I394" s="50"/>
      <c r="J394" s="50"/>
      <c r="K394" s="50"/>
      <c r="L394" s="50"/>
      <c r="M394" s="50" t="s">
        <v>2544</v>
      </c>
      <c r="N394" s="50"/>
      <c r="O394" s="53" t="s">
        <v>60</v>
      </c>
      <c r="P394" s="55" t="s">
        <v>354</v>
      </c>
      <c r="Q394" s="50">
        <v>33.0</v>
      </c>
      <c r="R394" s="50">
        <v>142.0</v>
      </c>
      <c r="S394" s="50"/>
      <c r="T394" s="56" t="s">
        <v>2545</v>
      </c>
      <c r="U394" s="53" t="s">
        <v>322</v>
      </c>
    </row>
    <row r="395">
      <c r="A395" s="54" t="s">
        <v>2546</v>
      </c>
      <c r="B395" s="50" t="s">
        <v>2533</v>
      </c>
      <c r="C395" s="51" t="s">
        <v>335</v>
      </c>
      <c r="D395" s="51"/>
      <c r="E395" s="51"/>
      <c r="F395" s="51"/>
      <c r="G395" s="50" t="s">
        <v>2547</v>
      </c>
      <c r="H395" s="52">
        <v>44683.43510416667</v>
      </c>
      <c r="I395" s="50"/>
      <c r="J395" s="50"/>
      <c r="K395" s="50"/>
      <c r="L395" s="50"/>
      <c r="M395" s="50" t="s">
        <v>2535</v>
      </c>
      <c r="N395" s="50"/>
      <c r="O395" s="53" t="s">
        <v>60</v>
      </c>
      <c r="P395" s="55" t="s">
        <v>2536</v>
      </c>
      <c r="Q395" s="50">
        <v>2726.0</v>
      </c>
      <c r="R395" s="50">
        <v>4996.0</v>
      </c>
      <c r="S395" s="50"/>
      <c r="T395" s="56" t="s">
        <v>2548</v>
      </c>
      <c r="U395" s="53" t="s">
        <v>339</v>
      </c>
    </row>
    <row r="396">
      <c r="A396" s="54" t="s">
        <v>2549</v>
      </c>
      <c r="B396" s="50" t="s">
        <v>2550</v>
      </c>
      <c r="C396" s="51" t="s">
        <v>687</v>
      </c>
      <c r="D396" s="51"/>
      <c r="E396" s="51"/>
      <c r="F396" s="51"/>
      <c r="G396" s="50" t="s">
        <v>2551</v>
      </c>
      <c r="H396" s="52">
        <v>44683.4350462963</v>
      </c>
      <c r="I396" s="50"/>
      <c r="J396" s="50"/>
      <c r="K396" s="50"/>
      <c r="L396" s="50"/>
      <c r="M396" s="50" t="s">
        <v>2552</v>
      </c>
      <c r="N396" s="50"/>
      <c r="O396" s="53" t="s">
        <v>70</v>
      </c>
      <c r="P396" s="55" t="s">
        <v>2553</v>
      </c>
      <c r="Q396" s="50">
        <v>72.0</v>
      </c>
      <c r="R396" s="50">
        <v>1126.0</v>
      </c>
      <c r="S396" s="50"/>
      <c r="T396" s="56" t="s">
        <v>2554</v>
      </c>
      <c r="U396" s="53" t="s">
        <v>691</v>
      </c>
    </row>
    <row r="397">
      <c r="A397" s="54" t="s">
        <v>2555</v>
      </c>
      <c r="B397" s="50" t="s">
        <v>2533</v>
      </c>
      <c r="C397" s="51" t="s">
        <v>363</v>
      </c>
      <c r="D397" s="51"/>
      <c r="E397" s="51"/>
      <c r="F397" s="51"/>
      <c r="G397" s="50" t="s">
        <v>2556</v>
      </c>
      <c r="H397" s="52">
        <v>44683.43490740741</v>
      </c>
      <c r="I397" s="50"/>
      <c r="J397" s="50"/>
      <c r="K397" s="50"/>
      <c r="L397" s="50"/>
      <c r="M397" s="50" t="s">
        <v>2535</v>
      </c>
      <c r="N397" s="50"/>
      <c r="O397" s="53" t="s">
        <v>60</v>
      </c>
      <c r="P397" s="55" t="s">
        <v>2536</v>
      </c>
      <c r="Q397" s="50">
        <v>2726.0</v>
      </c>
      <c r="R397" s="50">
        <v>4996.0</v>
      </c>
      <c r="S397" s="50"/>
      <c r="T397" s="56" t="s">
        <v>2557</v>
      </c>
      <c r="U397" s="53" t="s">
        <v>332</v>
      </c>
    </row>
    <row r="398">
      <c r="A398" s="54" t="s">
        <v>2558</v>
      </c>
      <c r="B398" s="50" t="s">
        <v>2559</v>
      </c>
      <c r="C398" s="51" t="s">
        <v>2560</v>
      </c>
      <c r="D398" s="51"/>
      <c r="E398" s="51"/>
      <c r="F398" s="51"/>
      <c r="G398" s="50" t="s">
        <v>2561</v>
      </c>
      <c r="H398" s="52">
        <v>44683.43483796297</v>
      </c>
      <c r="I398" s="50"/>
      <c r="J398" s="50"/>
      <c r="K398" s="50" t="s">
        <v>2562</v>
      </c>
      <c r="L398" s="50" t="s">
        <v>2563</v>
      </c>
      <c r="M398" s="50" t="s">
        <v>2564</v>
      </c>
      <c r="N398" s="50" t="s">
        <v>2565</v>
      </c>
      <c r="O398" s="53" t="s">
        <v>92</v>
      </c>
      <c r="P398" s="55" t="s">
        <v>2566</v>
      </c>
      <c r="Q398" s="50">
        <v>1217.0</v>
      </c>
      <c r="R398" s="50">
        <v>1914.0</v>
      </c>
      <c r="S398" s="50" t="s">
        <v>246</v>
      </c>
      <c r="T398" s="56" t="s">
        <v>2567</v>
      </c>
      <c r="U398" s="53" t="s">
        <v>2568</v>
      </c>
    </row>
    <row r="399">
      <c r="A399" s="54" t="s">
        <v>2569</v>
      </c>
      <c r="B399" s="50" t="s">
        <v>2533</v>
      </c>
      <c r="C399" s="51" t="s">
        <v>367</v>
      </c>
      <c r="D399" s="51"/>
      <c r="E399" s="51"/>
      <c r="F399" s="51"/>
      <c r="G399" s="50" t="s">
        <v>2570</v>
      </c>
      <c r="H399" s="52">
        <v>44683.43474537037</v>
      </c>
      <c r="I399" s="50"/>
      <c r="J399" s="50"/>
      <c r="K399" s="50"/>
      <c r="L399" s="50"/>
      <c r="M399" s="50" t="s">
        <v>2535</v>
      </c>
      <c r="N399" s="50"/>
      <c r="O399" s="53" t="s">
        <v>60</v>
      </c>
      <c r="P399" s="55" t="s">
        <v>2536</v>
      </c>
      <c r="Q399" s="50">
        <v>2726.0</v>
      </c>
      <c r="R399" s="50">
        <v>4996.0</v>
      </c>
      <c r="S399" s="50"/>
      <c r="T399" s="56" t="s">
        <v>2571</v>
      </c>
      <c r="U399" s="53" t="s">
        <v>370</v>
      </c>
    </row>
    <row r="400">
      <c r="A400" s="54" t="s">
        <v>2572</v>
      </c>
      <c r="B400" s="50" t="s">
        <v>2573</v>
      </c>
      <c r="C400" s="51" t="s">
        <v>367</v>
      </c>
      <c r="D400" s="51"/>
      <c r="E400" s="51"/>
      <c r="F400" s="51"/>
      <c r="G400" s="50" t="s">
        <v>2574</v>
      </c>
      <c r="H400" s="52">
        <v>44683.43435185185</v>
      </c>
      <c r="I400" s="50"/>
      <c r="J400" s="50"/>
      <c r="K400" s="50"/>
      <c r="L400" s="50"/>
      <c r="M400" s="50" t="s">
        <v>2575</v>
      </c>
      <c r="N400" s="50"/>
      <c r="O400" s="53" t="s">
        <v>70</v>
      </c>
      <c r="P400" s="55" t="s">
        <v>2576</v>
      </c>
      <c r="Q400" s="50">
        <v>2471.0</v>
      </c>
      <c r="R400" s="50">
        <v>4990.0</v>
      </c>
      <c r="S400" s="50" t="s">
        <v>2577</v>
      </c>
      <c r="T400" s="56" t="s">
        <v>2578</v>
      </c>
      <c r="U400" s="53" t="s">
        <v>370</v>
      </c>
    </row>
    <row r="401">
      <c r="A401" s="54" t="s">
        <v>2579</v>
      </c>
      <c r="B401" s="50" t="s">
        <v>2580</v>
      </c>
      <c r="C401" s="51" t="s">
        <v>367</v>
      </c>
      <c r="D401" s="51"/>
      <c r="E401" s="51"/>
      <c r="F401" s="51"/>
      <c r="G401" s="50" t="s">
        <v>2581</v>
      </c>
      <c r="H401" s="52">
        <v>44683.43427083333</v>
      </c>
      <c r="I401" s="50"/>
      <c r="J401" s="50"/>
      <c r="K401" s="50"/>
      <c r="L401" s="50"/>
      <c r="M401" s="50" t="s">
        <v>2582</v>
      </c>
      <c r="N401" s="50"/>
      <c r="O401" s="53" t="s">
        <v>70</v>
      </c>
      <c r="P401" s="55" t="s">
        <v>2583</v>
      </c>
      <c r="Q401" s="50">
        <v>487.0</v>
      </c>
      <c r="R401" s="50">
        <v>1017.0</v>
      </c>
      <c r="S401" s="50" t="s">
        <v>219</v>
      </c>
      <c r="T401" s="56" t="s">
        <v>2584</v>
      </c>
      <c r="U401" s="53" t="s">
        <v>370</v>
      </c>
    </row>
    <row r="402">
      <c r="A402" s="54" t="s">
        <v>2585</v>
      </c>
      <c r="B402" s="50" t="s">
        <v>2586</v>
      </c>
      <c r="C402" s="51" t="s">
        <v>363</v>
      </c>
      <c r="D402" s="51"/>
      <c r="E402" s="51"/>
      <c r="F402" s="51"/>
      <c r="G402" s="50" t="s">
        <v>2587</v>
      </c>
      <c r="H402" s="52">
        <v>44683.43420138889</v>
      </c>
      <c r="I402" s="50"/>
      <c r="J402" s="50"/>
      <c r="K402" s="50"/>
      <c r="L402" s="50"/>
      <c r="M402" s="50" t="s">
        <v>2588</v>
      </c>
      <c r="N402" s="50"/>
      <c r="O402" s="53" t="s">
        <v>92</v>
      </c>
      <c r="P402" s="55" t="s">
        <v>2589</v>
      </c>
      <c r="Q402" s="50">
        <v>433.0</v>
      </c>
      <c r="R402" s="50">
        <v>1423.0</v>
      </c>
      <c r="S402" s="50" t="s">
        <v>2590</v>
      </c>
      <c r="T402" s="56" t="s">
        <v>2591</v>
      </c>
      <c r="U402" s="53" t="s">
        <v>332</v>
      </c>
    </row>
    <row r="403">
      <c r="A403" s="54" t="s">
        <v>2592</v>
      </c>
      <c r="B403" s="50" t="s">
        <v>2593</v>
      </c>
      <c r="C403" s="51" t="s">
        <v>367</v>
      </c>
      <c r="D403" s="51"/>
      <c r="E403" s="51"/>
      <c r="F403" s="51"/>
      <c r="G403" s="50" t="s">
        <v>2594</v>
      </c>
      <c r="H403" s="52">
        <v>44683.434016203704</v>
      </c>
      <c r="I403" s="50"/>
      <c r="J403" s="50"/>
      <c r="K403" s="50"/>
      <c r="L403" s="50"/>
      <c r="M403" s="50" t="s">
        <v>2595</v>
      </c>
      <c r="N403" s="50"/>
      <c r="O403" s="53" t="s">
        <v>70</v>
      </c>
      <c r="P403" s="55" t="s">
        <v>2596</v>
      </c>
      <c r="Q403" s="50">
        <v>1318.0</v>
      </c>
      <c r="R403" s="50">
        <v>116.0</v>
      </c>
      <c r="S403" s="50" t="s">
        <v>2597</v>
      </c>
      <c r="T403" s="56" t="s">
        <v>2598</v>
      </c>
      <c r="U403" s="53" t="s">
        <v>370</v>
      </c>
    </row>
    <row r="404">
      <c r="A404" s="54" t="s">
        <v>2599</v>
      </c>
      <c r="B404" s="50" t="s">
        <v>2600</v>
      </c>
      <c r="C404" s="51" t="s">
        <v>367</v>
      </c>
      <c r="D404" s="51"/>
      <c r="E404" s="51"/>
      <c r="F404" s="51"/>
      <c r="G404" s="50" t="s">
        <v>2601</v>
      </c>
      <c r="H404" s="52">
        <v>44683.43377314815</v>
      </c>
      <c r="I404" s="50"/>
      <c r="J404" s="50"/>
      <c r="K404" s="50"/>
      <c r="L404" s="50"/>
      <c r="M404" s="50" t="s">
        <v>2602</v>
      </c>
      <c r="N404" s="50"/>
      <c r="O404" s="53" t="s">
        <v>70</v>
      </c>
      <c r="P404" s="55" t="s">
        <v>2603</v>
      </c>
      <c r="Q404" s="50">
        <v>146.0</v>
      </c>
      <c r="R404" s="50">
        <v>877.0</v>
      </c>
      <c r="S404" s="50" t="s">
        <v>379</v>
      </c>
      <c r="T404" s="56" t="s">
        <v>2604</v>
      </c>
      <c r="U404" s="53" t="s">
        <v>370</v>
      </c>
    </row>
    <row r="405">
      <c r="A405" s="54" t="s">
        <v>2605</v>
      </c>
      <c r="B405" s="50" t="s">
        <v>2606</v>
      </c>
      <c r="C405" s="51" t="s">
        <v>367</v>
      </c>
      <c r="D405" s="51"/>
      <c r="E405" s="51"/>
      <c r="F405" s="51"/>
      <c r="G405" s="50" t="s">
        <v>2607</v>
      </c>
      <c r="H405" s="52">
        <v>44683.43365740741</v>
      </c>
      <c r="I405" s="50"/>
      <c r="J405" s="50"/>
      <c r="K405" s="50"/>
      <c r="L405" s="50"/>
      <c r="M405" s="50" t="s">
        <v>2608</v>
      </c>
      <c r="N405" s="50"/>
      <c r="O405" s="53" t="s">
        <v>92</v>
      </c>
      <c r="P405" s="55" t="s">
        <v>2609</v>
      </c>
      <c r="Q405" s="50">
        <v>907.0</v>
      </c>
      <c r="R405" s="50">
        <v>1652.0</v>
      </c>
      <c r="S405" s="50" t="s">
        <v>2610</v>
      </c>
      <c r="T405" s="56" t="s">
        <v>2611</v>
      </c>
      <c r="U405" s="53" t="s">
        <v>370</v>
      </c>
    </row>
    <row r="406">
      <c r="A406" s="54" t="s">
        <v>2612</v>
      </c>
      <c r="B406" s="50" t="s">
        <v>2613</v>
      </c>
      <c r="C406" s="51" t="s">
        <v>2614</v>
      </c>
      <c r="D406" s="51"/>
      <c r="E406" s="51"/>
      <c r="F406" s="51"/>
      <c r="G406" s="50" t="s">
        <v>2615</v>
      </c>
      <c r="H406" s="52">
        <v>44683.433587962965</v>
      </c>
      <c r="I406" s="50"/>
      <c r="J406" s="50"/>
      <c r="K406" s="50"/>
      <c r="L406" s="50"/>
      <c r="M406" s="50" t="s">
        <v>2616</v>
      </c>
      <c r="N406" s="50"/>
      <c r="O406" s="53" t="s">
        <v>2617</v>
      </c>
      <c r="P406" s="55" t="s">
        <v>2618</v>
      </c>
      <c r="Q406" s="50">
        <v>117.0</v>
      </c>
      <c r="R406" s="50">
        <v>34.0</v>
      </c>
      <c r="S406" s="50" t="s">
        <v>541</v>
      </c>
      <c r="T406" s="56" t="s">
        <v>2619</v>
      </c>
      <c r="U406" s="53" t="s">
        <v>2620</v>
      </c>
    </row>
    <row r="407">
      <c r="A407" s="54" t="s">
        <v>2621</v>
      </c>
      <c r="B407" s="50" t="s">
        <v>2622</v>
      </c>
      <c r="C407" s="51" t="s">
        <v>2623</v>
      </c>
      <c r="D407" s="51"/>
      <c r="E407" s="51"/>
      <c r="F407" s="51"/>
      <c r="G407" s="50" t="s">
        <v>2615</v>
      </c>
      <c r="H407" s="52">
        <v>44683.433587962965</v>
      </c>
      <c r="I407" s="50"/>
      <c r="J407" s="50"/>
      <c r="K407" s="50"/>
      <c r="L407" s="50"/>
      <c r="M407" s="50" t="s">
        <v>2624</v>
      </c>
      <c r="N407" s="50"/>
      <c r="O407" s="53" t="s">
        <v>60</v>
      </c>
      <c r="P407" s="55" t="s">
        <v>2625</v>
      </c>
      <c r="Q407" s="50">
        <v>187.0</v>
      </c>
      <c r="R407" s="50">
        <v>512.0</v>
      </c>
      <c r="S407" s="50" t="s">
        <v>2610</v>
      </c>
      <c r="T407" s="56" t="s">
        <v>2626</v>
      </c>
      <c r="U407" s="53" t="s">
        <v>2627</v>
      </c>
    </row>
    <row r="408">
      <c r="A408" s="54" t="s">
        <v>2628</v>
      </c>
      <c r="B408" s="50" t="s">
        <v>2629</v>
      </c>
      <c r="C408" s="51" t="s">
        <v>2630</v>
      </c>
      <c r="D408" s="51"/>
      <c r="E408" s="51"/>
      <c r="F408" s="51"/>
      <c r="G408" s="50" t="s">
        <v>2631</v>
      </c>
      <c r="H408" s="52">
        <v>44683.43353009259</v>
      </c>
      <c r="I408" s="50"/>
      <c r="J408" s="50"/>
      <c r="K408" s="50"/>
      <c r="L408" s="50"/>
      <c r="M408" s="50" t="s">
        <v>2632</v>
      </c>
      <c r="N408" s="50"/>
      <c r="O408" s="53" t="s">
        <v>92</v>
      </c>
      <c r="P408" s="55" t="s">
        <v>354</v>
      </c>
      <c r="Q408" s="50">
        <v>1481.0</v>
      </c>
      <c r="R408" s="50">
        <v>2102.0</v>
      </c>
      <c r="S408" s="50" t="s">
        <v>246</v>
      </c>
      <c r="T408" s="56" t="s">
        <v>2633</v>
      </c>
      <c r="U408" s="53" t="s">
        <v>691</v>
      </c>
    </row>
    <row r="409">
      <c r="A409" s="54" t="s">
        <v>2634</v>
      </c>
      <c r="B409" s="50" t="s">
        <v>2635</v>
      </c>
      <c r="C409" s="51" t="s">
        <v>367</v>
      </c>
      <c r="D409" s="51"/>
      <c r="E409" s="51"/>
      <c r="F409" s="51"/>
      <c r="G409" s="50" t="s">
        <v>2636</v>
      </c>
      <c r="H409" s="52">
        <v>44683.433483796296</v>
      </c>
      <c r="I409" s="50"/>
      <c r="J409" s="50"/>
      <c r="K409" s="50"/>
      <c r="L409" s="50"/>
      <c r="M409" s="50" t="s">
        <v>2637</v>
      </c>
      <c r="N409" s="50"/>
      <c r="O409" s="53" t="s">
        <v>70</v>
      </c>
      <c r="P409" s="55" t="s">
        <v>2638</v>
      </c>
      <c r="Q409" s="50">
        <v>1543.0</v>
      </c>
      <c r="R409" s="50">
        <v>4998.0</v>
      </c>
      <c r="S409" s="50"/>
      <c r="T409" s="56" t="s">
        <v>2639</v>
      </c>
      <c r="U409" s="53" t="s">
        <v>370</v>
      </c>
    </row>
    <row r="410">
      <c r="A410" s="54" t="s">
        <v>2640</v>
      </c>
      <c r="B410" s="50" t="s">
        <v>2641</v>
      </c>
      <c r="C410" s="51" t="s">
        <v>367</v>
      </c>
      <c r="D410" s="51"/>
      <c r="E410" s="51"/>
      <c r="F410" s="51"/>
      <c r="G410" s="50" t="s">
        <v>2642</v>
      </c>
      <c r="H410" s="52">
        <v>44683.43305555556</v>
      </c>
      <c r="I410" s="50"/>
      <c r="J410" s="50"/>
      <c r="K410" s="50"/>
      <c r="L410" s="50"/>
      <c r="M410" s="50" t="s">
        <v>2643</v>
      </c>
      <c r="N410" s="50"/>
      <c r="O410" s="53" t="s">
        <v>92</v>
      </c>
      <c r="P410" s="55" t="s">
        <v>2644</v>
      </c>
      <c r="Q410" s="50">
        <v>41.0</v>
      </c>
      <c r="R410" s="50">
        <v>189.0</v>
      </c>
      <c r="S410" s="50" t="s">
        <v>2645</v>
      </c>
      <c r="T410" s="56" t="s">
        <v>2646</v>
      </c>
      <c r="U410" s="53" t="s">
        <v>370</v>
      </c>
    </row>
    <row r="411">
      <c r="A411" s="54" t="s">
        <v>2647</v>
      </c>
      <c r="B411" s="50" t="s">
        <v>1345</v>
      </c>
      <c r="C411" s="51" t="s">
        <v>2416</v>
      </c>
      <c r="D411" s="51"/>
      <c r="E411" s="51"/>
      <c r="F411" s="51"/>
      <c r="G411" s="50" t="s">
        <v>2648</v>
      </c>
      <c r="H411" s="52">
        <v>44683.43303240741</v>
      </c>
      <c r="I411" s="50"/>
      <c r="J411" s="50"/>
      <c r="K411" s="50"/>
      <c r="L411" s="50"/>
      <c r="M411" s="50" t="s">
        <v>1344</v>
      </c>
      <c r="N411" s="50"/>
      <c r="O411" s="53" t="s">
        <v>70</v>
      </c>
      <c r="P411" s="55" t="s">
        <v>2649</v>
      </c>
      <c r="Q411" s="50">
        <v>1899.0</v>
      </c>
      <c r="R411" s="50">
        <v>1227.0</v>
      </c>
      <c r="S411" s="50" t="s">
        <v>2650</v>
      </c>
      <c r="T411" s="56" t="s">
        <v>2651</v>
      </c>
      <c r="U411" s="53" t="s">
        <v>2421</v>
      </c>
    </row>
    <row r="412">
      <c r="A412" s="54" t="s">
        <v>2652</v>
      </c>
      <c r="B412" s="50" t="s">
        <v>2653</v>
      </c>
      <c r="C412" s="51" t="s">
        <v>367</v>
      </c>
      <c r="D412" s="51"/>
      <c r="E412" s="51"/>
      <c r="F412" s="51"/>
      <c r="G412" s="50" t="s">
        <v>2654</v>
      </c>
      <c r="H412" s="52">
        <v>44683.43300925926</v>
      </c>
      <c r="I412" s="50"/>
      <c r="J412" s="50"/>
      <c r="K412" s="50"/>
      <c r="L412" s="50"/>
      <c r="M412" s="50" t="s">
        <v>2655</v>
      </c>
      <c r="N412" s="50"/>
      <c r="O412" s="53" t="s">
        <v>70</v>
      </c>
      <c r="P412" s="55" t="s">
        <v>2656</v>
      </c>
      <c r="Q412" s="50">
        <v>344.0</v>
      </c>
      <c r="R412" s="50">
        <v>355.0</v>
      </c>
      <c r="S412" s="50" t="s">
        <v>658</v>
      </c>
      <c r="T412" s="56" t="s">
        <v>2657</v>
      </c>
      <c r="U412" s="53" t="s">
        <v>370</v>
      </c>
    </row>
    <row r="413">
      <c r="A413" s="54" t="s">
        <v>2658</v>
      </c>
      <c r="B413" s="50" t="s">
        <v>2659</v>
      </c>
      <c r="C413" s="51" t="s">
        <v>367</v>
      </c>
      <c r="D413" s="51"/>
      <c r="E413" s="51"/>
      <c r="F413" s="51"/>
      <c r="G413" s="50" t="s">
        <v>2660</v>
      </c>
      <c r="H413" s="52">
        <v>44683.43291666667</v>
      </c>
      <c r="I413" s="50"/>
      <c r="J413" s="50"/>
      <c r="K413" s="50"/>
      <c r="L413" s="50"/>
      <c r="M413" s="50" t="s">
        <v>2661</v>
      </c>
      <c r="N413" s="50"/>
      <c r="O413" s="53" t="s">
        <v>70</v>
      </c>
      <c r="P413" s="55" t="s">
        <v>2662</v>
      </c>
      <c r="Q413" s="50">
        <v>487.0</v>
      </c>
      <c r="R413" s="50">
        <v>499.0</v>
      </c>
      <c r="S413" s="50"/>
      <c r="T413" s="56" t="s">
        <v>2663</v>
      </c>
      <c r="U413" s="53" t="s">
        <v>370</v>
      </c>
    </row>
    <row r="414">
      <c r="A414" s="54" t="s">
        <v>2664</v>
      </c>
      <c r="B414" s="50" t="s">
        <v>2665</v>
      </c>
      <c r="C414" s="51" t="s">
        <v>367</v>
      </c>
      <c r="D414" s="51"/>
      <c r="E414" s="51"/>
      <c r="F414" s="51"/>
      <c r="G414" s="50" t="s">
        <v>2666</v>
      </c>
      <c r="H414" s="52">
        <v>44683.43290509259</v>
      </c>
      <c r="I414" s="50"/>
      <c r="J414" s="50"/>
      <c r="K414" s="50"/>
      <c r="L414" s="50"/>
      <c r="M414" s="50" t="s">
        <v>2667</v>
      </c>
      <c r="N414" s="50"/>
      <c r="O414" s="53" t="s">
        <v>70</v>
      </c>
      <c r="P414" s="55" t="s">
        <v>2668</v>
      </c>
      <c r="Q414" s="50">
        <v>1431.0</v>
      </c>
      <c r="R414" s="50">
        <v>4861.0</v>
      </c>
      <c r="S414" s="50" t="s">
        <v>2669</v>
      </c>
      <c r="T414" s="56" t="s">
        <v>2670</v>
      </c>
      <c r="U414" s="53" t="s">
        <v>370</v>
      </c>
    </row>
    <row r="415">
      <c r="A415" s="54" t="s">
        <v>2671</v>
      </c>
      <c r="B415" s="50" t="s">
        <v>2672</v>
      </c>
      <c r="C415" s="51" t="s">
        <v>2380</v>
      </c>
      <c r="D415" s="51"/>
      <c r="E415" s="51"/>
      <c r="F415" s="51"/>
      <c r="G415" s="50" t="s">
        <v>2673</v>
      </c>
      <c r="H415" s="52">
        <v>44683.432870370365</v>
      </c>
      <c r="I415" s="50"/>
      <c r="J415" s="50"/>
      <c r="K415" s="50"/>
      <c r="L415" s="50"/>
      <c r="M415" s="50" t="s">
        <v>2674</v>
      </c>
      <c r="N415" s="50"/>
      <c r="O415" s="53" t="s">
        <v>60</v>
      </c>
      <c r="P415" s="55" t="s">
        <v>2675</v>
      </c>
      <c r="Q415" s="50">
        <v>18.0</v>
      </c>
      <c r="R415" s="50">
        <v>256.0</v>
      </c>
      <c r="S415" s="50"/>
      <c r="T415" s="56" t="s">
        <v>2676</v>
      </c>
      <c r="U415" s="53" t="s">
        <v>2385</v>
      </c>
    </row>
    <row r="416">
      <c r="A416" s="54" t="s">
        <v>2677</v>
      </c>
      <c r="B416" s="50" t="s">
        <v>2678</v>
      </c>
      <c r="C416" s="51" t="s">
        <v>367</v>
      </c>
      <c r="D416" s="51"/>
      <c r="E416" s="51"/>
      <c r="F416" s="51"/>
      <c r="G416" s="50" t="s">
        <v>2673</v>
      </c>
      <c r="H416" s="52">
        <v>44683.432870370365</v>
      </c>
      <c r="I416" s="50"/>
      <c r="J416" s="50"/>
      <c r="K416" s="50"/>
      <c r="L416" s="50"/>
      <c r="M416" s="50" t="s">
        <v>2679</v>
      </c>
      <c r="N416" s="50"/>
      <c r="O416" s="53" t="s">
        <v>70</v>
      </c>
      <c r="P416" s="55" t="s">
        <v>2680</v>
      </c>
      <c r="Q416" s="50">
        <v>23.0</v>
      </c>
      <c r="R416" s="50">
        <v>43.0</v>
      </c>
      <c r="S416" s="50"/>
      <c r="T416" s="56" t="s">
        <v>2681</v>
      </c>
      <c r="U416" s="53" t="s">
        <v>370</v>
      </c>
    </row>
    <row r="417">
      <c r="A417" s="54" t="s">
        <v>2682</v>
      </c>
      <c r="B417" s="50" t="s">
        <v>2683</v>
      </c>
      <c r="C417" s="51" t="s">
        <v>2684</v>
      </c>
      <c r="D417" s="51"/>
      <c r="E417" s="51"/>
      <c r="F417" s="51"/>
      <c r="G417" s="50" t="s">
        <v>2685</v>
      </c>
      <c r="H417" s="52">
        <v>44683.43277777778</v>
      </c>
      <c r="I417" s="50"/>
      <c r="J417" s="50"/>
      <c r="K417" s="50" t="s">
        <v>2686</v>
      </c>
      <c r="L417" s="50" t="s">
        <v>2687</v>
      </c>
      <c r="M417" s="50" t="s">
        <v>2688</v>
      </c>
      <c r="N417" s="50" t="s">
        <v>2689</v>
      </c>
      <c r="O417" s="53" t="s">
        <v>70</v>
      </c>
      <c r="P417" s="55" t="s">
        <v>2690</v>
      </c>
      <c r="Q417" s="50">
        <v>14.0</v>
      </c>
      <c r="R417" s="50">
        <v>36.0</v>
      </c>
      <c r="S417" s="50"/>
      <c r="T417" s="56" t="s">
        <v>2691</v>
      </c>
      <c r="U417" s="53" t="s">
        <v>2692</v>
      </c>
    </row>
    <row r="418">
      <c r="A418" s="54" t="s">
        <v>2693</v>
      </c>
      <c r="B418" s="50" t="s">
        <v>2694</v>
      </c>
      <c r="C418" s="51" t="s">
        <v>2695</v>
      </c>
      <c r="D418" s="51"/>
      <c r="E418" s="51"/>
      <c r="F418" s="51"/>
      <c r="G418" s="50" t="s">
        <v>2696</v>
      </c>
      <c r="H418" s="52">
        <v>44683.43267361111</v>
      </c>
      <c r="I418" s="50"/>
      <c r="J418" s="50"/>
      <c r="K418" s="50"/>
      <c r="L418" s="50"/>
      <c r="M418" s="50" t="s">
        <v>2697</v>
      </c>
      <c r="N418" s="50"/>
      <c r="O418" s="53" t="s">
        <v>2698</v>
      </c>
      <c r="P418" s="55" t="s">
        <v>2699</v>
      </c>
      <c r="Q418" s="50">
        <v>2177.0</v>
      </c>
      <c r="R418" s="50">
        <v>508.0</v>
      </c>
      <c r="S418" s="50" t="s">
        <v>2700</v>
      </c>
      <c r="T418" s="56" t="s">
        <v>2701</v>
      </c>
      <c r="U418" s="53" t="s">
        <v>2702</v>
      </c>
    </row>
    <row r="419">
      <c r="A419" s="54" t="s">
        <v>2703</v>
      </c>
      <c r="B419" s="50" t="s">
        <v>2704</v>
      </c>
      <c r="C419" s="51" t="s">
        <v>2705</v>
      </c>
      <c r="D419" s="51"/>
      <c r="E419" s="51"/>
      <c r="F419" s="51"/>
      <c r="G419" s="50" t="s">
        <v>2706</v>
      </c>
      <c r="H419" s="52">
        <v>44683.43234953703</v>
      </c>
      <c r="I419" s="50"/>
      <c r="J419" s="50"/>
      <c r="K419" s="50"/>
      <c r="L419" s="50"/>
      <c r="M419" s="50" t="s">
        <v>2707</v>
      </c>
      <c r="N419" s="50"/>
      <c r="O419" s="53" t="s">
        <v>60</v>
      </c>
      <c r="P419" s="55" t="s">
        <v>2708</v>
      </c>
      <c r="Q419" s="50">
        <v>306.0</v>
      </c>
      <c r="R419" s="50">
        <v>685.0</v>
      </c>
      <c r="S419" s="50" t="s">
        <v>887</v>
      </c>
      <c r="T419" s="56" t="s">
        <v>2709</v>
      </c>
      <c r="U419" s="53" t="s">
        <v>2710</v>
      </c>
    </row>
    <row r="420">
      <c r="A420" s="54" t="s">
        <v>2711</v>
      </c>
      <c r="B420" s="50" t="s">
        <v>2712</v>
      </c>
      <c r="C420" s="51" t="s">
        <v>316</v>
      </c>
      <c r="D420" s="51"/>
      <c r="E420" s="51"/>
      <c r="F420" s="51"/>
      <c r="G420" s="50" t="s">
        <v>2713</v>
      </c>
      <c r="H420" s="52">
        <v>44683.43229166667</v>
      </c>
      <c r="I420" s="50"/>
      <c r="J420" s="50"/>
      <c r="K420" s="50"/>
      <c r="L420" s="50"/>
      <c r="M420" s="50" t="s">
        <v>2714</v>
      </c>
      <c r="N420" s="50"/>
      <c r="O420" s="53" t="s">
        <v>92</v>
      </c>
      <c r="P420" s="55" t="s">
        <v>354</v>
      </c>
      <c r="Q420" s="50">
        <v>109.0</v>
      </c>
      <c r="R420" s="50">
        <v>336.0</v>
      </c>
      <c r="S420" s="50"/>
      <c r="T420" s="56" t="s">
        <v>2715</v>
      </c>
      <c r="U420" s="53" t="s">
        <v>322</v>
      </c>
    </row>
    <row r="421">
      <c r="A421" s="54" t="s">
        <v>2716</v>
      </c>
      <c r="B421" s="50" t="s">
        <v>2712</v>
      </c>
      <c r="C421" s="51" t="s">
        <v>367</v>
      </c>
      <c r="D421" s="51"/>
      <c r="E421" s="51"/>
      <c r="F421" s="51"/>
      <c r="G421" s="50" t="s">
        <v>2717</v>
      </c>
      <c r="H421" s="52">
        <v>44683.43210648149</v>
      </c>
      <c r="I421" s="50"/>
      <c r="J421" s="50"/>
      <c r="K421" s="50"/>
      <c r="L421" s="50"/>
      <c r="M421" s="50" t="s">
        <v>2714</v>
      </c>
      <c r="N421" s="50"/>
      <c r="O421" s="53" t="s">
        <v>92</v>
      </c>
      <c r="P421" s="55" t="s">
        <v>354</v>
      </c>
      <c r="Q421" s="50">
        <v>109.0</v>
      </c>
      <c r="R421" s="50">
        <v>336.0</v>
      </c>
      <c r="S421" s="50"/>
      <c r="T421" s="56" t="s">
        <v>2718</v>
      </c>
      <c r="U421" s="53" t="s">
        <v>370</v>
      </c>
    </row>
    <row r="422">
      <c r="A422" s="54" t="s">
        <v>2719</v>
      </c>
      <c r="B422" s="50" t="s">
        <v>2720</v>
      </c>
      <c r="C422" s="51" t="s">
        <v>2721</v>
      </c>
      <c r="D422" s="51"/>
      <c r="E422" s="51"/>
      <c r="F422" s="51"/>
      <c r="G422" s="50" t="s">
        <v>2722</v>
      </c>
      <c r="H422" s="52">
        <v>44683.432025462964</v>
      </c>
      <c r="I422" s="50"/>
      <c r="J422" s="50"/>
      <c r="K422" s="50"/>
      <c r="L422" s="50"/>
      <c r="M422" s="50" t="s">
        <v>2723</v>
      </c>
      <c r="N422" s="50"/>
      <c r="O422" s="53" t="s">
        <v>70</v>
      </c>
      <c r="P422" s="55" t="s">
        <v>2724</v>
      </c>
      <c r="Q422" s="50">
        <v>4044.0</v>
      </c>
      <c r="R422" s="50">
        <v>4992.0</v>
      </c>
      <c r="S422" s="50" t="s">
        <v>2725</v>
      </c>
      <c r="T422" s="56" t="s">
        <v>2726</v>
      </c>
      <c r="U422" s="53" t="s">
        <v>2727</v>
      </c>
    </row>
    <row r="423">
      <c r="A423" s="54" t="s">
        <v>2728</v>
      </c>
      <c r="B423" s="50" t="s">
        <v>2729</v>
      </c>
      <c r="C423" s="51" t="s">
        <v>2730</v>
      </c>
      <c r="D423" s="51"/>
      <c r="E423" s="51"/>
      <c r="F423" s="51"/>
      <c r="G423" s="50" t="s">
        <v>2731</v>
      </c>
      <c r="H423" s="52">
        <v>44683.431967592594</v>
      </c>
      <c r="I423" s="50"/>
      <c r="J423" s="50"/>
      <c r="K423" s="50"/>
      <c r="L423" s="50"/>
      <c r="M423" s="50" t="s">
        <v>2732</v>
      </c>
      <c r="N423" s="50"/>
      <c r="O423" s="53" t="s">
        <v>92</v>
      </c>
      <c r="P423" s="55" t="s">
        <v>2733</v>
      </c>
      <c r="Q423" s="50">
        <v>754.0</v>
      </c>
      <c r="R423" s="50">
        <v>2280.0</v>
      </c>
      <c r="S423" s="50" t="s">
        <v>2734</v>
      </c>
      <c r="T423" s="56" t="s">
        <v>2735</v>
      </c>
      <c r="U423" s="53" t="s">
        <v>2736</v>
      </c>
    </row>
    <row r="424">
      <c r="A424" s="54" t="s">
        <v>2737</v>
      </c>
      <c r="B424" s="50" t="s">
        <v>2738</v>
      </c>
      <c r="C424" s="51" t="s">
        <v>367</v>
      </c>
      <c r="D424" s="51"/>
      <c r="E424" s="51"/>
      <c r="F424" s="51"/>
      <c r="G424" s="50" t="s">
        <v>2739</v>
      </c>
      <c r="H424" s="52">
        <v>44683.43195601852</v>
      </c>
      <c r="I424" s="50"/>
      <c r="J424" s="50"/>
      <c r="K424" s="50"/>
      <c r="L424" s="50"/>
      <c r="M424" s="50" t="s">
        <v>2740</v>
      </c>
      <c r="N424" s="50"/>
      <c r="O424" s="53" t="s">
        <v>92</v>
      </c>
      <c r="P424" s="55" t="s">
        <v>2741</v>
      </c>
      <c r="Q424" s="50">
        <v>1766.0</v>
      </c>
      <c r="R424" s="50">
        <v>2699.0</v>
      </c>
      <c r="S424" s="50"/>
      <c r="T424" s="56" t="s">
        <v>2742</v>
      </c>
      <c r="U424" s="53" t="s">
        <v>370</v>
      </c>
    </row>
    <row r="425">
      <c r="A425" s="54" t="s">
        <v>2743</v>
      </c>
      <c r="B425" s="50" t="s">
        <v>2744</v>
      </c>
      <c r="C425" s="51" t="s">
        <v>316</v>
      </c>
      <c r="D425" s="51"/>
      <c r="E425" s="51"/>
      <c r="F425" s="51"/>
      <c r="G425" s="50" t="s">
        <v>2745</v>
      </c>
      <c r="H425" s="52">
        <v>44683.43189814815</v>
      </c>
      <c r="I425" s="50"/>
      <c r="J425" s="50"/>
      <c r="K425" s="50"/>
      <c r="L425" s="50"/>
      <c r="M425" s="50" t="s">
        <v>2746</v>
      </c>
      <c r="N425" s="50"/>
      <c r="O425" s="53" t="s">
        <v>70</v>
      </c>
      <c r="P425" s="55" t="s">
        <v>2747</v>
      </c>
      <c r="Q425" s="50">
        <v>137.0</v>
      </c>
      <c r="R425" s="50">
        <v>339.0</v>
      </c>
      <c r="S425" s="50"/>
      <c r="T425" s="56" t="s">
        <v>2748</v>
      </c>
      <c r="U425" s="53" t="s">
        <v>322</v>
      </c>
    </row>
    <row r="426">
      <c r="A426" s="54" t="s">
        <v>2749</v>
      </c>
      <c r="B426" s="50" t="s">
        <v>2750</v>
      </c>
      <c r="C426" s="51" t="s">
        <v>367</v>
      </c>
      <c r="D426" s="51"/>
      <c r="E426" s="51"/>
      <c r="F426" s="51"/>
      <c r="G426" s="50" t="s">
        <v>2751</v>
      </c>
      <c r="H426" s="52">
        <v>44683.431805555556</v>
      </c>
      <c r="I426" s="50"/>
      <c r="J426" s="50"/>
      <c r="K426" s="50"/>
      <c r="L426" s="50"/>
      <c r="M426" s="50" t="s">
        <v>2752</v>
      </c>
      <c r="N426" s="50"/>
      <c r="O426" s="53" t="s">
        <v>217</v>
      </c>
      <c r="P426" s="55" t="s">
        <v>2753</v>
      </c>
      <c r="Q426" s="50">
        <v>740.0</v>
      </c>
      <c r="R426" s="50">
        <v>3723.0</v>
      </c>
      <c r="S426" s="50" t="s">
        <v>1311</v>
      </c>
      <c r="T426" s="56" t="s">
        <v>2754</v>
      </c>
      <c r="U426" s="53" t="s">
        <v>370</v>
      </c>
    </row>
    <row r="427">
      <c r="A427" s="54" t="s">
        <v>2755</v>
      </c>
      <c r="B427" s="50" t="s">
        <v>2756</v>
      </c>
      <c r="C427" s="51" t="s">
        <v>2757</v>
      </c>
      <c r="D427" s="51"/>
      <c r="E427" s="51"/>
      <c r="F427" s="51"/>
      <c r="G427" s="50" t="s">
        <v>2758</v>
      </c>
      <c r="H427" s="52">
        <v>44683.431701388894</v>
      </c>
      <c r="I427" s="50"/>
      <c r="J427" s="50"/>
      <c r="K427" s="50"/>
      <c r="L427" s="50"/>
      <c r="M427" s="50" t="s">
        <v>2759</v>
      </c>
      <c r="N427" s="50"/>
      <c r="O427" s="53" t="s">
        <v>60</v>
      </c>
      <c r="P427" s="55" t="s">
        <v>2760</v>
      </c>
      <c r="Q427" s="50">
        <v>458.0</v>
      </c>
      <c r="R427" s="50">
        <v>263.0</v>
      </c>
      <c r="S427" s="50" t="s">
        <v>2761</v>
      </c>
      <c r="T427" s="56" t="s">
        <v>2762</v>
      </c>
      <c r="U427" s="53" t="s">
        <v>2763</v>
      </c>
    </row>
    <row r="428">
      <c r="A428" s="54" t="s">
        <v>2764</v>
      </c>
      <c r="B428" s="50" t="s">
        <v>2765</v>
      </c>
      <c r="C428" s="51" t="s">
        <v>367</v>
      </c>
      <c r="D428" s="51"/>
      <c r="E428" s="51"/>
      <c r="F428" s="51"/>
      <c r="G428" s="50" t="s">
        <v>2766</v>
      </c>
      <c r="H428" s="52">
        <v>44683.431597222225</v>
      </c>
      <c r="I428" s="50"/>
      <c r="J428" s="50"/>
      <c r="K428" s="50"/>
      <c r="L428" s="50"/>
      <c r="M428" s="50" t="s">
        <v>2767</v>
      </c>
      <c r="N428" s="50"/>
      <c r="O428" s="53" t="s">
        <v>60</v>
      </c>
      <c r="P428" s="55" t="s">
        <v>2768</v>
      </c>
      <c r="Q428" s="50">
        <v>1962.0</v>
      </c>
      <c r="R428" s="50">
        <v>1925.0</v>
      </c>
      <c r="S428" s="50"/>
      <c r="T428" s="56" t="s">
        <v>2769</v>
      </c>
      <c r="U428" s="53" t="s">
        <v>370</v>
      </c>
    </row>
    <row r="429">
      <c r="A429" s="54" t="s">
        <v>2770</v>
      </c>
      <c r="B429" s="50" t="s">
        <v>2771</v>
      </c>
      <c r="C429" s="51" t="s">
        <v>2772</v>
      </c>
      <c r="D429" s="51"/>
      <c r="E429" s="51"/>
      <c r="F429" s="51"/>
      <c r="G429" s="50" t="s">
        <v>2773</v>
      </c>
      <c r="H429" s="52">
        <v>44683.43153935185</v>
      </c>
      <c r="I429" s="50"/>
      <c r="J429" s="50"/>
      <c r="K429" s="50"/>
      <c r="L429" s="50"/>
      <c r="M429" s="50" t="s">
        <v>2774</v>
      </c>
      <c r="N429" s="50"/>
      <c r="O429" s="53" t="s">
        <v>60</v>
      </c>
      <c r="P429" s="55" t="s">
        <v>2775</v>
      </c>
      <c r="Q429" s="50">
        <v>801.0</v>
      </c>
      <c r="R429" s="50">
        <v>1346.0</v>
      </c>
      <c r="S429" s="50" t="s">
        <v>2776</v>
      </c>
      <c r="T429" s="56" t="s">
        <v>2777</v>
      </c>
      <c r="U429" s="53" t="s">
        <v>2778</v>
      </c>
    </row>
    <row r="430">
      <c r="A430" s="54" t="s">
        <v>2779</v>
      </c>
      <c r="B430" s="50" t="s">
        <v>2780</v>
      </c>
      <c r="C430" s="51" t="s">
        <v>367</v>
      </c>
      <c r="D430" s="51"/>
      <c r="E430" s="51"/>
      <c r="F430" s="51"/>
      <c r="G430" s="50" t="s">
        <v>2781</v>
      </c>
      <c r="H430" s="52">
        <v>44683.43103009259</v>
      </c>
      <c r="I430" s="50"/>
      <c r="J430" s="50"/>
      <c r="K430" s="50"/>
      <c r="L430" s="50"/>
      <c r="M430" s="50" t="s">
        <v>2782</v>
      </c>
      <c r="N430" s="50"/>
      <c r="O430" s="53" t="s">
        <v>70</v>
      </c>
      <c r="P430" s="55" t="s">
        <v>354</v>
      </c>
      <c r="Q430" s="50">
        <v>11.0</v>
      </c>
      <c r="R430" s="50">
        <v>78.0</v>
      </c>
      <c r="S430" s="50"/>
      <c r="T430" s="56" t="s">
        <v>2783</v>
      </c>
      <c r="U430" s="53" t="s">
        <v>370</v>
      </c>
    </row>
    <row r="431">
      <c r="A431" s="54" t="s">
        <v>2784</v>
      </c>
      <c r="B431" s="50" t="s">
        <v>2785</v>
      </c>
      <c r="C431" s="51" t="s">
        <v>367</v>
      </c>
      <c r="D431" s="51"/>
      <c r="E431" s="51"/>
      <c r="F431" s="51"/>
      <c r="G431" s="50" t="s">
        <v>2786</v>
      </c>
      <c r="H431" s="52">
        <v>44683.43100694445</v>
      </c>
      <c r="I431" s="50"/>
      <c r="J431" s="50"/>
      <c r="K431" s="50"/>
      <c r="L431" s="50"/>
      <c r="M431" s="50" t="s">
        <v>2787</v>
      </c>
      <c r="N431" s="50"/>
      <c r="O431" s="53" t="s">
        <v>217</v>
      </c>
      <c r="P431" s="55" t="s">
        <v>2788</v>
      </c>
      <c r="Q431" s="50">
        <v>9064.0</v>
      </c>
      <c r="R431" s="50">
        <v>8959.0</v>
      </c>
      <c r="S431" s="50" t="s">
        <v>2789</v>
      </c>
      <c r="T431" s="56" t="s">
        <v>2790</v>
      </c>
      <c r="U431" s="53" t="s">
        <v>370</v>
      </c>
    </row>
    <row r="432">
      <c r="A432" s="54" t="s">
        <v>2791</v>
      </c>
      <c r="B432" s="50" t="s">
        <v>2792</v>
      </c>
      <c r="C432" s="51" t="s">
        <v>329</v>
      </c>
      <c r="D432" s="51"/>
      <c r="E432" s="51"/>
      <c r="F432" s="51"/>
      <c r="G432" s="50" t="s">
        <v>2793</v>
      </c>
      <c r="H432" s="52">
        <v>44683.43099537037</v>
      </c>
      <c r="I432" s="50"/>
      <c r="J432" s="50"/>
      <c r="K432" s="50"/>
      <c r="L432" s="50"/>
      <c r="M432" s="50" t="s">
        <v>2794</v>
      </c>
      <c r="N432" s="50"/>
      <c r="O432" s="53" t="s">
        <v>92</v>
      </c>
      <c r="P432" s="55" t="s">
        <v>354</v>
      </c>
      <c r="Q432" s="50">
        <v>21.0</v>
      </c>
      <c r="R432" s="50">
        <v>170.0</v>
      </c>
      <c r="S432" s="50"/>
      <c r="T432" s="56" t="s">
        <v>2795</v>
      </c>
      <c r="U432" s="53" t="s">
        <v>332</v>
      </c>
    </row>
    <row r="433">
      <c r="A433" s="54" t="s">
        <v>2796</v>
      </c>
      <c r="B433" s="50" t="s">
        <v>2797</v>
      </c>
      <c r="C433" s="51" t="s">
        <v>367</v>
      </c>
      <c r="D433" s="51"/>
      <c r="E433" s="51"/>
      <c r="F433" s="51"/>
      <c r="G433" s="50" t="s">
        <v>2798</v>
      </c>
      <c r="H433" s="52">
        <v>44683.43089120371</v>
      </c>
      <c r="I433" s="50"/>
      <c r="J433" s="50"/>
      <c r="K433" s="50"/>
      <c r="L433" s="50"/>
      <c r="M433" s="50" t="s">
        <v>2799</v>
      </c>
      <c r="N433" s="50"/>
      <c r="O433" s="53" t="s">
        <v>60</v>
      </c>
      <c r="P433" s="55" t="s">
        <v>2800</v>
      </c>
      <c r="Q433" s="50">
        <v>664.0</v>
      </c>
      <c r="R433" s="50">
        <v>2319.0</v>
      </c>
      <c r="S433" s="50" t="s">
        <v>2801</v>
      </c>
      <c r="T433" s="56" t="s">
        <v>2802</v>
      </c>
      <c r="U433" s="53" t="s">
        <v>370</v>
      </c>
    </row>
    <row r="434">
      <c r="A434" s="54" t="s">
        <v>2803</v>
      </c>
      <c r="B434" s="50" t="s">
        <v>2804</v>
      </c>
      <c r="C434" s="51" t="s">
        <v>2805</v>
      </c>
      <c r="D434" s="51"/>
      <c r="E434" s="51"/>
      <c r="F434" s="51"/>
      <c r="G434" s="50" t="s">
        <v>2806</v>
      </c>
      <c r="H434" s="52">
        <v>44683.430868055555</v>
      </c>
      <c r="I434" s="50"/>
      <c r="J434" s="50"/>
      <c r="K434" s="50"/>
      <c r="L434" s="50"/>
      <c r="M434" s="50" t="s">
        <v>2807</v>
      </c>
      <c r="N434" s="50"/>
      <c r="O434" s="53" t="s">
        <v>60</v>
      </c>
      <c r="P434" s="55" t="s">
        <v>2808</v>
      </c>
      <c r="Q434" s="50">
        <v>3526.0</v>
      </c>
      <c r="R434" s="50">
        <v>361.0</v>
      </c>
      <c r="S434" s="50"/>
      <c r="T434" s="56" t="s">
        <v>2809</v>
      </c>
      <c r="U434" s="53" t="s">
        <v>2810</v>
      </c>
    </row>
    <row r="435">
      <c r="A435" s="54" t="s">
        <v>2811</v>
      </c>
      <c r="B435" s="50" t="s">
        <v>2812</v>
      </c>
      <c r="C435" s="51" t="s">
        <v>2813</v>
      </c>
      <c r="D435" s="51"/>
      <c r="E435" s="51"/>
      <c r="F435" s="51"/>
      <c r="G435" s="50" t="s">
        <v>2814</v>
      </c>
      <c r="H435" s="52">
        <v>44683.43077546296</v>
      </c>
      <c r="I435" s="50"/>
      <c r="J435" s="50"/>
      <c r="K435" s="50"/>
      <c r="L435" s="50"/>
      <c r="M435" s="50" t="s">
        <v>2815</v>
      </c>
      <c r="N435" s="50"/>
      <c r="O435" s="53" t="s">
        <v>60</v>
      </c>
      <c r="P435" s="55" t="s">
        <v>2816</v>
      </c>
      <c r="Q435" s="50">
        <v>7.0</v>
      </c>
      <c r="R435" s="50">
        <v>7.0</v>
      </c>
      <c r="S435" s="50"/>
      <c r="T435" s="56" t="s">
        <v>2817</v>
      </c>
      <c r="U435" s="53" t="s">
        <v>2818</v>
      </c>
    </row>
    <row r="436">
      <c r="A436" s="54" t="s">
        <v>2819</v>
      </c>
      <c r="B436" s="50" t="s">
        <v>2820</v>
      </c>
      <c r="C436" s="51" t="s">
        <v>2821</v>
      </c>
      <c r="D436" s="51"/>
      <c r="E436" s="51"/>
      <c r="F436" s="51"/>
      <c r="G436" s="50" t="s">
        <v>2822</v>
      </c>
      <c r="H436" s="52">
        <v>44683.430347222224</v>
      </c>
      <c r="I436" s="50"/>
      <c r="J436" s="50"/>
      <c r="K436" s="50"/>
      <c r="L436" s="50"/>
      <c r="M436" s="50" t="s">
        <v>2823</v>
      </c>
      <c r="N436" s="50"/>
      <c r="O436" s="53" t="s">
        <v>70</v>
      </c>
      <c r="P436" s="55" t="s">
        <v>2824</v>
      </c>
      <c r="Q436" s="50">
        <v>2413.0</v>
      </c>
      <c r="R436" s="50">
        <v>605.0</v>
      </c>
      <c r="S436" s="50" t="s">
        <v>2825</v>
      </c>
      <c r="T436" s="56" t="s">
        <v>2826</v>
      </c>
      <c r="U436" s="53" t="s">
        <v>2827</v>
      </c>
    </row>
    <row r="437">
      <c r="A437" s="54" t="s">
        <v>2828</v>
      </c>
      <c r="B437" s="50" t="s">
        <v>2829</v>
      </c>
      <c r="C437" s="51" t="s">
        <v>1439</v>
      </c>
      <c r="D437" s="51"/>
      <c r="E437" s="51"/>
      <c r="F437" s="51"/>
      <c r="G437" s="50" t="s">
        <v>2830</v>
      </c>
      <c r="H437" s="52">
        <v>44683.43033564815</v>
      </c>
      <c r="I437" s="50"/>
      <c r="J437" s="50"/>
      <c r="K437" s="50"/>
      <c r="L437" s="50"/>
      <c r="M437" s="50" t="s">
        <v>2831</v>
      </c>
      <c r="N437" s="50"/>
      <c r="O437" s="53" t="s">
        <v>70</v>
      </c>
      <c r="P437" s="55" t="s">
        <v>2832</v>
      </c>
      <c r="Q437" s="50">
        <v>133.0</v>
      </c>
      <c r="R437" s="50">
        <v>514.0</v>
      </c>
      <c r="S437" s="50" t="s">
        <v>2833</v>
      </c>
      <c r="T437" s="56" t="s">
        <v>2834</v>
      </c>
      <c r="U437" s="53" t="s">
        <v>1443</v>
      </c>
    </row>
    <row r="438">
      <c r="A438" s="54" t="s">
        <v>2835</v>
      </c>
      <c r="B438" s="50" t="s">
        <v>2836</v>
      </c>
      <c r="C438" s="51" t="s">
        <v>2837</v>
      </c>
      <c r="D438" s="51"/>
      <c r="E438" s="51"/>
      <c r="F438" s="51"/>
      <c r="G438" s="50" t="s">
        <v>2838</v>
      </c>
      <c r="H438" s="52">
        <v>44683.43010416666</v>
      </c>
      <c r="I438" s="50"/>
      <c r="J438" s="50"/>
      <c r="K438" s="50"/>
      <c r="L438" s="50"/>
      <c r="M438" s="50" t="s">
        <v>2839</v>
      </c>
      <c r="N438" s="50"/>
      <c r="O438" s="53" t="s">
        <v>70</v>
      </c>
      <c r="P438" s="55" t="s">
        <v>2840</v>
      </c>
      <c r="Q438" s="50">
        <v>4692.0</v>
      </c>
      <c r="R438" s="50">
        <v>3614.0</v>
      </c>
      <c r="S438" s="50" t="s">
        <v>246</v>
      </c>
      <c r="T438" s="56" t="s">
        <v>2841</v>
      </c>
      <c r="U438" s="53" t="s">
        <v>2842</v>
      </c>
    </row>
    <row r="439">
      <c r="A439" s="54" t="s">
        <v>2843</v>
      </c>
      <c r="B439" s="50" t="s">
        <v>2844</v>
      </c>
      <c r="C439" s="51" t="s">
        <v>367</v>
      </c>
      <c r="D439" s="51"/>
      <c r="E439" s="51"/>
      <c r="F439" s="51"/>
      <c r="G439" s="50" t="s">
        <v>2845</v>
      </c>
      <c r="H439" s="52">
        <v>44683.42974537037</v>
      </c>
      <c r="I439" s="50"/>
      <c r="J439" s="50"/>
      <c r="K439" s="50"/>
      <c r="L439" s="50"/>
      <c r="M439" s="50" t="s">
        <v>2846</v>
      </c>
      <c r="N439" s="50"/>
      <c r="O439" s="53" t="s">
        <v>70</v>
      </c>
      <c r="P439" s="55" t="s">
        <v>2847</v>
      </c>
      <c r="Q439" s="50">
        <v>2313.0</v>
      </c>
      <c r="R439" s="50">
        <v>1995.0</v>
      </c>
      <c r="S439" s="50" t="s">
        <v>2848</v>
      </c>
      <c r="T439" s="56" t="s">
        <v>2849</v>
      </c>
      <c r="U439" s="53" t="s">
        <v>370</v>
      </c>
    </row>
    <row r="440">
      <c r="A440" s="54" t="s">
        <v>2850</v>
      </c>
      <c r="B440" s="50" t="s">
        <v>2851</v>
      </c>
      <c r="C440" s="51" t="s">
        <v>329</v>
      </c>
      <c r="D440" s="51"/>
      <c r="E440" s="51"/>
      <c r="F440" s="51"/>
      <c r="G440" s="50" t="s">
        <v>2852</v>
      </c>
      <c r="H440" s="52">
        <v>44683.4296875</v>
      </c>
      <c r="I440" s="50"/>
      <c r="J440" s="50"/>
      <c r="K440" s="50"/>
      <c r="L440" s="50"/>
      <c r="M440" s="50" t="s">
        <v>2853</v>
      </c>
      <c r="N440" s="50"/>
      <c r="O440" s="53" t="s">
        <v>217</v>
      </c>
      <c r="P440" s="55" t="s">
        <v>2854</v>
      </c>
      <c r="Q440" s="50">
        <v>1796.0</v>
      </c>
      <c r="R440" s="50">
        <v>2119.0</v>
      </c>
      <c r="S440" s="50"/>
      <c r="T440" s="56" t="s">
        <v>2855</v>
      </c>
      <c r="U440" s="53" t="s">
        <v>332</v>
      </c>
    </row>
    <row r="441">
      <c r="A441" s="54" t="s">
        <v>2856</v>
      </c>
      <c r="B441" s="50" t="s">
        <v>1676</v>
      </c>
      <c r="C441" s="51" t="s">
        <v>2160</v>
      </c>
      <c r="D441" s="51"/>
      <c r="E441" s="51"/>
      <c r="F441" s="51"/>
      <c r="G441" s="50" t="s">
        <v>2857</v>
      </c>
      <c r="H441" s="52">
        <v>44683.42943287037</v>
      </c>
      <c r="I441" s="50"/>
      <c r="J441" s="50"/>
      <c r="K441" s="50"/>
      <c r="L441" s="50"/>
      <c r="M441" s="50" t="s">
        <v>1678</v>
      </c>
      <c r="N441" s="50"/>
      <c r="O441" s="53" t="s">
        <v>60</v>
      </c>
      <c r="P441" s="55" t="s">
        <v>1679</v>
      </c>
      <c r="Q441" s="50">
        <v>8438.0</v>
      </c>
      <c r="R441" s="50">
        <v>8082.0</v>
      </c>
      <c r="S441" s="50" t="s">
        <v>219</v>
      </c>
      <c r="T441" s="56" t="s">
        <v>2858</v>
      </c>
      <c r="U441" s="53" t="s">
        <v>2163</v>
      </c>
    </row>
    <row r="442">
      <c r="A442" s="54" t="s">
        <v>2859</v>
      </c>
      <c r="B442" s="50" t="s">
        <v>2860</v>
      </c>
      <c r="C442" s="51" t="s">
        <v>2861</v>
      </c>
      <c r="D442" s="51"/>
      <c r="E442" s="51"/>
      <c r="F442" s="51"/>
      <c r="G442" s="50" t="s">
        <v>2862</v>
      </c>
      <c r="H442" s="52">
        <v>44683.429398148146</v>
      </c>
      <c r="I442" s="50"/>
      <c r="J442" s="50"/>
      <c r="K442" s="50"/>
      <c r="L442" s="50"/>
      <c r="M442" s="50" t="s">
        <v>2863</v>
      </c>
      <c r="N442" s="50"/>
      <c r="O442" s="53" t="s">
        <v>92</v>
      </c>
      <c r="P442" s="55" t="s">
        <v>2864</v>
      </c>
      <c r="Q442" s="50">
        <v>74.0</v>
      </c>
      <c r="R442" s="50">
        <v>432.0</v>
      </c>
      <c r="S442" s="50"/>
      <c r="T442" s="56" t="s">
        <v>2865</v>
      </c>
      <c r="U442" s="53" t="s">
        <v>2866</v>
      </c>
    </row>
    <row r="443">
      <c r="A443" s="54" t="s">
        <v>2867</v>
      </c>
      <c r="B443" s="50" t="s">
        <v>2868</v>
      </c>
      <c r="C443" s="51" t="s">
        <v>2869</v>
      </c>
      <c r="D443" s="51"/>
      <c r="E443" s="51"/>
      <c r="F443" s="51"/>
      <c r="G443" s="50" t="s">
        <v>2862</v>
      </c>
      <c r="H443" s="52">
        <v>44683.429398148146</v>
      </c>
      <c r="I443" s="50"/>
      <c r="J443" s="50"/>
      <c r="K443" s="50"/>
      <c r="L443" s="50"/>
      <c r="M443" s="50" t="s">
        <v>2870</v>
      </c>
      <c r="N443" s="50"/>
      <c r="O443" s="53" t="s">
        <v>217</v>
      </c>
      <c r="P443" s="55" t="s">
        <v>2871</v>
      </c>
      <c r="Q443" s="50">
        <v>395.0</v>
      </c>
      <c r="R443" s="50">
        <v>391.0</v>
      </c>
      <c r="S443" s="50" t="s">
        <v>2872</v>
      </c>
      <c r="T443" s="56" t="s">
        <v>2873</v>
      </c>
      <c r="U443" s="53" t="s">
        <v>2874</v>
      </c>
    </row>
    <row r="444">
      <c r="A444" s="54" t="s">
        <v>2875</v>
      </c>
      <c r="B444" s="50" t="s">
        <v>2876</v>
      </c>
      <c r="C444" s="51" t="s">
        <v>2877</v>
      </c>
      <c r="D444" s="51"/>
      <c r="E444" s="51"/>
      <c r="F444" s="51"/>
      <c r="G444" s="50" t="s">
        <v>2878</v>
      </c>
      <c r="H444" s="52">
        <v>44683.42938657408</v>
      </c>
      <c r="I444" s="50"/>
      <c r="J444" s="50"/>
      <c r="K444" s="50"/>
      <c r="L444" s="50"/>
      <c r="M444" s="50" t="s">
        <v>2879</v>
      </c>
      <c r="N444" s="50"/>
      <c r="O444" s="53" t="s">
        <v>92</v>
      </c>
      <c r="P444" s="55" t="s">
        <v>2880</v>
      </c>
      <c r="Q444" s="50">
        <v>422.0</v>
      </c>
      <c r="R444" s="50">
        <v>1910.0</v>
      </c>
      <c r="S444" s="50" t="s">
        <v>1418</v>
      </c>
      <c r="T444" s="56" t="s">
        <v>2881</v>
      </c>
      <c r="U444" s="53" t="s">
        <v>2882</v>
      </c>
    </row>
    <row r="445">
      <c r="A445" s="54" t="s">
        <v>2883</v>
      </c>
      <c r="B445" s="50" t="s">
        <v>2884</v>
      </c>
      <c r="C445" s="51" t="s">
        <v>2885</v>
      </c>
      <c r="D445" s="51"/>
      <c r="E445" s="51"/>
      <c r="F445" s="51"/>
      <c r="G445" s="50" t="s">
        <v>2886</v>
      </c>
      <c r="H445" s="52">
        <v>44683.42931712963</v>
      </c>
      <c r="I445" s="50"/>
      <c r="J445" s="50"/>
      <c r="K445" s="50"/>
      <c r="L445" s="50"/>
      <c r="M445" s="50" t="s">
        <v>2887</v>
      </c>
      <c r="N445" s="50"/>
      <c r="O445" s="53" t="s">
        <v>92</v>
      </c>
      <c r="P445" s="55" t="s">
        <v>2888</v>
      </c>
      <c r="Q445" s="50">
        <v>420.0</v>
      </c>
      <c r="R445" s="50">
        <v>549.0</v>
      </c>
      <c r="S445" s="50" t="s">
        <v>2079</v>
      </c>
      <c r="T445" s="56" t="s">
        <v>2889</v>
      </c>
      <c r="U445" s="53" t="s">
        <v>2890</v>
      </c>
    </row>
    <row r="446">
      <c r="A446" s="54" t="s">
        <v>2891</v>
      </c>
      <c r="B446" s="50" t="s">
        <v>2892</v>
      </c>
      <c r="C446" s="51" t="s">
        <v>367</v>
      </c>
      <c r="D446" s="51"/>
      <c r="E446" s="51"/>
      <c r="F446" s="51"/>
      <c r="G446" s="50" t="s">
        <v>2893</v>
      </c>
      <c r="H446" s="52">
        <v>44683.429143518515</v>
      </c>
      <c r="I446" s="50"/>
      <c r="J446" s="50"/>
      <c r="K446" s="50"/>
      <c r="L446" s="50"/>
      <c r="M446" s="50" t="s">
        <v>2894</v>
      </c>
      <c r="N446" s="50"/>
      <c r="O446" s="53" t="s">
        <v>70</v>
      </c>
      <c r="P446" s="55" t="s">
        <v>2895</v>
      </c>
      <c r="Q446" s="50">
        <v>572.0</v>
      </c>
      <c r="R446" s="50">
        <v>2366.0</v>
      </c>
      <c r="S446" s="50" t="s">
        <v>2896</v>
      </c>
      <c r="T446" s="56" t="s">
        <v>2897</v>
      </c>
      <c r="U446" s="53" t="s">
        <v>370</v>
      </c>
    </row>
    <row r="447">
      <c r="A447" s="54" t="s">
        <v>2898</v>
      </c>
      <c r="B447" s="50" t="s">
        <v>2899</v>
      </c>
      <c r="C447" s="51" t="s">
        <v>2900</v>
      </c>
      <c r="D447" s="51"/>
      <c r="E447" s="51"/>
      <c r="F447" s="51"/>
      <c r="G447" s="50" t="s">
        <v>2901</v>
      </c>
      <c r="H447" s="52">
        <v>44683.42912037037</v>
      </c>
      <c r="I447" s="50"/>
      <c r="J447" s="50"/>
      <c r="K447" s="50"/>
      <c r="L447" s="50"/>
      <c r="M447" s="50" t="s">
        <v>2902</v>
      </c>
      <c r="N447" s="50"/>
      <c r="O447" s="53" t="s">
        <v>92</v>
      </c>
      <c r="P447" s="55" t="s">
        <v>2903</v>
      </c>
      <c r="Q447" s="50">
        <v>84.0</v>
      </c>
      <c r="R447" s="50">
        <v>485.0</v>
      </c>
      <c r="S447" s="50" t="s">
        <v>2904</v>
      </c>
      <c r="T447" s="56" t="s">
        <v>2905</v>
      </c>
      <c r="U447" s="53" t="s">
        <v>2906</v>
      </c>
    </row>
    <row r="448">
      <c r="A448" s="54" t="s">
        <v>2907</v>
      </c>
      <c r="B448" s="50" t="s">
        <v>2908</v>
      </c>
      <c r="C448" s="51" t="s">
        <v>2909</v>
      </c>
      <c r="D448" s="51"/>
      <c r="E448" s="51"/>
      <c r="F448" s="51"/>
      <c r="G448" s="50" t="s">
        <v>2910</v>
      </c>
      <c r="H448" s="52">
        <v>44683.42909722222</v>
      </c>
      <c r="I448" s="50"/>
      <c r="J448" s="50"/>
      <c r="K448" s="50" t="s">
        <v>2911</v>
      </c>
      <c r="L448" s="50" t="s">
        <v>2912</v>
      </c>
      <c r="M448" s="50" t="s">
        <v>2913</v>
      </c>
      <c r="N448" s="50" t="s">
        <v>2914</v>
      </c>
      <c r="O448" s="53" t="s">
        <v>60</v>
      </c>
      <c r="P448" s="55" t="s">
        <v>2915</v>
      </c>
      <c r="Q448" s="50">
        <v>3572.0</v>
      </c>
      <c r="R448" s="50">
        <v>4997.0</v>
      </c>
      <c r="S448" s="50" t="s">
        <v>379</v>
      </c>
      <c r="T448" s="56" t="s">
        <v>2916</v>
      </c>
      <c r="U448" s="53" t="s">
        <v>2917</v>
      </c>
    </row>
    <row r="449">
      <c r="A449" s="54" t="s">
        <v>2918</v>
      </c>
      <c r="B449" s="50" t="s">
        <v>2919</v>
      </c>
      <c r="C449" s="51" t="s">
        <v>2920</v>
      </c>
      <c r="D449" s="51"/>
      <c r="E449" s="51"/>
      <c r="F449" s="51"/>
      <c r="G449" s="50" t="s">
        <v>2921</v>
      </c>
      <c r="H449" s="52">
        <v>44683.428935185184</v>
      </c>
      <c r="I449" s="50"/>
      <c r="J449" s="50"/>
      <c r="K449" s="50"/>
      <c r="L449" s="50"/>
      <c r="M449" s="50" t="s">
        <v>2922</v>
      </c>
      <c r="N449" s="50"/>
      <c r="O449" s="53" t="s">
        <v>70</v>
      </c>
      <c r="P449" s="55" t="s">
        <v>2923</v>
      </c>
      <c r="Q449" s="50">
        <v>632.0</v>
      </c>
      <c r="R449" s="50">
        <v>735.0</v>
      </c>
      <c r="S449" s="50"/>
      <c r="T449" s="56" t="s">
        <v>2924</v>
      </c>
      <c r="U449" s="53" t="s">
        <v>2925</v>
      </c>
    </row>
    <row r="450">
      <c r="A450" s="54" t="s">
        <v>2926</v>
      </c>
      <c r="B450" s="50" t="s">
        <v>2927</v>
      </c>
      <c r="C450" s="51" t="s">
        <v>2928</v>
      </c>
      <c r="D450" s="51"/>
      <c r="E450" s="51"/>
      <c r="F450" s="51"/>
      <c r="G450" s="50" t="s">
        <v>2929</v>
      </c>
      <c r="H450" s="52">
        <v>44683.42892361111</v>
      </c>
      <c r="I450" s="50"/>
      <c r="J450" s="50"/>
      <c r="K450" s="50"/>
      <c r="L450" s="50"/>
      <c r="M450" s="50" t="s">
        <v>2930</v>
      </c>
      <c r="N450" s="50"/>
      <c r="O450" s="53" t="s">
        <v>70</v>
      </c>
      <c r="P450" s="55" t="s">
        <v>2931</v>
      </c>
      <c r="Q450" s="50">
        <v>1080.0</v>
      </c>
      <c r="R450" s="50">
        <v>2009.0</v>
      </c>
      <c r="S450" s="50" t="s">
        <v>2932</v>
      </c>
      <c r="T450" s="56" t="s">
        <v>2933</v>
      </c>
      <c r="U450" s="53" t="s">
        <v>2934</v>
      </c>
    </row>
    <row r="451">
      <c r="A451" s="54" t="s">
        <v>2935</v>
      </c>
      <c r="B451" s="50" t="s">
        <v>2936</v>
      </c>
      <c r="C451" s="51" t="s">
        <v>687</v>
      </c>
      <c r="D451" s="51"/>
      <c r="E451" s="51"/>
      <c r="F451" s="51"/>
      <c r="G451" s="50" t="s">
        <v>2937</v>
      </c>
      <c r="H451" s="52">
        <v>44683.42883101852</v>
      </c>
      <c r="I451" s="50"/>
      <c r="J451" s="50"/>
      <c r="K451" s="50"/>
      <c r="L451" s="50"/>
      <c r="M451" s="50" t="s">
        <v>2938</v>
      </c>
      <c r="N451" s="50"/>
      <c r="O451" s="53" t="s">
        <v>92</v>
      </c>
      <c r="P451" s="55" t="s">
        <v>2939</v>
      </c>
      <c r="Q451" s="50">
        <v>3971.0</v>
      </c>
      <c r="R451" s="50">
        <v>4985.0</v>
      </c>
      <c r="S451" s="50" t="s">
        <v>129</v>
      </c>
      <c r="T451" s="56" t="s">
        <v>2940</v>
      </c>
      <c r="U451" s="53" t="s">
        <v>691</v>
      </c>
    </row>
    <row r="452">
      <c r="A452" s="54" t="s">
        <v>2941</v>
      </c>
      <c r="B452" s="50" t="s">
        <v>2942</v>
      </c>
      <c r="C452" s="51" t="s">
        <v>2943</v>
      </c>
      <c r="D452" s="51"/>
      <c r="E452" s="51"/>
      <c r="F452" s="51"/>
      <c r="G452" s="50" t="s">
        <v>2944</v>
      </c>
      <c r="H452" s="52">
        <v>44683.42880787037</v>
      </c>
      <c r="I452" s="50"/>
      <c r="J452" s="50"/>
      <c r="K452" s="50"/>
      <c r="L452" s="50"/>
      <c r="M452" s="50" t="s">
        <v>2945</v>
      </c>
      <c r="N452" s="50"/>
      <c r="O452" s="53" t="s">
        <v>1070</v>
      </c>
      <c r="P452" s="55" t="s">
        <v>2946</v>
      </c>
      <c r="Q452" s="50">
        <v>693.0</v>
      </c>
      <c r="R452" s="50">
        <v>1177.0</v>
      </c>
      <c r="S452" s="50" t="s">
        <v>2947</v>
      </c>
      <c r="T452" s="56" t="s">
        <v>2948</v>
      </c>
      <c r="U452" s="53" t="s">
        <v>2949</v>
      </c>
    </row>
    <row r="453">
      <c r="A453" s="54" t="s">
        <v>2950</v>
      </c>
      <c r="B453" s="50" t="s">
        <v>2951</v>
      </c>
      <c r="C453" s="51" t="s">
        <v>2952</v>
      </c>
      <c r="D453" s="51"/>
      <c r="E453" s="51"/>
      <c r="F453" s="51"/>
      <c r="G453" s="50" t="s">
        <v>2953</v>
      </c>
      <c r="H453" s="52">
        <v>44683.42873842592</v>
      </c>
      <c r="I453" s="50"/>
      <c r="J453" s="50"/>
      <c r="K453" s="50"/>
      <c r="L453" s="50"/>
      <c r="M453" s="50" t="s">
        <v>2954</v>
      </c>
      <c r="N453" s="50"/>
      <c r="O453" s="53" t="s">
        <v>70</v>
      </c>
      <c r="P453" s="55" t="s">
        <v>2955</v>
      </c>
      <c r="Q453" s="50">
        <v>351.0</v>
      </c>
      <c r="R453" s="50">
        <v>404.0</v>
      </c>
      <c r="S453" s="50" t="s">
        <v>2956</v>
      </c>
      <c r="T453" s="56" t="s">
        <v>2957</v>
      </c>
      <c r="U453" s="53" t="s">
        <v>2958</v>
      </c>
    </row>
    <row r="454">
      <c r="A454" s="54" t="s">
        <v>2959</v>
      </c>
      <c r="B454" s="50" t="s">
        <v>2960</v>
      </c>
      <c r="C454" s="51" t="s">
        <v>1972</v>
      </c>
      <c r="D454" s="51"/>
      <c r="E454" s="51"/>
      <c r="F454" s="51"/>
      <c r="G454" s="50" t="s">
        <v>2961</v>
      </c>
      <c r="H454" s="52">
        <v>44683.42853009259</v>
      </c>
      <c r="I454" s="50"/>
      <c r="J454" s="50"/>
      <c r="K454" s="50"/>
      <c r="L454" s="50"/>
      <c r="M454" s="50" t="s">
        <v>2962</v>
      </c>
      <c r="N454" s="50"/>
      <c r="O454" s="53" t="s">
        <v>92</v>
      </c>
      <c r="P454" s="55" t="s">
        <v>2963</v>
      </c>
      <c r="Q454" s="50">
        <v>7600.0</v>
      </c>
      <c r="R454" s="50">
        <v>7317.0</v>
      </c>
      <c r="S454" s="50" t="s">
        <v>379</v>
      </c>
      <c r="T454" s="56" t="s">
        <v>2964</v>
      </c>
      <c r="U454" s="53" t="s">
        <v>1977</v>
      </c>
    </row>
    <row r="455">
      <c r="A455" s="54" t="s">
        <v>2965</v>
      </c>
      <c r="B455" s="50" t="s">
        <v>2966</v>
      </c>
      <c r="C455" s="51" t="s">
        <v>367</v>
      </c>
      <c r="D455" s="51"/>
      <c r="E455" s="51"/>
      <c r="F455" s="51"/>
      <c r="G455" s="50" t="s">
        <v>2967</v>
      </c>
      <c r="H455" s="52">
        <v>44683.428495370375</v>
      </c>
      <c r="I455" s="50"/>
      <c r="J455" s="50"/>
      <c r="K455" s="50"/>
      <c r="L455" s="50"/>
      <c r="M455" s="50" t="s">
        <v>2968</v>
      </c>
      <c r="N455" s="50"/>
      <c r="O455" s="53" t="s">
        <v>70</v>
      </c>
      <c r="P455" s="55" t="s">
        <v>2969</v>
      </c>
      <c r="Q455" s="50">
        <v>6568.0</v>
      </c>
      <c r="R455" s="50">
        <v>498.0</v>
      </c>
      <c r="S455" s="50" t="s">
        <v>129</v>
      </c>
      <c r="T455" s="56" t="s">
        <v>2970</v>
      </c>
      <c r="U455" s="53" t="s">
        <v>370</v>
      </c>
    </row>
    <row r="456">
      <c r="A456" s="54" t="s">
        <v>2971</v>
      </c>
      <c r="B456" s="50" t="s">
        <v>2972</v>
      </c>
      <c r="C456" s="51" t="s">
        <v>2973</v>
      </c>
      <c r="D456" s="51"/>
      <c r="E456" s="51"/>
      <c r="F456" s="51"/>
      <c r="G456" s="50" t="s">
        <v>2974</v>
      </c>
      <c r="H456" s="52">
        <v>44683.42842592593</v>
      </c>
      <c r="I456" s="50"/>
      <c r="J456" s="50"/>
      <c r="K456" s="50"/>
      <c r="L456" s="50"/>
      <c r="M456" s="50" t="s">
        <v>2975</v>
      </c>
      <c r="N456" s="50"/>
      <c r="O456" s="53" t="s">
        <v>70</v>
      </c>
      <c r="P456" s="55" t="s">
        <v>2976</v>
      </c>
      <c r="Q456" s="50">
        <v>2440.0</v>
      </c>
      <c r="R456" s="50">
        <v>2184.0</v>
      </c>
      <c r="S456" s="50"/>
      <c r="T456" s="56" t="s">
        <v>2977</v>
      </c>
      <c r="U456" s="53" t="s">
        <v>2978</v>
      </c>
    </row>
    <row r="457">
      <c r="A457" s="54" t="s">
        <v>2979</v>
      </c>
      <c r="B457" s="50" t="s">
        <v>2980</v>
      </c>
      <c r="C457" s="51" t="s">
        <v>367</v>
      </c>
      <c r="D457" s="51"/>
      <c r="E457" s="51"/>
      <c r="F457" s="51"/>
      <c r="G457" s="50" t="s">
        <v>2981</v>
      </c>
      <c r="H457" s="52">
        <v>44683.42834490741</v>
      </c>
      <c r="I457" s="50"/>
      <c r="J457" s="50"/>
      <c r="K457" s="50"/>
      <c r="L457" s="50"/>
      <c r="M457" s="50" t="s">
        <v>2982</v>
      </c>
      <c r="N457" s="50"/>
      <c r="O457" s="53" t="s">
        <v>92</v>
      </c>
      <c r="P457" s="55" t="s">
        <v>2983</v>
      </c>
      <c r="Q457" s="50">
        <v>2497.0</v>
      </c>
      <c r="R457" s="50">
        <v>3511.0</v>
      </c>
      <c r="S457" s="50" t="s">
        <v>2984</v>
      </c>
      <c r="T457" s="56" t="s">
        <v>2985</v>
      </c>
      <c r="U457" s="53" t="s">
        <v>370</v>
      </c>
    </row>
    <row r="458">
      <c r="A458" s="54" t="s">
        <v>2986</v>
      </c>
      <c r="B458" s="50" t="s">
        <v>2987</v>
      </c>
      <c r="C458" s="51" t="s">
        <v>367</v>
      </c>
      <c r="D458" s="51"/>
      <c r="E458" s="51"/>
      <c r="F458" s="51"/>
      <c r="G458" s="50" t="s">
        <v>2988</v>
      </c>
      <c r="H458" s="52">
        <v>44683.428148148145</v>
      </c>
      <c r="I458" s="50"/>
      <c r="J458" s="50"/>
      <c r="K458" s="50"/>
      <c r="L458" s="50"/>
      <c r="M458" s="50" t="s">
        <v>2989</v>
      </c>
      <c r="N458" s="50"/>
      <c r="O458" s="53" t="s">
        <v>92</v>
      </c>
      <c r="P458" s="55" t="s">
        <v>2990</v>
      </c>
      <c r="Q458" s="50">
        <v>1577.0</v>
      </c>
      <c r="R458" s="50">
        <v>1302.0</v>
      </c>
      <c r="S458" s="50" t="s">
        <v>2991</v>
      </c>
      <c r="T458" s="56" t="s">
        <v>2992</v>
      </c>
      <c r="U458" s="53" t="s">
        <v>370</v>
      </c>
    </row>
    <row r="459">
      <c r="A459" s="54" t="s">
        <v>2993</v>
      </c>
      <c r="B459" s="50" t="s">
        <v>2994</v>
      </c>
      <c r="C459" s="51" t="s">
        <v>316</v>
      </c>
      <c r="D459" s="51"/>
      <c r="E459" s="51"/>
      <c r="F459" s="51"/>
      <c r="G459" s="50" t="s">
        <v>2995</v>
      </c>
      <c r="H459" s="52">
        <v>44683.428125</v>
      </c>
      <c r="I459" s="50"/>
      <c r="J459" s="50"/>
      <c r="K459" s="50"/>
      <c r="L459" s="50"/>
      <c r="M459" s="50" t="s">
        <v>2996</v>
      </c>
      <c r="N459" s="50"/>
      <c r="O459" s="53" t="s">
        <v>60</v>
      </c>
      <c r="P459" s="55" t="s">
        <v>2997</v>
      </c>
      <c r="Q459" s="50">
        <v>1406.0</v>
      </c>
      <c r="R459" s="50">
        <v>2008.0</v>
      </c>
      <c r="S459" s="50" t="s">
        <v>2998</v>
      </c>
      <c r="T459" s="56" t="s">
        <v>2999</v>
      </c>
      <c r="U459" s="53" t="s">
        <v>322</v>
      </c>
    </row>
    <row r="460">
      <c r="A460" s="54" t="s">
        <v>3000</v>
      </c>
      <c r="B460" s="50" t="s">
        <v>3001</v>
      </c>
      <c r="C460" s="51" t="s">
        <v>3002</v>
      </c>
      <c r="D460" s="51"/>
      <c r="E460" s="51"/>
      <c r="F460" s="51"/>
      <c r="G460" s="50" t="s">
        <v>3003</v>
      </c>
      <c r="H460" s="52">
        <v>44683.42805555556</v>
      </c>
      <c r="I460" s="50"/>
      <c r="J460" s="50"/>
      <c r="K460" s="50" t="s">
        <v>3004</v>
      </c>
      <c r="L460" s="50" t="s">
        <v>3005</v>
      </c>
      <c r="M460" s="50" t="s">
        <v>3006</v>
      </c>
      <c r="N460" s="50" t="s">
        <v>3007</v>
      </c>
      <c r="O460" s="53" t="s">
        <v>60</v>
      </c>
      <c r="P460" s="55" t="s">
        <v>3008</v>
      </c>
      <c r="Q460" s="50">
        <v>728.0</v>
      </c>
      <c r="R460" s="50">
        <v>349.0</v>
      </c>
      <c r="S460" s="50" t="s">
        <v>246</v>
      </c>
      <c r="T460" s="56" t="s">
        <v>3009</v>
      </c>
      <c r="U460" s="53" t="s">
        <v>3010</v>
      </c>
    </row>
    <row r="461">
      <c r="A461" s="54" t="s">
        <v>3011</v>
      </c>
      <c r="B461" s="50" t="s">
        <v>3012</v>
      </c>
      <c r="C461" s="51" t="s">
        <v>3013</v>
      </c>
      <c r="D461" s="51"/>
      <c r="E461" s="51"/>
      <c r="F461" s="51"/>
      <c r="G461" s="50" t="s">
        <v>3014</v>
      </c>
      <c r="H461" s="52">
        <v>44683.42797453704</v>
      </c>
      <c r="I461" s="50"/>
      <c r="J461" s="50"/>
      <c r="K461" s="50" t="s">
        <v>3015</v>
      </c>
      <c r="L461" s="50" t="s">
        <v>3012</v>
      </c>
      <c r="M461" s="50" t="s">
        <v>3015</v>
      </c>
      <c r="N461" s="50" t="s">
        <v>3016</v>
      </c>
      <c r="O461" s="53" t="s">
        <v>92</v>
      </c>
      <c r="P461" s="55" t="s">
        <v>3017</v>
      </c>
      <c r="Q461" s="50">
        <v>5100.0</v>
      </c>
      <c r="R461" s="50">
        <v>2808.0</v>
      </c>
      <c r="S461" s="50" t="s">
        <v>2833</v>
      </c>
      <c r="T461" s="56" t="s">
        <v>3018</v>
      </c>
      <c r="U461" s="53" t="s">
        <v>3019</v>
      </c>
    </row>
    <row r="462">
      <c r="A462" s="54" t="s">
        <v>3020</v>
      </c>
      <c r="B462" s="50" t="s">
        <v>2994</v>
      </c>
      <c r="C462" s="51" t="s">
        <v>367</v>
      </c>
      <c r="D462" s="51"/>
      <c r="E462" s="51"/>
      <c r="F462" s="51"/>
      <c r="G462" s="50" t="s">
        <v>3021</v>
      </c>
      <c r="H462" s="52">
        <v>44683.427893518514</v>
      </c>
      <c r="I462" s="50"/>
      <c r="J462" s="50"/>
      <c r="K462" s="50"/>
      <c r="L462" s="50"/>
      <c r="M462" s="50" t="s">
        <v>2996</v>
      </c>
      <c r="N462" s="50"/>
      <c r="O462" s="53" t="s">
        <v>60</v>
      </c>
      <c r="P462" s="55" t="s">
        <v>2997</v>
      </c>
      <c r="Q462" s="50">
        <v>1406.0</v>
      </c>
      <c r="R462" s="50">
        <v>2008.0</v>
      </c>
      <c r="S462" s="50" t="s">
        <v>2998</v>
      </c>
      <c r="T462" s="56" t="s">
        <v>3022</v>
      </c>
      <c r="U462" s="53" t="s">
        <v>370</v>
      </c>
    </row>
    <row r="463">
      <c r="A463" s="54" t="s">
        <v>3023</v>
      </c>
      <c r="B463" s="50" t="s">
        <v>3024</v>
      </c>
      <c r="C463" s="51" t="s">
        <v>3025</v>
      </c>
      <c r="D463" s="51"/>
      <c r="E463" s="51"/>
      <c r="F463" s="51"/>
      <c r="G463" s="50" t="s">
        <v>3021</v>
      </c>
      <c r="H463" s="52">
        <v>44683.427893518514</v>
      </c>
      <c r="I463" s="50"/>
      <c r="J463" s="50"/>
      <c r="K463" s="50"/>
      <c r="L463" s="50"/>
      <c r="M463" s="50" t="s">
        <v>3026</v>
      </c>
      <c r="N463" s="50"/>
      <c r="O463" s="53" t="s">
        <v>92</v>
      </c>
      <c r="P463" s="55" t="s">
        <v>3027</v>
      </c>
      <c r="Q463" s="50">
        <v>21.0</v>
      </c>
      <c r="R463" s="50">
        <v>41.0</v>
      </c>
      <c r="S463" s="50"/>
      <c r="T463" s="56" t="s">
        <v>3028</v>
      </c>
      <c r="U463" s="53" t="s">
        <v>3029</v>
      </c>
    </row>
    <row r="464">
      <c r="A464" s="54" t="s">
        <v>3030</v>
      </c>
      <c r="B464" s="50" t="s">
        <v>3031</v>
      </c>
      <c r="C464" s="51" t="s">
        <v>687</v>
      </c>
      <c r="D464" s="51"/>
      <c r="E464" s="51"/>
      <c r="F464" s="51"/>
      <c r="G464" s="50" t="s">
        <v>3032</v>
      </c>
      <c r="H464" s="52">
        <v>44683.427777777775</v>
      </c>
      <c r="I464" s="50"/>
      <c r="J464" s="50"/>
      <c r="K464" s="50"/>
      <c r="L464" s="50"/>
      <c r="M464" s="50" t="s">
        <v>3033</v>
      </c>
      <c r="N464" s="50"/>
      <c r="O464" s="53" t="s">
        <v>60</v>
      </c>
      <c r="P464" s="55" t="s">
        <v>3034</v>
      </c>
      <c r="Q464" s="50">
        <v>30.0</v>
      </c>
      <c r="R464" s="50">
        <v>17.0</v>
      </c>
      <c r="S464" s="50"/>
      <c r="T464" s="56" t="s">
        <v>3035</v>
      </c>
      <c r="U464" s="53" t="s">
        <v>691</v>
      </c>
    </row>
    <row r="465">
      <c r="A465" s="54" t="s">
        <v>3036</v>
      </c>
      <c r="B465" s="50" t="s">
        <v>3037</v>
      </c>
      <c r="C465" s="51" t="s">
        <v>316</v>
      </c>
      <c r="D465" s="51"/>
      <c r="E465" s="51"/>
      <c r="F465" s="51"/>
      <c r="G465" s="50" t="s">
        <v>3038</v>
      </c>
      <c r="H465" s="52">
        <v>44683.42770833333</v>
      </c>
      <c r="I465" s="50"/>
      <c r="J465" s="50"/>
      <c r="K465" s="50"/>
      <c r="L465" s="50"/>
      <c r="M465" s="50" t="s">
        <v>3039</v>
      </c>
      <c r="N465" s="50"/>
      <c r="O465" s="53" t="s">
        <v>92</v>
      </c>
      <c r="P465" s="55" t="s">
        <v>3040</v>
      </c>
      <c r="Q465" s="50">
        <v>2348.0</v>
      </c>
      <c r="R465" s="50">
        <v>4985.0</v>
      </c>
      <c r="S465" s="50" t="s">
        <v>3041</v>
      </c>
      <c r="T465" s="56" t="s">
        <v>3042</v>
      </c>
      <c r="U465" s="53" t="s">
        <v>322</v>
      </c>
    </row>
    <row r="466">
      <c r="A466" s="54" t="s">
        <v>3043</v>
      </c>
      <c r="B466" s="50" t="s">
        <v>3044</v>
      </c>
      <c r="C466" s="51" t="s">
        <v>367</v>
      </c>
      <c r="D466" s="51"/>
      <c r="E466" s="51"/>
      <c r="F466" s="51"/>
      <c r="G466" s="50" t="s">
        <v>3045</v>
      </c>
      <c r="H466" s="52">
        <v>44683.427569444444</v>
      </c>
      <c r="I466" s="50"/>
      <c r="J466" s="50"/>
      <c r="K466" s="50"/>
      <c r="L466" s="50"/>
      <c r="M466" s="50" t="s">
        <v>3046</v>
      </c>
      <c r="N466" s="50"/>
      <c r="O466" s="53" t="s">
        <v>70</v>
      </c>
      <c r="P466" s="55" t="s">
        <v>3047</v>
      </c>
      <c r="Q466" s="50">
        <v>502.0</v>
      </c>
      <c r="R466" s="50">
        <v>2041.0</v>
      </c>
      <c r="S466" s="50" t="s">
        <v>3048</v>
      </c>
      <c r="T466" s="56" t="s">
        <v>3049</v>
      </c>
      <c r="U466" s="53" t="s">
        <v>370</v>
      </c>
    </row>
    <row r="467">
      <c r="A467" s="54" t="s">
        <v>3050</v>
      </c>
      <c r="B467" s="50" t="s">
        <v>3051</v>
      </c>
      <c r="C467" s="51" t="s">
        <v>3052</v>
      </c>
      <c r="D467" s="51"/>
      <c r="E467" s="51"/>
      <c r="F467" s="51"/>
      <c r="G467" s="50" t="s">
        <v>3045</v>
      </c>
      <c r="H467" s="52">
        <v>44683.427569444444</v>
      </c>
      <c r="I467" s="50"/>
      <c r="J467" s="50"/>
      <c r="K467" s="50"/>
      <c r="L467" s="50"/>
      <c r="M467" s="50" t="s">
        <v>3053</v>
      </c>
      <c r="N467" s="50"/>
      <c r="O467" s="53" t="s">
        <v>92</v>
      </c>
      <c r="P467" s="55" t="s">
        <v>3054</v>
      </c>
      <c r="Q467" s="50">
        <v>646.0</v>
      </c>
      <c r="R467" s="50">
        <v>1527.0</v>
      </c>
      <c r="S467" s="50" t="s">
        <v>3055</v>
      </c>
      <c r="T467" s="56" t="s">
        <v>3056</v>
      </c>
      <c r="U467" s="53" t="s">
        <v>3057</v>
      </c>
    </row>
    <row r="468">
      <c r="A468" s="54" t="s">
        <v>3058</v>
      </c>
      <c r="B468" s="50" t="s">
        <v>3059</v>
      </c>
      <c r="C468" s="51" t="s">
        <v>687</v>
      </c>
      <c r="D468" s="51"/>
      <c r="E468" s="51"/>
      <c r="F468" s="51"/>
      <c r="G468" s="50" t="s">
        <v>3060</v>
      </c>
      <c r="H468" s="52">
        <v>44683.4275462963</v>
      </c>
      <c r="I468" s="50"/>
      <c r="J468" s="50"/>
      <c r="K468" s="50"/>
      <c r="L468" s="50"/>
      <c r="M468" s="50" t="s">
        <v>3061</v>
      </c>
      <c r="N468" s="50"/>
      <c r="O468" s="53" t="s">
        <v>60</v>
      </c>
      <c r="P468" s="55" t="s">
        <v>354</v>
      </c>
      <c r="Q468" s="50">
        <v>69.0</v>
      </c>
      <c r="R468" s="50">
        <v>351.0</v>
      </c>
      <c r="S468" s="50"/>
      <c r="T468" s="56" t="s">
        <v>3062</v>
      </c>
      <c r="U468" s="53" t="s">
        <v>691</v>
      </c>
    </row>
    <row r="469">
      <c r="A469" s="54" t="s">
        <v>3063</v>
      </c>
      <c r="B469" s="50" t="s">
        <v>3064</v>
      </c>
      <c r="C469" s="51" t="s">
        <v>3065</v>
      </c>
      <c r="D469" s="51"/>
      <c r="E469" s="51"/>
      <c r="F469" s="51"/>
      <c r="G469" s="50" t="s">
        <v>3066</v>
      </c>
      <c r="H469" s="52">
        <v>44683.42733796296</v>
      </c>
      <c r="I469" s="50"/>
      <c r="J469" s="50"/>
      <c r="K469" s="50"/>
      <c r="L469" s="50"/>
      <c r="M469" s="50" t="s">
        <v>3067</v>
      </c>
      <c r="N469" s="50"/>
      <c r="O469" s="53" t="s">
        <v>60</v>
      </c>
      <c r="P469" s="55" t="s">
        <v>3068</v>
      </c>
      <c r="Q469" s="50">
        <v>11548.0</v>
      </c>
      <c r="R469" s="50">
        <v>2932.0</v>
      </c>
      <c r="S469" s="50" t="s">
        <v>658</v>
      </c>
      <c r="T469" s="56" t="s">
        <v>3069</v>
      </c>
      <c r="U469" s="53" t="s">
        <v>3070</v>
      </c>
    </row>
    <row r="470">
      <c r="A470" s="54" t="s">
        <v>3071</v>
      </c>
      <c r="B470" s="50" t="s">
        <v>3072</v>
      </c>
      <c r="C470" s="51" t="s">
        <v>3073</v>
      </c>
      <c r="D470" s="51"/>
      <c r="E470" s="51"/>
      <c r="F470" s="51"/>
      <c r="G470" s="50" t="s">
        <v>3074</v>
      </c>
      <c r="H470" s="52">
        <v>44683.42726851851</v>
      </c>
      <c r="I470" s="50"/>
      <c r="J470" s="50"/>
      <c r="K470" s="50"/>
      <c r="L470" s="50"/>
      <c r="M470" s="50" t="s">
        <v>3075</v>
      </c>
      <c r="N470" s="50"/>
      <c r="O470" s="53" t="s">
        <v>92</v>
      </c>
      <c r="P470" s="55" t="s">
        <v>3076</v>
      </c>
      <c r="Q470" s="50">
        <v>1163.0</v>
      </c>
      <c r="R470" s="50">
        <v>1308.0</v>
      </c>
      <c r="S470" s="50" t="s">
        <v>3077</v>
      </c>
      <c r="T470" s="56" t="s">
        <v>3078</v>
      </c>
      <c r="U470" s="53" t="s">
        <v>3079</v>
      </c>
    </row>
    <row r="471">
      <c r="A471" s="54" t="s">
        <v>3080</v>
      </c>
      <c r="B471" s="50" t="s">
        <v>3081</v>
      </c>
      <c r="C471" s="51" t="s">
        <v>367</v>
      </c>
      <c r="D471" s="51"/>
      <c r="E471" s="51"/>
      <c r="F471" s="51"/>
      <c r="G471" s="50" t="s">
        <v>3082</v>
      </c>
      <c r="H471" s="52">
        <v>44683.427245370374</v>
      </c>
      <c r="I471" s="50"/>
      <c r="J471" s="50"/>
      <c r="K471" s="50"/>
      <c r="L471" s="50"/>
      <c r="M471" s="50" t="s">
        <v>3083</v>
      </c>
      <c r="N471" s="50"/>
      <c r="O471" s="53" t="s">
        <v>70</v>
      </c>
      <c r="P471" s="55" t="s">
        <v>3084</v>
      </c>
      <c r="Q471" s="50">
        <v>216.0</v>
      </c>
      <c r="R471" s="50">
        <v>1282.0</v>
      </c>
      <c r="S471" s="50" t="s">
        <v>3085</v>
      </c>
      <c r="T471" s="56" t="s">
        <v>3086</v>
      </c>
      <c r="U471" s="53" t="s">
        <v>370</v>
      </c>
    </row>
    <row r="472">
      <c r="A472" s="54" t="s">
        <v>3087</v>
      </c>
      <c r="B472" s="50" t="s">
        <v>3088</v>
      </c>
      <c r="C472" s="51" t="s">
        <v>367</v>
      </c>
      <c r="D472" s="51"/>
      <c r="E472" s="51"/>
      <c r="F472" s="51"/>
      <c r="G472" s="50" t="s">
        <v>3089</v>
      </c>
      <c r="H472" s="52">
        <v>44683.4271875</v>
      </c>
      <c r="I472" s="50"/>
      <c r="J472" s="50"/>
      <c r="K472" s="50"/>
      <c r="L472" s="50"/>
      <c r="M472" s="50" t="s">
        <v>3090</v>
      </c>
      <c r="N472" s="50"/>
      <c r="O472" s="53" t="s">
        <v>60</v>
      </c>
      <c r="P472" s="55" t="s">
        <v>3091</v>
      </c>
      <c r="Q472" s="50">
        <v>7790.0</v>
      </c>
      <c r="R472" s="50">
        <v>7140.0</v>
      </c>
      <c r="S472" s="50"/>
      <c r="T472" s="56" t="s">
        <v>3092</v>
      </c>
      <c r="U472" s="53" t="s">
        <v>370</v>
      </c>
    </row>
    <row r="473">
      <c r="A473" s="54" t="s">
        <v>3093</v>
      </c>
      <c r="B473" s="50" t="s">
        <v>3094</v>
      </c>
      <c r="C473" s="51" t="s">
        <v>329</v>
      </c>
      <c r="D473" s="51"/>
      <c r="E473" s="51"/>
      <c r="F473" s="51"/>
      <c r="G473" s="50" t="s">
        <v>3095</v>
      </c>
      <c r="H473" s="52">
        <v>44683.42710648148</v>
      </c>
      <c r="I473" s="50"/>
      <c r="J473" s="50"/>
      <c r="K473" s="50"/>
      <c r="L473" s="50"/>
      <c r="M473" s="50" t="s">
        <v>3096</v>
      </c>
      <c r="N473" s="50"/>
      <c r="O473" s="53" t="s">
        <v>70</v>
      </c>
      <c r="P473" s="55" t="s">
        <v>3097</v>
      </c>
      <c r="Q473" s="50">
        <v>1372.0</v>
      </c>
      <c r="R473" s="50">
        <v>2643.0</v>
      </c>
      <c r="S473" s="50" t="s">
        <v>3098</v>
      </c>
      <c r="T473" s="56" t="s">
        <v>3099</v>
      </c>
      <c r="U473" s="53" t="s">
        <v>332</v>
      </c>
    </row>
    <row r="474">
      <c r="A474" s="54" t="s">
        <v>3100</v>
      </c>
      <c r="B474" s="50" t="s">
        <v>3101</v>
      </c>
      <c r="C474" s="51" t="s">
        <v>687</v>
      </c>
      <c r="D474" s="51"/>
      <c r="E474" s="51"/>
      <c r="F474" s="51"/>
      <c r="G474" s="50" t="s">
        <v>3102</v>
      </c>
      <c r="H474" s="52">
        <v>44683.42694444444</v>
      </c>
      <c r="I474" s="50"/>
      <c r="J474" s="50"/>
      <c r="K474" s="50"/>
      <c r="L474" s="50"/>
      <c r="M474" s="50" t="s">
        <v>3103</v>
      </c>
      <c r="N474" s="50"/>
      <c r="O474" s="53" t="s">
        <v>217</v>
      </c>
      <c r="P474" s="55" t="s">
        <v>354</v>
      </c>
      <c r="Q474" s="50">
        <v>416.0</v>
      </c>
      <c r="R474" s="50">
        <v>167.0</v>
      </c>
      <c r="S474" s="50"/>
      <c r="T474" s="56" t="s">
        <v>3104</v>
      </c>
      <c r="U474" s="53" t="s">
        <v>691</v>
      </c>
    </row>
    <row r="475">
      <c r="A475" s="54" t="s">
        <v>3105</v>
      </c>
      <c r="B475" s="50" t="s">
        <v>3106</v>
      </c>
      <c r="C475" s="51" t="s">
        <v>367</v>
      </c>
      <c r="D475" s="51"/>
      <c r="E475" s="51"/>
      <c r="F475" s="51"/>
      <c r="G475" s="50" t="s">
        <v>3107</v>
      </c>
      <c r="H475" s="52">
        <v>44683.426875000005</v>
      </c>
      <c r="I475" s="50"/>
      <c r="J475" s="50"/>
      <c r="K475" s="50"/>
      <c r="L475" s="50"/>
      <c r="M475" s="50" t="s">
        <v>3108</v>
      </c>
      <c r="N475" s="50"/>
      <c r="O475" s="53" t="s">
        <v>92</v>
      </c>
      <c r="P475" s="55" t="s">
        <v>3109</v>
      </c>
      <c r="Q475" s="50">
        <v>1742.0</v>
      </c>
      <c r="R475" s="50">
        <v>3152.0</v>
      </c>
      <c r="S475" s="50"/>
      <c r="T475" s="56" t="s">
        <v>3110</v>
      </c>
      <c r="U475" s="53" t="s">
        <v>370</v>
      </c>
    </row>
    <row r="476">
      <c r="A476" s="54" t="s">
        <v>3111</v>
      </c>
      <c r="B476" s="50" t="s">
        <v>3112</v>
      </c>
      <c r="C476" s="51" t="s">
        <v>3113</v>
      </c>
      <c r="D476" s="51"/>
      <c r="E476" s="51"/>
      <c r="F476" s="51"/>
      <c r="G476" s="50" t="s">
        <v>3114</v>
      </c>
      <c r="H476" s="52">
        <v>44683.42686342592</v>
      </c>
      <c r="I476" s="50"/>
      <c r="J476" s="50"/>
      <c r="K476" s="50"/>
      <c r="L476" s="50"/>
      <c r="M476" s="50" t="s">
        <v>3115</v>
      </c>
      <c r="N476" s="50"/>
      <c r="O476" s="53" t="s">
        <v>92</v>
      </c>
      <c r="P476" s="55" t="s">
        <v>3116</v>
      </c>
      <c r="Q476" s="50">
        <v>7097.0</v>
      </c>
      <c r="R476" s="50">
        <v>7355.0</v>
      </c>
      <c r="S476" s="50" t="s">
        <v>3117</v>
      </c>
      <c r="T476" s="56" t="s">
        <v>3118</v>
      </c>
      <c r="U476" s="53" t="s">
        <v>3119</v>
      </c>
    </row>
    <row r="477">
      <c r="A477" s="54" t="s">
        <v>3120</v>
      </c>
      <c r="B477" s="50" t="s">
        <v>3121</v>
      </c>
      <c r="C477" s="51" t="s">
        <v>3122</v>
      </c>
      <c r="D477" s="51"/>
      <c r="E477" s="51"/>
      <c r="F477" s="51"/>
      <c r="G477" s="50" t="s">
        <v>3123</v>
      </c>
      <c r="H477" s="52">
        <v>44683.42685185185</v>
      </c>
      <c r="I477" s="50"/>
      <c r="J477" s="50"/>
      <c r="K477" s="50"/>
      <c r="L477" s="50"/>
      <c r="M477" s="50" t="s">
        <v>3124</v>
      </c>
      <c r="N477" s="50"/>
      <c r="O477" s="53" t="s">
        <v>70</v>
      </c>
      <c r="P477" s="55" t="s">
        <v>354</v>
      </c>
      <c r="Q477" s="50">
        <v>61.0</v>
      </c>
      <c r="R477" s="50">
        <v>59.0</v>
      </c>
      <c r="S477" s="50"/>
      <c r="T477" s="56" t="s">
        <v>3125</v>
      </c>
      <c r="U477" s="53" t="s">
        <v>3126</v>
      </c>
    </row>
    <row r="478">
      <c r="A478" s="54" t="s">
        <v>3127</v>
      </c>
      <c r="B478" s="50" t="s">
        <v>3128</v>
      </c>
      <c r="C478" s="51" t="s">
        <v>367</v>
      </c>
      <c r="D478" s="51"/>
      <c r="E478" s="51"/>
      <c r="F478" s="51"/>
      <c r="G478" s="50" t="s">
        <v>3129</v>
      </c>
      <c r="H478" s="52">
        <v>44683.42671296296</v>
      </c>
      <c r="I478" s="50"/>
      <c r="J478" s="50"/>
      <c r="K478" s="50"/>
      <c r="L478" s="50"/>
      <c r="M478" s="50" t="s">
        <v>3130</v>
      </c>
      <c r="N478" s="50"/>
      <c r="O478" s="53" t="s">
        <v>70</v>
      </c>
      <c r="P478" s="55" t="s">
        <v>3131</v>
      </c>
      <c r="Q478" s="50">
        <v>2660.0</v>
      </c>
      <c r="R478" s="50">
        <v>3580.0</v>
      </c>
      <c r="S478" s="50" t="s">
        <v>3132</v>
      </c>
      <c r="T478" s="56" t="s">
        <v>3133</v>
      </c>
      <c r="U478" s="53" t="s">
        <v>370</v>
      </c>
    </row>
    <row r="479">
      <c r="A479" s="54" t="s">
        <v>3134</v>
      </c>
      <c r="B479" s="50" t="s">
        <v>3135</v>
      </c>
      <c r="C479" s="51" t="s">
        <v>3136</v>
      </c>
      <c r="D479" s="51"/>
      <c r="E479" s="51"/>
      <c r="F479" s="51"/>
      <c r="G479" s="50" t="s">
        <v>3137</v>
      </c>
      <c r="H479" s="52">
        <v>44683.4266087963</v>
      </c>
      <c r="I479" s="50"/>
      <c r="J479" s="50"/>
      <c r="K479" s="50"/>
      <c r="L479" s="50"/>
      <c r="M479" s="50" t="s">
        <v>3138</v>
      </c>
      <c r="N479" s="50"/>
      <c r="O479" s="53" t="s">
        <v>92</v>
      </c>
      <c r="P479" s="55" t="s">
        <v>354</v>
      </c>
      <c r="Q479" s="50">
        <v>8.0</v>
      </c>
      <c r="R479" s="50">
        <v>66.0</v>
      </c>
      <c r="S479" s="50"/>
      <c r="T479" s="56" t="s">
        <v>3139</v>
      </c>
      <c r="U479" s="53" t="s">
        <v>3140</v>
      </c>
    </row>
    <row r="480">
      <c r="A480" s="54" t="s">
        <v>3141</v>
      </c>
      <c r="B480" s="50" t="s">
        <v>3142</v>
      </c>
      <c r="C480" s="51" t="s">
        <v>316</v>
      </c>
      <c r="D480" s="51"/>
      <c r="E480" s="51"/>
      <c r="F480" s="51"/>
      <c r="G480" s="50" t="s">
        <v>3143</v>
      </c>
      <c r="H480" s="52">
        <v>44683.42638888889</v>
      </c>
      <c r="I480" s="50"/>
      <c r="J480" s="50"/>
      <c r="K480" s="50"/>
      <c r="L480" s="50"/>
      <c r="M480" s="50" t="s">
        <v>3144</v>
      </c>
      <c r="N480" s="50"/>
      <c r="O480" s="53" t="s">
        <v>70</v>
      </c>
      <c r="P480" s="55" t="s">
        <v>3145</v>
      </c>
      <c r="Q480" s="50">
        <v>819.0</v>
      </c>
      <c r="R480" s="50">
        <v>2295.0</v>
      </c>
      <c r="S480" s="50" t="s">
        <v>3146</v>
      </c>
      <c r="T480" s="56" t="s">
        <v>3147</v>
      </c>
      <c r="U480" s="53" t="s">
        <v>322</v>
      </c>
    </row>
    <row r="481">
      <c r="A481" s="54" t="s">
        <v>3148</v>
      </c>
      <c r="B481" s="50" t="s">
        <v>3149</v>
      </c>
      <c r="C481" s="51" t="s">
        <v>3025</v>
      </c>
      <c r="D481" s="51"/>
      <c r="E481" s="51"/>
      <c r="F481" s="51"/>
      <c r="G481" s="50" t="s">
        <v>3150</v>
      </c>
      <c r="H481" s="52">
        <v>44683.42631944444</v>
      </c>
      <c r="I481" s="50"/>
      <c r="J481" s="50"/>
      <c r="K481" s="50"/>
      <c r="L481" s="50"/>
      <c r="M481" s="50" t="s">
        <v>3151</v>
      </c>
      <c r="N481" s="50"/>
      <c r="O481" s="53" t="s">
        <v>70</v>
      </c>
      <c r="P481" s="55" t="s">
        <v>3152</v>
      </c>
      <c r="Q481" s="50">
        <v>2073.0</v>
      </c>
      <c r="R481" s="50">
        <v>2812.0</v>
      </c>
      <c r="S481" s="50"/>
      <c r="T481" s="56" t="s">
        <v>3153</v>
      </c>
      <c r="U481" s="53" t="s">
        <v>3029</v>
      </c>
    </row>
    <row r="482">
      <c r="A482" s="54" t="s">
        <v>3154</v>
      </c>
      <c r="B482" s="50" t="s">
        <v>3142</v>
      </c>
      <c r="C482" s="51" t="s">
        <v>335</v>
      </c>
      <c r="D482" s="51"/>
      <c r="E482" s="51"/>
      <c r="F482" s="51"/>
      <c r="G482" s="50" t="s">
        <v>3155</v>
      </c>
      <c r="H482" s="52">
        <v>44683.42628472223</v>
      </c>
      <c r="I482" s="50"/>
      <c r="J482" s="50"/>
      <c r="K482" s="50"/>
      <c r="L482" s="50"/>
      <c r="M482" s="50" t="s">
        <v>3144</v>
      </c>
      <c r="N482" s="50"/>
      <c r="O482" s="53" t="s">
        <v>70</v>
      </c>
      <c r="P482" s="55" t="s">
        <v>3145</v>
      </c>
      <c r="Q482" s="50">
        <v>819.0</v>
      </c>
      <c r="R482" s="50">
        <v>2295.0</v>
      </c>
      <c r="S482" s="50" t="s">
        <v>3146</v>
      </c>
      <c r="T482" s="56" t="s">
        <v>3156</v>
      </c>
      <c r="U482" s="53" t="s">
        <v>339</v>
      </c>
    </row>
    <row r="483">
      <c r="A483" s="54" t="s">
        <v>3157</v>
      </c>
      <c r="B483" s="50" t="s">
        <v>3158</v>
      </c>
      <c r="C483" s="51" t="s">
        <v>3159</v>
      </c>
      <c r="D483" s="51"/>
      <c r="E483" s="51"/>
      <c r="F483" s="51"/>
      <c r="G483" s="50" t="s">
        <v>3155</v>
      </c>
      <c r="H483" s="52">
        <v>44683.42628472223</v>
      </c>
      <c r="I483" s="50"/>
      <c r="J483" s="50"/>
      <c r="K483" s="50"/>
      <c r="L483" s="50"/>
      <c r="M483" s="50" t="s">
        <v>3160</v>
      </c>
      <c r="N483" s="50"/>
      <c r="O483" s="53" t="s">
        <v>70</v>
      </c>
      <c r="P483" s="55" t="s">
        <v>3161</v>
      </c>
      <c r="Q483" s="50">
        <v>62.0</v>
      </c>
      <c r="R483" s="50">
        <v>1162.0</v>
      </c>
      <c r="S483" s="50"/>
      <c r="T483" s="56" t="s">
        <v>3162</v>
      </c>
      <c r="U483" s="53" t="s">
        <v>3163</v>
      </c>
    </row>
    <row r="484">
      <c r="A484" s="54" t="s">
        <v>3164</v>
      </c>
      <c r="B484" s="50" t="s">
        <v>298</v>
      </c>
      <c r="C484" s="51" t="s">
        <v>3165</v>
      </c>
      <c r="D484" s="51"/>
      <c r="E484" s="51"/>
      <c r="F484" s="51"/>
      <c r="G484" s="50" t="s">
        <v>3155</v>
      </c>
      <c r="H484" s="52">
        <v>44683.42628472223</v>
      </c>
      <c r="I484" s="50"/>
      <c r="J484" s="50"/>
      <c r="K484" s="50"/>
      <c r="L484" s="50"/>
      <c r="M484" s="50" t="s">
        <v>302</v>
      </c>
      <c r="N484" s="50"/>
      <c r="O484" s="53" t="s">
        <v>92</v>
      </c>
      <c r="P484" s="55" t="s">
        <v>303</v>
      </c>
      <c r="Q484" s="50">
        <v>4136.0</v>
      </c>
      <c r="R484" s="50">
        <v>4374.0</v>
      </c>
      <c r="S484" s="50" t="s">
        <v>304</v>
      </c>
      <c r="T484" s="56" t="s">
        <v>3166</v>
      </c>
      <c r="U484" s="53" t="s">
        <v>3167</v>
      </c>
    </row>
    <row r="485">
      <c r="A485" s="54" t="s">
        <v>3168</v>
      </c>
      <c r="B485" s="50" t="s">
        <v>3142</v>
      </c>
      <c r="C485" s="51" t="s">
        <v>363</v>
      </c>
      <c r="D485" s="51"/>
      <c r="E485" s="51"/>
      <c r="F485" s="51"/>
      <c r="G485" s="50" t="s">
        <v>3169</v>
      </c>
      <c r="H485" s="52">
        <v>44683.42622685185</v>
      </c>
      <c r="I485" s="50"/>
      <c r="J485" s="50"/>
      <c r="K485" s="50"/>
      <c r="L485" s="50"/>
      <c r="M485" s="50" t="s">
        <v>3144</v>
      </c>
      <c r="N485" s="50"/>
      <c r="O485" s="53" t="s">
        <v>70</v>
      </c>
      <c r="P485" s="55" t="s">
        <v>3145</v>
      </c>
      <c r="Q485" s="50">
        <v>819.0</v>
      </c>
      <c r="R485" s="50">
        <v>2295.0</v>
      </c>
      <c r="S485" s="50" t="s">
        <v>3146</v>
      </c>
      <c r="T485" s="56" t="s">
        <v>3170</v>
      </c>
      <c r="U485" s="53" t="s">
        <v>332</v>
      </c>
    </row>
    <row r="486">
      <c r="A486" s="54" t="s">
        <v>3171</v>
      </c>
      <c r="B486" s="50" t="s">
        <v>3172</v>
      </c>
      <c r="C486" s="51" t="s">
        <v>329</v>
      </c>
      <c r="D486" s="51"/>
      <c r="E486" s="51"/>
      <c r="F486" s="51"/>
      <c r="G486" s="50" t="s">
        <v>3173</v>
      </c>
      <c r="H486" s="52">
        <v>44683.42621527778</v>
      </c>
      <c r="I486" s="50"/>
      <c r="J486" s="50"/>
      <c r="K486" s="50"/>
      <c r="L486" s="50"/>
      <c r="M486" s="50" t="s">
        <v>3174</v>
      </c>
      <c r="N486" s="50"/>
      <c r="O486" s="53" t="s">
        <v>70</v>
      </c>
      <c r="P486" s="55" t="s">
        <v>3175</v>
      </c>
      <c r="Q486" s="50">
        <v>4498.0</v>
      </c>
      <c r="R486" s="50">
        <v>4990.0</v>
      </c>
      <c r="S486" s="50" t="s">
        <v>3176</v>
      </c>
      <c r="T486" s="56" t="s">
        <v>3177</v>
      </c>
      <c r="U486" s="53" t="s">
        <v>332</v>
      </c>
    </row>
    <row r="487">
      <c r="A487" s="54" t="s">
        <v>3178</v>
      </c>
      <c r="B487" s="50" t="s">
        <v>3179</v>
      </c>
      <c r="C487" s="51" t="s">
        <v>3180</v>
      </c>
      <c r="D487" s="51"/>
      <c r="E487" s="51"/>
      <c r="F487" s="51"/>
      <c r="G487" s="50" t="s">
        <v>3181</v>
      </c>
      <c r="H487" s="52">
        <v>44683.42619212963</v>
      </c>
      <c r="I487" s="50"/>
      <c r="J487" s="50"/>
      <c r="K487" s="50" t="s">
        <v>3182</v>
      </c>
      <c r="L487" s="50" t="s">
        <v>3183</v>
      </c>
      <c r="M487" s="50" t="s">
        <v>3184</v>
      </c>
      <c r="N487" s="50" t="s">
        <v>3185</v>
      </c>
      <c r="O487" s="53" t="s">
        <v>70</v>
      </c>
      <c r="P487" s="55" t="s">
        <v>3186</v>
      </c>
      <c r="Q487" s="50">
        <v>4792.0</v>
      </c>
      <c r="R487" s="50">
        <v>3149.0</v>
      </c>
      <c r="S487" s="50" t="s">
        <v>3187</v>
      </c>
      <c r="T487" s="56" t="s">
        <v>3188</v>
      </c>
      <c r="U487" s="53" t="s">
        <v>3189</v>
      </c>
    </row>
    <row r="488">
      <c r="A488" s="54" t="s">
        <v>3190</v>
      </c>
      <c r="B488" s="50" t="s">
        <v>3191</v>
      </c>
      <c r="C488" s="51" t="s">
        <v>3192</v>
      </c>
      <c r="D488" s="51"/>
      <c r="E488" s="51"/>
      <c r="F488" s="51"/>
      <c r="G488" s="50" t="s">
        <v>3193</v>
      </c>
      <c r="H488" s="52">
        <v>44683.42616898148</v>
      </c>
      <c r="I488" s="50"/>
      <c r="J488" s="50"/>
      <c r="K488" s="50"/>
      <c r="L488" s="50"/>
      <c r="M488" s="50" t="s">
        <v>3194</v>
      </c>
      <c r="N488" s="50"/>
      <c r="O488" s="53" t="s">
        <v>3195</v>
      </c>
      <c r="P488" s="55" t="s">
        <v>3196</v>
      </c>
      <c r="Q488" s="50">
        <v>2939.0</v>
      </c>
      <c r="R488" s="50">
        <v>870.0</v>
      </c>
      <c r="S488" s="50"/>
      <c r="T488" s="56" t="s">
        <v>3197</v>
      </c>
      <c r="U488" s="53" t="s">
        <v>3198</v>
      </c>
    </row>
    <row r="489">
      <c r="A489" s="54" t="s">
        <v>3199</v>
      </c>
      <c r="B489" s="50" t="s">
        <v>3200</v>
      </c>
      <c r="C489" s="51" t="s">
        <v>367</v>
      </c>
      <c r="D489" s="51"/>
      <c r="E489" s="51"/>
      <c r="F489" s="51"/>
      <c r="G489" s="50" t="s">
        <v>3201</v>
      </c>
      <c r="H489" s="52">
        <v>44683.42605324074</v>
      </c>
      <c r="I489" s="50"/>
      <c r="J489" s="50"/>
      <c r="K489" s="50"/>
      <c r="L489" s="50"/>
      <c r="M489" s="50" t="s">
        <v>3202</v>
      </c>
      <c r="N489" s="50"/>
      <c r="O489" s="53" t="s">
        <v>217</v>
      </c>
      <c r="P489" s="55" t="s">
        <v>3203</v>
      </c>
      <c r="Q489" s="50">
        <v>2509.0</v>
      </c>
      <c r="R489" s="50">
        <v>4000.0</v>
      </c>
      <c r="S489" s="50" t="s">
        <v>3204</v>
      </c>
      <c r="T489" s="56" t="s">
        <v>3205</v>
      </c>
      <c r="U489" s="53" t="s">
        <v>370</v>
      </c>
    </row>
    <row r="490">
      <c r="A490" s="54" t="s">
        <v>3206</v>
      </c>
      <c r="B490" s="50" t="s">
        <v>3172</v>
      </c>
      <c r="C490" s="51" t="s">
        <v>363</v>
      </c>
      <c r="D490" s="51"/>
      <c r="E490" s="51"/>
      <c r="F490" s="51"/>
      <c r="G490" s="50" t="s">
        <v>3207</v>
      </c>
      <c r="H490" s="52">
        <v>44683.42592592593</v>
      </c>
      <c r="I490" s="50"/>
      <c r="J490" s="50"/>
      <c r="K490" s="50"/>
      <c r="L490" s="50"/>
      <c r="M490" s="50" t="s">
        <v>3174</v>
      </c>
      <c r="N490" s="50"/>
      <c r="O490" s="53" t="s">
        <v>70</v>
      </c>
      <c r="P490" s="55" t="s">
        <v>3175</v>
      </c>
      <c r="Q490" s="50">
        <v>4498.0</v>
      </c>
      <c r="R490" s="50">
        <v>4990.0</v>
      </c>
      <c r="S490" s="50" t="s">
        <v>3176</v>
      </c>
      <c r="T490" s="56" t="s">
        <v>3208</v>
      </c>
      <c r="U490" s="53" t="s">
        <v>332</v>
      </c>
    </row>
    <row r="491">
      <c r="A491" s="54" t="s">
        <v>3209</v>
      </c>
      <c r="B491" s="50" t="s">
        <v>3210</v>
      </c>
      <c r="C491" s="51" t="s">
        <v>367</v>
      </c>
      <c r="D491" s="51"/>
      <c r="E491" s="51"/>
      <c r="F491" s="51"/>
      <c r="G491" s="50" t="s">
        <v>3211</v>
      </c>
      <c r="H491" s="52">
        <v>44683.425833333335</v>
      </c>
      <c r="I491" s="50"/>
      <c r="J491" s="50"/>
      <c r="K491" s="50"/>
      <c r="L491" s="50"/>
      <c r="M491" s="50" t="s">
        <v>3212</v>
      </c>
      <c r="N491" s="50"/>
      <c r="O491" s="53" t="s">
        <v>92</v>
      </c>
      <c r="P491" s="55" t="s">
        <v>3213</v>
      </c>
      <c r="Q491" s="50">
        <v>5349.0</v>
      </c>
      <c r="R491" s="50">
        <v>1388.0</v>
      </c>
      <c r="S491" s="50" t="s">
        <v>3214</v>
      </c>
      <c r="T491" s="56" t="s">
        <v>3215</v>
      </c>
      <c r="U491" s="53" t="s">
        <v>370</v>
      </c>
    </row>
    <row r="492">
      <c r="A492" s="54" t="s">
        <v>3216</v>
      </c>
      <c r="B492" s="50" t="s">
        <v>3172</v>
      </c>
      <c r="C492" s="51" t="s">
        <v>367</v>
      </c>
      <c r="D492" s="51"/>
      <c r="E492" s="51"/>
      <c r="F492" s="51"/>
      <c r="G492" s="50" t="s">
        <v>3217</v>
      </c>
      <c r="H492" s="52">
        <v>44683.42569444445</v>
      </c>
      <c r="I492" s="50"/>
      <c r="J492" s="50"/>
      <c r="K492" s="50"/>
      <c r="L492" s="50"/>
      <c r="M492" s="50" t="s">
        <v>3174</v>
      </c>
      <c r="N492" s="50"/>
      <c r="O492" s="53" t="s">
        <v>70</v>
      </c>
      <c r="P492" s="55" t="s">
        <v>3175</v>
      </c>
      <c r="Q492" s="50">
        <v>4498.0</v>
      </c>
      <c r="R492" s="50">
        <v>4990.0</v>
      </c>
      <c r="S492" s="50" t="s">
        <v>3176</v>
      </c>
      <c r="T492" s="56" t="s">
        <v>3218</v>
      </c>
      <c r="U492" s="53" t="s">
        <v>370</v>
      </c>
    </row>
    <row r="493">
      <c r="A493" s="54" t="s">
        <v>3219</v>
      </c>
      <c r="B493" s="50" t="s">
        <v>3220</v>
      </c>
      <c r="C493" s="51" t="s">
        <v>363</v>
      </c>
      <c r="D493" s="51"/>
      <c r="E493" s="51"/>
      <c r="F493" s="51"/>
      <c r="G493" s="50" t="s">
        <v>3221</v>
      </c>
      <c r="H493" s="52">
        <v>44683.42559027778</v>
      </c>
      <c r="I493" s="50"/>
      <c r="J493" s="50"/>
      <c r="K493" s="50"/>
      <c r="L493" s="50"/>
      <c r="M493" s="50" t="s">
        <v>3222</v>
      </c>
      <c r="N493" s="50"/>
      <c r="O493" s="53" t="s">
        <v>3223</v>
      </c>
      <c r="P493" s="55" t="s">
        <v>3224</v>
      </c>
      <c r="Q493" s="50">
        <v>1143.0</v>
      </c>
      <c r="R493" s="50">
        <v>2041.0</v>
      </c>
      <c r="S493" s="50" t="s">
        <v>129</v>
      </c>
      <c r="T493" s="56" t="s">
        <v>3225</v>
      </c>
      <c r="U493" s="53" t="s">
        <v>332</v>
      </c>
    </row>
    <row r="494">
      <c r="A494" s="54" t="s">
        <v>3226</v>
      </c>
      <c r="B494" s="50" t="s">
        <v>3227</v>
      </c>
      <c r="C494" s="51" t="s">
        <v>367</v>
      </c>
      <c r="D494" s="51"/>
      <c r="E494" s="51"/>
      <c r="F494" s="51"/>
      <c r="G494" s="50" t="s">
        <v>3228</v>
      </c>
      <c r="H494" s="52">
        <v>44683.42547453704</v>
      </c>
      <c r="I494" s="50"/>
      <c r="J494" s="50"/>
      <c r="K494" s="50"/>
      <c r="L494" s="50"/>
      <c r="M494" s="50" t="s">
        <v>3229</v>
      </c>
      <c r="N494" s="50"/>
      <c r="O494" s="53" t="s">
        <v>92</v>
      </c>
      <c r="P494" s="55" t="s">
        <v>3230</v>
      </c>
      <c r="Q494" s="50">
        <v>178.0</v>
      </c>
      <c r="R494" s="50">
        <v>387.0</v>
      </c>
      <c r="S494" s="50"/>
      <c r="T494" s="56" t="s">
        <v>3231</v>
      </c>
      <c r="U494" s="53" t="s">
        <v>370</v>
      </c>
    </row>
    <row r="495">
      <c r="A495" s="54" t="s">
        <v>3232</v>
      </c>
      <c r="B495" s="50" t="s">
        <v>3233</v>
      </c>
      <c r="C495" s="51" t="s">
        <v>3234</v>
      </c>
      <c r="D495" s="51"/>
      <c r="E495" s="51"/>
      <c r="F495" s="51"/>
      <c r="G495" s="50" t="s">
        <v>3235</v>
      </c>
      <c r="H495" s="52">
        <v>44683.42543981482</v>
      </c>
      <c r="I495" s="50"/>
      <c r="J495" s="50"/>
      <c r="K495" s="50"/>
      <c r="L495" s="50"/>
      <c r="M495" s="50" t="s">
        <v>3236</v>
      </c>
      <c r="N495" s="50"/>
      <c r="O495" s="53" t="s">
        <v>60</v>
      </c>
      <c r="P495" s="55" t="s">
        <v>3237</v>
      </c>
      <c r="Q495" s="50">
        <v>1136.0</v>
      </c>
      <c r="R495" s="50">
        <v>1975.0</v>
      </c>
      <c r="S495" s="50" t="s">
        <v>3238</v>
      </c>
      <c r="T495" s="56" t="s">
        <v>3239</v>
      </c>
      <c r="U495" s="53" t="s">
        <v>3240</v>
      </c>
    </row>
    <row r="496">
      <c r="A496" s="54" t="s">
        <v>3241</v>
      </c>
      <c r="B496" s="50" t="s">
        <v>3242</v>
      </c>
      <c r="C496" s="51" t="s">
        <v>367</v>
      </c>
      <c r="D496" s="51"/>
      <c r="E496" s="51"/>
      <c r="F496" s="51"/>
      <c r="G496" s="50" t="s">
        <v>3243</v>
      </c>
      <c r="H496" s="52">
        <v>44683.42538194444</v>
      </c>
      <c r="I496" s="50"/>
      <c r="J496" s="50"/>
      <c r="K496" s="50"/>
      <c r="L496" s="50"/>
      <c r="M496" s="50" t="s">
        <v>3244</v>
      </c>
      <c r="N496" s="50"/>
      <c r="O496" s="53" t="s">
        <v>70</v>
      </c>
      <c r="P496" s="55" t="s">
        <v>3245</v>
      </c>
      <c r="Q496" s="50">
        <v>590.0</v>
      </c>
      <c r="R496" s="50">
        <v>1079.0</v>
      </c>
      <c r="S496" s="50"/>
      <c r="T496" s="56" t="s">
        <v>3246</v>
      </c>
      <c r="U496" s="53" t="s">
        <v>370</v>
      </c>
    </row>
    <row r="497">
      <c r="A497" s="54" t="s">
        <v>3247</v>
      </c>
      <c r="B497" s="50" t="s">
        <v>3248</v>
      </c>
      <c r="C497" s="51" t="s">
        <v>367</v>
      </c>
      <c r="D497" s="51"/>
      <c r="E497" s="51"/>
      <c r="F497" s="51"/>
      <c r="G497" s="50" t="s">
        <v>3249</v>
      </c>
      <c r="H497" s="52">
        <v>44683.42521990741</v>
      </c>
      <c r="I497" s="50"/>
      <c r="J497" s="50"/>
      <c r="K497" s="50"/>
      <c r="L497" s="50"/>
      <c r="M497" s="50" t="s">
        <v>3250</v>
      </c>
      <c r="N497" s="50"/>
      <c r="O497" s="53" t="s">
        <v>70</v>
      </c>
      <c r="P497" s="55" t="s">
        <v>3251</v>
      </c>
      <c r="Q497" s="50">
        <v>3250.0</v>
      </c>
      <c r="R497" s="50">
        <v>3091.0</v>
      </c>
      <c r="S497" s="50" t="s">
        <v>246</v>
      </c>
      <c r="T497" s="56" t="s">
        <v>3252</v>
      </c>
      <c r="U497" s="53" t="s">
        <v>370</v>
      </c>
    </row>
    <row r="498">
      <c r="A498" s="54" t="s">
        <v>3253</v>
      </c>
      <c r="B498" s="50" t="s">
        <v>3254</v>
      </c>
      <c r="C498" s="51" t="s">
        <v>367</v>
      </c>
      <c r="D498" s="51"/>
      <c r="E498" s="51"/>
      <c r="F498" s="51"/>
      <c r="G498" s="50" t="s">
        <v>3255</v>
      </c>
      <c r="H498" s="52">
        <v>44683.42509259259</v>
      </c>
      <c r="I498" s="50"/>
      <c r="J498" s="50"/>
      <c r="K498" s="50"/>
      <c r="L498" s="50"/>
      <c r="M498" s="50" t="s">
        <v>3256</v>
      </c>
      <c r="N498" s="50"/>
      <c r="O498" s="53" t="s">
        <v>92</v>
      </c>
      <c r="P498" s="55" t="s">
        <v>3257</v>
      </c>
      <c r="Q498" s="50">
        <v>845.0</v>
      </c>
      <c r="R498" s="50">
        <v>1352.0</v>
      </c>
      <c r="S498" s="50"/>
      <c r="T498" s="56" t="s">
        <v>3258</v>
      </c>
      <c r="U498" s="53" t="s">
        <v>370</v>
      </c>
    </row>
    <row r="499">
      <c r="A499" s="54" t="s">
        <v>3259</v>
      </c>
      <c r="B499" s="50" t="s">
        <v>3260</v>
      </c>
      <c r="C499" s="51" t="s">
        <v>3261</v>
      </c>
      <c r="D499" s="51"/>
      <c r="E499" s="51"/>
      <c r="F499" s="51"/>
      <c r="G499" s="50" t="s">
        <v>3262</v>
      </c>
      <c r="H499" s="52">
        <v>44683.42501157407</v>
      </c>
      <c r="I499" s="50"/>
      <c r="J499" s="50"/>
      <c r="K499" s="50"/>
      <c r="L499" s="50"/>
      <c r="M499" s="50" t="s">
        <v>3263</v>
      </c>
      <c r="N499" s="50"/>
      <c r="O499" s="53" t="s">
        <v>70</v>
      </c>
      <c r="P499" s="55" t="s">
        <v>3264</v>
      </c>
      <c r="Q499" s="50">
        <v>5353.0</v>
      </c>
      <c r="R499" s="50">
        <v>5307.0</v>
      </c>
      <c r="S499" s="50" t="s">
        <v>1311</v>
      </c>
      <c r="T499" s="56" t="s">
        <v>3265</v>
      </c>
      <c r="U499" s="53" t="s">
        <v>3266</v>
      </c>
    </row>
    <row r="500">
      <c r="A500" s="54" t="s">
        <v>3267</v>
      </c>
      <c r="B500" s="50" t="s">
        <v>3268</v>
      </c>
      <c r="C500" s="51" t="s">
        <v>316</v>
      </c>
      <c r="D500" s="51"/>
      <c r="E500" s="51"/>
      <c r="F500" s="51"/>
      <c r="G500" s="50" t="s">
        <v>3262</v>
      </c>
      <c r="H500" s="52">
        <v>44683.42501157407</v>
      </c>
      <c r="I500" s="50"/>
      <c r="J500" s="50"/>
      <c r="K500" s="50"/>
      <c r="L500" s="50"/>
      <c r="M500" s="50" t="s">
        <v>3269</v>
      </c>
      <c r="N500" s="50"/>
      <c r="O500" s="53" t="s">
        <v>92</v>
      </c>
      <c r="P500" s="55" t="s">
        <v>3270</v>
      </c>
      <c r="Q500" s="50">
        <v>11714.0</v>
      </c>
      <c r="R500" s="50">
        <v>12047.0</v>
      </c>
      <c r="S500" s="50" t="s">
        <v>3271</v>
      </c>
      <c r="T500" s="56" t="s">
        <v>3272</v>
      </c>
      <c r="U500" s="53" t="s">
        <v>322</v>
      </c>
    </row>
    <row r="501">
      <c r="A501" s="54" t="s">
        <v>3273</v>
      </c>
      <c r="B501" s="50" t="s">
        <v>3274</v>
      </c>
      <c r="C501" s="51" t="s">
        <v>316</v>
      </c>
      <c r="D501" s="51"/>
      <c r="E501" s="51"/>
      <c r="F501" s="51"/>
      <c r="G501" s="50" t="s">
        <v>3275</v>
      </c>
      <c r="H501" s="52">
        <v>44683.42496527778</v>
      </c>
      <c r="I501" s="50"/>
      <c r="J501" s="50"/>
      <c r="K501" s="50"/>
      <c r="L501" s="50"/>
      <c r="M501" s="50" t="s">
        <v>3276</v>
      </c>
      <c r="N501" s="50"/>
      <c r="O501" s="53" t="s">
        <v>60</v>
      </c>
      <c r="P501" s="55" t="s">
        <v>3277</v>
      </c>
      <c r="Q501" s="50">
        <v>8169.0</v>
      </c>
      <c r="R501" s="50">
        <v>7456.0</v>
      </c>
      <c r="S501" s="50" t="s">
        <v>3278</v>
      </c>
      <c r="T501" s="56" t="s">
        <v>3279</v>
      </c>
      <c r="U501" s="53" t="s">
        <v>322</v>
      </c>
    </row>
    <row r="502">
      <c r="A502" s="54" t="s">
        <v>3280</v>
      </c>
      <c r="B502" s="50" t="s">
        <v>3268</v>
      </c>
      <c r="C502" s="51" t="s">
        <v>329</v>
      </c>
      <c r="D502" s="51"/>
      <c r="E502" s="51"/>
      <c r="F502" s="51"/>
      <c r="G502" s="50" t="s">
        <v>3281</v>
      </c>
      <c r="H502" s="52">
        <v>44683.424942129626</v>
      </c>
      <c r="I502" s="50"/>
      <c r="J502" s="50"/>
      <c r="K502" s="50"/>
      <c r="L502" s="50"/>
      <c r="M502" s="50" t="s">
        <v>3269</v>
      </c>
      <c r="N502" s="50"/>
      <c r="O502" s="53" t="s">
        <v>92</v>
      </c>
      <c r="P502" s="55" t="s">
        <v>3270</v>
      </c>
      <c r="Q502" s="50">
        <v>11714.0</v>
      </c>
      <c r="R502" s="50">
        <v>12047.0</v>
      </c>
      <c r="S502" s="50" t="s">
        <v>3271</v>
      </c>
      <c r="T502" s="56" t="s">
        <v>3282</v>
      </c>
      <c r="U502" s="53" t="s">
        <v>332</v>
      </c>
    </row>
    <row r="503">
      <c r="A503" s="54" t="s">
        <v>3283</v>
      </c>
      <c r="B503" s="50" t="s">
        <v>3268</v>
      </c>
      <c r="C503" s="51" t="s">
        <v>335</v>
      </c>
      <c r="D503" s="51"/>
      <c r="E503" s="51"/>
      <c r="F503" s="51"/>
      <c r="G503" s="50" t="s">
        <v>3284</v>
      </c>
      <c r="H503" s="52">
        <v>44683.4249074074</v>
      </c>
      <c r="I503" s="50"/>
      <c r="J503" s="50"/>
      <c r="K503" s="50"/>
      <c r="L503" s="50"/>
      <c r="M503" s="50" t="s">
        <v>3269</v>
      </c>
      <c r="N503" s="50"/>
      <c r="O503" s="53" t="s">
        <v>92</v>
      </c>
      <c r="P503" s="55" t="s">
        <v>3270</v>
      </c>
      <c r="Q503" s="50">
        <v>11714.0</v>
      </c>
      <c r="R503" s="50">
        <v>12047.0</v>
      </c>
      <c r="S503" s="50" t="s">
        <v>3271</v>
      </c>
      <c r="T503" s="56" t="s">
        <v>3285</v>
      </c>
      <c r="U503" s="53" t="s">
        <v>339</v>
      </c>
    </row>
    <row r="504">
      <c r="A504" s="54" t="s">
        <v>3286</v>
      </c>
      <c r="B504" s="50" t="s">
        <v>3287</v>
      </c>
      <c r="C504" s="51" t="s">
        <v>1446</v>
      </c>
      <c r="D504" s="51"/>
      <c r="E504" s="51"/>
      <c r="F504" s="51"/>
      <c r="G504" s="50" t="s">
        <v>3288</v>
      </c>
      <c r="H504" s="52">
        <v>44683.42487268518</v>
      </c>
      <c r="I504" s="50"/>
      <c r="J504" s="50"/>
      <c r="K504" s="50"/>
      <c r="L504" s="50"/>
      <c r="M504" s="50" t="s">
        <v>3289</v>
      </c>
      <c r="N504" s="50"/>
      <c r="O504" s="53" t="s">
        <v>70</v>
      </c>
      <c r="P504" s="55" t="s">
        <v>3290</v>
      </c>
      <c r="Q504" s="50">
        <v>1001.0</v>
      </c>
      <c r="R504" s="50">
        <v>475.0</v>
      </c>
      <c r="S504" s="50" t="s">
        <v>3291</v>
      </c>
      <c r="T504" s="56" t="s">
        <v>3292</v>
      </c>
      <c r="U504" s="53" t="s">
        <v>1452</v>
      </c>
    </row>
    <row r="505">
      <c r="A505" s="54" t="s">
        <v>3293</v>
      </c>
      <c r="B505" s="50" t="s">
        <v>3268</v>
      </c>
      <c r="C505" s="51" t="s">
        <v>363</v>
      </c>
      <c r="D505" s="51"/>
      <c r="E505" s="51"/>
      <c r="F505" s="51"/>
      <c r="G505" s="50" t="s">
        <v>3294</v>
      </c>
      <c r="H505" s="52">
        <v>44683.42484953704</v>
      </c>
      <c r="I505" s="50"/>
      <c r="J505" s="50"/>
      <c r="K505" s="50"/>
      <c r="L505" s="50"/>
      <c r="M505" s="50" t="s">
        <v>3269</v>
      </c>
      <c r="N505" s="50"/>
      <c r="O505" s="53" t="s">
        <v>92</v>
      </c>
      <c r="P505" s="55" t="s">
        <v>3270</v>
      </c>
      <c r="Q505" s="50">
        <v>11714.0</v>
      </c>
      <c r="R505" s="50">
        <v>12047.0</v>
      </c>
      <c r="S505" s="50" t="s">
        <v>3271</v>
      </c>
      <c r="T505" s="56" t="s">
        <v>3295</v>
      </c>
      <c r="U505" s="53" t="s">
        <v>332</v>
      </c>
    </row>
    <row r="506">
      <c r="A506" s="54" t="s">
        <v>3296</v>
      </c>
      <c r="B506" s="50" t="s">
        <v>3268</v>
      </c>
      <c r="C506" s="51" t="s">
        <v>367</v>
      </c>
      <c r="D506" s="51"/>
      <c r="E506" s="51"/>
      <c r="F506" s="51"/>
      <c r="G506" s="50" t="s">
        <v>3297</v>
      </c>
      <c r="H506" s="52">
        <v>44683.42471064815</v>
      </c>
      <c r="I506" s="50"/>
      <c r="J506" s="50"/>
      <c r="K506" s="50"/>
      <c r="L506" s="50"/>
      <c r="M506" s="50" t="s">
        <v>3269</v>
      </c>
      <c r="N506" s="50"/>
      <c r="O506" s="53" t="s">
        <v>92</v>
      </c>
      <c r="P506" s="55" t="s">
        <v>3270</v>
      </c>
      <c r="Q506" s="50">
        <v>11714.0</v>
      </c>
      <c r="R506" s="50">
        <v>12047.0</v>
      </c>
      <c r="S506" s="50" t="s">
        <v>3271</v>
      </c>
      <c r="T506" s="56" t="s">
        <v>3298</v>
      </c>
      <c r="U506" s="53" t="s">
        <v>370</v>
      </c>
    </row>
    <row r="507">
      <c r="A507" s="54" t="s">
        <v>3299</v>
      </c>
      <c r="B507" s="50" t="s">
        <v>3300</v>
      </c>
      <c r="C507" s="51" t="s">
        <v>687</v>
      </c>
      <c r="D507" s="51"/>
      <c r="E507" s="51"/>
      <c r="F507" s="51"/>
      <c r="G507" s="50" t="s">
        <v>3301</v>
      </c>
      <c r="H507" s="52">
        <v>44683.42458333333</v>
      </c>
      <c r="I507" s="50"/>
      <c r="J507" s="50"/>
      <c r="K507" s="50"/>
      <c r="L507" s="50"/>
      <c r="M507" s="50" t="s">
        <v>3302</v>
      </c>
      <c r="N507" s="50"/>
      <c r="O507" s="53" t="s">
        <v>60</v>
      </c>
      <c r="P507" s="55" t="s">
        <v>3303</v>
      </c>
      <c r="Q507" s="50">
        <v>8590.0</v>
      </c>
      <c r="R507" s="50">
        <v>8936.0</v>
      </c>
      <c r="S507" s="50" t="s">
        <v>3304</v>
      </c>
      <c r="T507" s="56" t="s">
        <v>3305</v>
      </c>
      <c r="U507" s="53" t="s">
        <v>691</v>
      </c>
    </row>
    <row r="508">
      <c r="A508" s="54" t="s">
        <v>3306</v>
      </c>
      <c r="B508" s="50" t="s">
        <v>3307</v>
      </c>
      <c r="C508" s="51" t="s">
        <v>367</v>
      </c>
      <c r="D508" s="51"/>
      <c r="E508" s="51"/>
      <c r="F508" s="51"/>
      <c r="G508" s="50" t="s">
        <v>3308</v>
      </c>
      <c r="H508" s="52">
        <v>44683.42424768519</v>
      </c>
      <c r="I508" s="50"/>
      <c r="J508" s="50"/>
      <c r="K508" s="50"/>
      <c r="L508" s="50"/>
      <c r="M508" s="50" t="s">
        <v>3309</v>
      </c>
      <c r="N508" s="50"/>
      <c r="O508" s="53" t="s">
        <v>60</v>
      </c>
      <c r="P508" s="55" t="s">
        <v>3310</v>
      </c>
      <c r="Q508" s="50">
        <v>84.0</v>
      </c>
      <c r="R508" s="50">
        <v>90.0</v>
      </c>
      <c r="S508" s="50" t="s">
        <v>3311</v>
      </c>
      <c r="T508" s="56" t="s">
        <v>3312</v>
      </c>
      <c r="U508" s="53" t="s">
        <v>370</v>
      </c>
    </row>
    <row r="509">
      <c r="A509" s="54" t="s">
        <v>3313</v>
      </c>
      <c r="B509" s="50" t="s">
        <v>3314</v>
      </c>
      <c r="C509" s="51" t="s">
        <v>3315</v>
      </c>
      <c r="D509" s="51"/>
      <c r="E509" s="51"/>
      <c r="F509" s="51"/>
      <c r="G509" s="50" t="s">
        <v>3316</v>
      </c>
      <c r="H509" s="52">
        <v>44683.423993055556</v>
      </c>
      <c r="I509" s="50"/>
      <c r="J509" s="50"/>
      <c r="K509" s="50" t="s">
        <v>3317</v>
      </c>
      <c r="L509" s="50" t="s">
        <v>3318</v>
      </c>
      <c r="M509" s="50" t="s">
        <v>3319</v>
      </c>
      <c r="N509" s="50" t="s">
        <v>3320</v>
      </c>
      <c r="O509" s="53" t="s">
        <v>217</v>
      </c>
      <c r="P509" s="55" t="s">
        <v>3321</v>
      </c>
      <c r="Q509" s="50">
        <v>3018.0</v>
      </c>
      <c r="R509" s="50">
        <v>3453.0</v>
      </c>
      <c r="S509" s="50" t="s">
        <v>3322</v>
      </c>
      <c r="T509" s="56" t="s">
        <v>3323</v>
      </c>
      <c r="U509" s="53" t="s">
        <v>3324</v>
      </c>
    </row>
    <row r="510">
      <c r="A510" s="54" t="s">
        <v>3325</v>
      </c>
      <c r="B510" s="50" t="s">
        <v>3326</v>
      </c>
      <c r="C510" s="51" t="s">
        <v>3327</v>
      </c>
      <c r="D510" s="51"/>
      <c r="E510" s="51"/>
      <c r="F510" s="51"/>
      <c r="G510" s="50" t="s">
        <v>3328</v>
      </c>
      <c r="H510" s="52">
        <v>44683.42398148148</v>
      </c>
      <c r="I510" s="50"/>
      <c r="J510" s="50"/>
      <c r="K510" s="50"/>
      <c r="L510" s="50"/>
      <c r="M510" s="50" t="s">
        <v>3329</v>
      </c>
      <c r="N510" s="50"/>
      <c r="O510" s="53" t="s">
        <v>60</v>
      </c>
      <c r="P510" s="55" t="s">
        <v>3330</v>
      </c>
      <c r="Q510" s="50">
        <v>87.0</v>
      </c>
      <c r="R510" s="50">
        <v>62.0</v>
      </c>
      <c r="S510" s="50"/>
      <c r="T510" s="56" t="s">
        <v>3331</v>
      </c>
      <c r="U510" s="53" t="s">
        <v>3332</v>
      </c>
    </row>
    <row r="511">
      <c r="A511" s="54" t="s">
        <v>3333</v>
      </c>
      <c r="B511" s="50" t="s">
        <v>3334</v>
      </c>
      <c r="C511" s="51" t="s">
        <v>2821</v>
      </c>
      <c r="D511" s="51"/>
      <c r="E511" s="51"/>
      <c r="F511" s="51"/>
      <c r="G511" s="50" t="s">
        <v>3335</v>
      </c>
      <c r="H511" s="52">
        <v>44683.42385416667</v>
      </c>
      <c r="I511" s="50"/>
      <c r="J511" s="50"/>
      <c r="K511" s="50"/>
      <c r="L511" s="50"/>
      <c r="M511" s="50" t="s">
        <v>3336</v>
      </c>
      <c r="N511" s="50"/>
      <c r="O511" s="53" t="s">
        <v>92</v>
      </c>
      <c r="P511" s="55" t="s">
        <v>3337</v>
      </c>
      <c r="Q511" s="50">
        <v>60279.0</v>
      </c>
      <c r="R511" s="50">
        <v>52024.0</v>
      </c>
      <c r="S511" s="50" t="s">
        <v>129</v>
      </c>
      <c r="T511" s="56" t="s">
        <v>3338</v>
      </c>
      <c r="U511" s="53" t="s">
        <v>2827</v>
      </c>
    </row>
    <row r="512">
      <c r="A512" s="54" t="s">
        <v>3339</v>
      </c>
      <c r="B512" s="50" t="s">
        <v>3340</v>
      </c>
      <c r="C512" s="51" t="s">
        <v>367</v>
      </c>
      <c r="D512" s="51"/>
      <c r="E512" s="51"/>
      <c r="F512" s="51"/>
      <c r="G512" s="50" t="s">
        <v>3341</v>
      </c>
      <c r="H512" s="52">
        <v>44683.423680555556</v>
      </c>
      <c r="I512" s="50"/>
      <c r="J512" s="50"/>
      <c r="K512" s="50"/>
      <c r="L512" s="50"/>
      <c r="M512" s="50" t="s">
        <v>3342</v>
      </c>
      <c r="N512" s="50"/>
      <c r="O512" s="53" t="s">
        <v>70</v>
      </c>
      <c r="P512" s="55" t="s">
        <v>3343</v>
      </c>
      <c r="Q512" s="50">
        <v>439.0</v>
      </c>
      <c r="R512" s="50">
        <v>398.0</v>
      </c>
      <c r="S512" s="50"/>
      <c r="T512" s="56" t="s">
        <v>3344</v>
      </c>
      <c r="U512" s="53" t="s">
        <v>370</v>
      </c>
    </row>
    <row r="513">
      <c r="A513" s="54" t="s">
        <v>3345</v>
      </c>
      <c r="B513" s="50" t="s">
        <v>3346</v>
      </c>
      <c r="C513" s="51" t="s">
        <v>367</v>
      </c>
      <c r="D513" s="51"/>
      <c r="E513" s="51"/>
      <c r="F513" s="51"/>
      <c r="G513" s="50" t="s">
        <v>3347</v>
      </c>
      <c r="H513" s="52">
        <v>44683.423668981486</v>
      </c>
      <c r="I513" s="50"/>
      <c r="J513" s="50"/>
      <c r="K513" s="50"/>
      <c r="L513" s="50"/>
      <c r="M513" s="50" t="s">
        <v>3348</v>
      </c>
      <c r="N513" s="50"/>
      <c r="O513" s="53" t="s">
        <v>60</v>
      </c>
      <c r="P513" s="55" t="s">
        <v>3349</v>
      </c>
      <c r="Q513" s="50">
        <v>658.0</v>
      </c>
      <c r="R513" s="50">
        <v>674.0</v>
      </c>
      <c r="S513" s="50" t="s">
        <v>129</v>
      </c>
      <c r="T513" s="56" t="s">
        <v>3350</v>
      </c>
      <c r="U513" s="53" t="s">
        <v>370</v>
      </c>
    </row>
    <row r="514">
      <c r="A514" s="54" t="s">
        <v>3351</v>
      </c>
      <c r="B514" s="50" t="s">
        <v>3352</v>
      </c>
      <c r="C514" s="51" t="s">
        <v>367</v>
      </c>
      <c r="D514" s="51"/>
      <c r="E514" s="51"/>
      <c r="F514" s="51"/>
      <c r="G514" s="50" t="s">
        <v>3353</v>
      </c>
      <c r="H514" s="52">
        <v>44683.4233912037</v>
      </c>
      <c r="I514" s="50"/>
      <c r="J514" s="50"/>
      <c r="K514" s="50"/>
      <c r="L514" s="50"/>
      <c r="M514" s="50" t="s">
        <v>3354</v>
      </c>
      <c r="N514" s="50"/>
      <c r="O514" s="53" t="s">
        <v>70</v>
      </c>
      <c r="P514" s="55" t="s">
        <v>3355</v>
      </c>
      <c r="Q514" s="50">
        <v>202.0</v>
      </c>
      <c r="R514" s="50">
        <v>308.0</v>
      </c>
      <c r="S514" s="50" t="s">
        <v>3356</v>
      </c>
      <c r="T514" s="56" t="s">
        <v>3357</v>
      </c>
      <c r="U514" s="53" t="s">
        <v>370</v>
      </c>
    </row>
    <row r="515">
      <c r="A515" s="54" t="s">
        <v>3358</v>
      </c>
      <c r="B515" s="50" t="s">
        <v>3359</v>
      </c>
      <c r="C515" s="51" t="s">
        <v>3360</v>
      </c>
      <c r="D515" s="51"/>
      <c r="E515" s="51"/>
      <c r="F515" s="51"/>
      <c r="G515" s="50" t="s">
        <v>3361</v>
      </c>
      <c r="H515" s="52">
        <v>44683.423310185186</v>
      </c>
      <c r="I515" s="50"/>
      <c r="J515" s="50"/>
      <c r="K515" s="50"/>
      <c r="L515" s="50"/>
      <c r="M515" s="50" t="s">
        <v>3362</v>
      </c>
      <c r="N515" s="50"/>
      <c r="O515" s="53" t="s">
        <v>60</v>
      </c>
      <c r="P515" s="55" t="s">
        <v>3363</v>
      </c>
      <c r="Q515" s="50">
        <v>1616.0</v>
      </c>
      <c r="R515" s="50">
        <v>1561.0</v>
      </c>
      <c r="S515" s="50"/>
      <c r="T515" s="56" t="s">
        <v>3364</v>
      </c>
      <c r="U515" s="53" t="s">
        <v>3365</v>
      </c>
    </row>
    <row r="516">
      <c r="A516" s="54" t="s">
        <v>3366</v>
      </c>
      <c r="B516" s="50" t="s">
        <v>3367</v>
      </c>
      <c r="C516" s="51" t="s">
        <v>367</v>
      </c>
      <c r="D516" s="51"/>
      <c r="E516" s="51"/>
      <c r="F516" s="51"/>
      <c r="G516" s="50" t="s">
        <v>3368</v>
      </c>
      <c r="H516" s="52">
        <v>44683.42314814815</v>
      </c>
      <c r="I516" s="50"/>
      <c r="J516" s="50"/>
      <c r="K516" s="50"/>
      <c r="L516" s="50"/>
      <c r="M516" s="50" t="s">
        <v>3369</v>
      </c>
      <c r="N516" s="50"/>
      <c r="O516" s="53" t="s">
        <v>92</v>
      </c>
      <c r="P516" s="55" t="s">
        <v>3370</v>
      </c>
      <c r="Q516" s="50">
        <v>276.0</v>
      </c>
      <c r="R516" s="50">
        <v>934.0</v>
      </c>
      <c r="S516" s="50" t="s">
        <v>3371</v>
      </c>
      <c r="T516" s="56" t="s">
        <v>3372</v>
      </c>
      <c r="U516" s="53" t="s">
        <v>370</v>
      </c>
    </row>
    <row r="517">
      <c r="A517" s="54" t="s">
        <v>3373</v>
      </c>
      <c r="B517" s="50" t="s">
        <v>3374</v>
      </c>
      <c r="C517" s="51" t="s">
        <v>324</v>
      </c>
      <c r="D517" s="51"/>
      <c r="E517" s="51"/>
      <c r="F517" s="51"/>
      <c r="G517" s="50" t="s">
        <v>3368</v>
      </c>
      <c r="H517" s="52">
        <v>44683.42314814815</v>
      </c>
      <c r="I517" s="50"/>
      <c r="J517" s="50"/>
      <c r="K517" s="50"/>
      <c r="L517" s="50"/>
      <c r="M517" s="50" t="s">
        <v>3375</v>
      </c>
      <c r="N517" s="50"/>
      <c r="O517" s="53" t="s">
        <v>60</v>
      </c>
      <c r="P517" s="55" t="s">
        <v>3376</v>
      </c>
      <c r="Q517" s="50">
        <v>6198.0</v>
      </c>
      <c r="R517" s="50">
        <v>6805.0</v>
      </c>
      <c r="S517" s="50" t="s">
        <v>3377</v>
      </c>
      <c r="T517" s="56" t="s">
        <v>3378</v>
      </c>
      <c r="U517" s="53" t="s">
        <v>327</v>
      </c>
    </row>
    <row r="518">
      <c r="A518" s="54" t="s">
        <v>3379</v>
      </c>
      <c r="B518" s="50" t="s">
        <v>3380</v>
      </c>
      <c r="C518" s="51" t="s">
        <v>2424</v>
      </c>
      <c r="D518" s="51"/>
      <c r="E518" s="51"/>
      <c r="F518" s="51"/>
      <c r="G518" s="50" t="s">
        <v>3381</v>
      </c>
      <c r="H518" s="52">
        <v>44683.42300925926</v>
      </c>
      <c r="I518" s="50"/>
      <c r="J518" s="50"/>
      <c r="K518" s="50"/>
      <c r="L518" s="50"/>
      <c r="M518" s="50" t="s">
        <v>3382</v>
      </c>
      <c r="N518" s="50"/>
      <c r="O518" s="53" t="s">
        <v>217</v>
      </c>
      <c r="P518" s="55" t="s">
        <v>354</v>
      </c>
      <c r="Q518" s="50">
        <v>272.0</v>
      </c>
      <c r="R518" s="50">
        <v>6.0</v>
      </c>
      <c r="S518" s="50"/>
      <c r="T518" s="56" t="s">
        <v>3383</v>
      </c>
      <c r="U518" s="53" t="s">
        <v>2429</v>
      </c>
    </row>
    <row r="519">
      <c r="A519" s="54" t="s">
        <v>3384</v>
      </c>
      <c r="B519" s="50" t="s">
        <v>3385</v>
      </c>
      <c r="C519" s="51" t="s">
        <v>367</v>
      </c>
      <c r="D519" s="51"/>
      <c r="E519" s="51"/>
      <c r="F519" s="51"/>
      <c r="G519" s="50" t="s">
        <v>3386</v>
      </c>
      <c r="H519" s="52">
        <v>44683.42296296296</v>
      </c>
      <c r="I519" s="50"/>
      <c r="J519" s="50"/>
      <c r="K519" s="50"/>
      <c r="L519" s="50"/>
      <c r="M519" s="50" t="s">
        <v>3387</v>
      </c>
      <c r="N519" s="50"/>
      <c r="O519" s="53" t="s">
        <v>70</v>
      </c>
      <c r="P519" s="55" t="s">
        <v>3388</v>
      </c>
      <c r="Q519" s="50">
        <v>1090.0</v>
      </c>
      <c r="R519" s="50">
        <v>1765.0</v>
      </c>
      <c r="S519" s="50" t="s">
        <v>3389</v>
      </c>
      <c r="T519" s="56" t="s">
        <v>3390</v>
      </c>
      <c r="U519" s="53" t="s">
        <v>370</v>
      </c>
    </row>
    <row r="520">
      <c r="A520" s="54" t="s">
        <v>3391</v>
      </c>
      <c r="B520" s="50" t="s">
        <v>3392</v>
      </c>
      <c r="C520" s="51" t="s">
        <v>367</v>
      </c>
      <c r="D520" s="51"/>
      <c r="E520" s="51"/>
      <c r="F520" s="51"/>
      <c r="G520" s="50" t="s">
        <v>3393</v>
      </c>
      <c r="H520" s="52">
        <v>44683.42275462963</v>
      </c>
      <c r="I520" s="50"/>
      <c r="J520" s="50"/>
      <c r="K520" s="50"/>
      <c r="L520" s="50"/>
      <c r="M520" s="50" t="s">
        <v>3394</v>
      </c>
      <c r="N520" s="50"/>
      <c r="O520" s="53" t="s">
        <v>92</v>
      </c>
      <c r="P520" s="55" t="s">
        <v>3395</v>
      </c>
      <c r="Q520" s="50">
        <v>34288.0</v>
      </c>
      <c r="R520" s="50">
        <v>5513.0</v>
      </c>
      <c r="S520" s="50" t="s">
        <v>3396</v>
      </c>
      <c r="T520" s="56" t="s">
        <v>3397</v>
      </c>
      <c r="U520" s="53" t="s">
        <v>370</v>
      </c>
    </row>
    <row r="521">
      <c r="A521" s="54" t="s">
        <v>3398</v>
      </c>
      <c r="B521" s="50" t="s">
        <v>3399</v>
      </c>
      <c r="C521" s="51" t="s">
        <v>3400</v>
      </c>
      <c r="D521" s="51"/>
      <c r="E521" s="51"/>
      <c r="F521" s="51"/>
      <c r="G521" s="50" t="s">
        <v>3401</v>
      </c>
      <c r="H521" s="52">
        <v>44683.42271990741</v>
      </c>
      <c r="I521" s="50"/>
      <c r="J521" s="50"/>
      <c r="K521" s="50"/>
      <c r="L521" s="50"/>
      <c r="M521" s="50" t="s">
        <v>3402</v>
      </c>
      <c r="N521" s="50"/>
      <c r="O521" s="53" t="s">
        <v>60</v>
      </c>
      <c r="P521" s="55" t="s">
        <v>3403</v>
      </c>
      <c r="Q521" s="50">
        <v>641.0</v>
      </c>
      <c r="R521" s="50">
        <v>1837.0</v>
      </c>
      <c r="S521" s="50" t="s">
        <v>246</v>
      </c>
      <c r="T521" s="56" t="s">
        <v>3404</v>
      </c>
      <c r="U521" s="53" t="s">
        <v>3405</v>
      </c>
    </row>
    <row r="522">
      <c r="A522" s="54" t="s">
        <v>3406</v>
      </c>
      <c r="B522" s="50" t="s">
        <v>3407</v>
      </c>
      <c r="C522" s="51" t="s">
        <v>3408</v>
      </c>
      <c r="D522" s="51"/>
      <c r="E522" s="51"/>
      <c r="F522" s="51"/>
      <c r="G522" s="50" t="s">
        <v>3409</v>
      </c>
      <c r="H522" s="52">
        <v>44683.422534722224</v>
      </c>
      <c r="I522" s="50"/>
      <c r="J522" s="50"/>
      <c r="K522" s="50"/>
      <c r="L522" s="50"/>
      <c r="M522" s="50" t="s">
        <v>3410</v>
      </c>
      <c r="N522" s="50"/>
      <c r="O522" s="53" t="s">
        <v>3411</v>
      </c>
      <c r="P522" s="55" t="s">
        <v>3412</v>
      </c>
      <c r="Q522" s="50">
        <v>17.0</v>
      </c>
      <c r="R522" s="50">
        <v>104.0</v>
      </c>
      <c r="S522" s="50" t="s">
        <v>3413</v>
      </c>
      <c r="T522" s="56" t="s">
        <v>3414</v>
      </c>
      <c r="U522" s="53" t="s">
        <v>3415</v>
      </c>
    </row>
    <row r="523">
      <c r="A523" s="54" t="s">
        <v>3416</v>
      </c>
      <c r="B523" s="50" t="s">
        <v>3417</v>
      </c>
      <c r="C523" s="51" t="s">
        <v>316</v>
      </c>
      <c r="D523" s="51"/>
      <c r="E523" s="51"/>
      <c r="F523" s="51"/>
      <c r="G523" s="50" t="s">
        <v>3418</v>
      </c>
      <c r="H523" s="52">
        <v>44683.42238425926</v>
      </c>
      <c r="I523" s="50"/>
      <c r="J523" s="50"/>
      <c r="K523" s="50"/>
      <c r="L523" s="50"/>
      <c r="M523" s="50" t="s">
        <v>3419</v>
      </c>
      <c r="N523" s="50"/>
      <c r="O523" s="53" t="s">
        <v>70</v>
      </c>
      <c r="P523" s="55" t="s">
        <v>3420</v>
      </c>
      <c r="Q523" s="50">
        <v>1057.0</v>
      </c>
      <c r="R523" s="50">
        <v>1678.0</v>
      </c>
      <c r="S523" s="50" t="s">
        <v>3421</v>
      </c>
      <c r="T523" s="56" t="s">
        <v>3422</v>
      </c>
      <c r="U523" s="53" t="s">
        <v>322</v>
      </c>
    </row>
    <row r="524">
      <c r="A524" s="54" t="s">
        <v>3423</v>
      </c>
      <c r="B524" s="50" t="s">
        <v>3314</v>
      </c>
      <c r="C524" s="51" t="s">
        <v>3424</v>
      </c>
      <c r="D524" s="51"/>
      <c r="E524" s="51"/>
      <c r="F524" s="51"/>
      <c r="G524" s="50" t="s">
        <v>3425</v>
      </c>
      <c r="H524" s="52">
        <v>44683.42221064815</v>
      </c>
      <c r="I524" s="50"/>
      <c r="J524" s="50"/>
      <c r="K524" s="50" t="s">
        <v>3317</v>
      </c>
      <c r="L524" s="50" t="s">
        <v>3318</v>
      </c>
      <c r="M524" s="50" t="s">
        <v>3319</v>
      </c>
      <c r="N524" s="50" t="s">
        <v>3426</v>
      </c>
      <c r="O524" s="53" t="s">
        <v>217</v>
      </c>
      <c r="P524" s="55" t="s">
        <v>3321</v>
      </c>
      <c r="Q524" s="50">
        <v>3018.0</v>
      </c>
      <c r="R524" s="50">
        <v>3453.0</v>
      </c>
      <c r="S524" s="50" t="s">
        <v>3322</v>
      </c>
      <c r="T524" s="56" t="s">
        <v>3427</v>
      </c>
      <c r="U524" s="53" t="s">
        <v>3428</v>
      </c>
    </row>
    <row r="525">
      <c r="A525" s="54" t="s">
        <v>3429</v>
      </c>
      <c r="B525" s="50" t="s">
        <v>3430</v>
      </c>
      <c r="C525" s="51" t="s">
        <v>367</v>
      </c>
      <c r="D525" s="51"/>
      <c r="E525" s="51"/>
      <c r="F525" s="51"/>
      <c r="G525" s="50" t="s">
        <v>3431</v>
      </c>
      <c r="H525" s="52">
        <v>44683.421944444446</v>
      </c>
      <c r="I525" s="50"/>
      <c r="J525" s="50"/>
      <c r="K525" s="50"/>
      <c r="L525" s="50"/>
      <c r="M525" s="50" t="s">
        <v>3432</v>
      </c>
      <c r="N525" s="50"/>
      <c r="O525" s="53" t="s">
        <v>92</v>
      </c>
      <c r="P525" s="55" t="s">
        <v>3433</v>
      </c>
      <c r="Q525" s="50">
        <v>18.0</v>
      </c>
      <c r="R525" s="50">
        <v>35.0</v>
      </c>
      <c r="S525" s="50" t="s">
        <v>3434</v>
      </c>
      <c r="T525" s="56" t="s">
        <v>3435</v>
      </c>
      <c r="U525" s="53" t="s">
        <v>370</v>
      </c>
    </row>
    <row r="526">
      <c r="A526" s="54" t="s">
        <v>3436</v>
      </c>
      <c r="B526" s="50" t="s">
        <v>3437</v>
      </c>
      <c r="C526" s="51" t="s">
        <v>3438</v>
      </c>
      <c r="D526" s="51"/>
      <c r="E526" s="51"/>
      <c r="F526" s="51"/>
      <c r="G526" s="50" t="s">
        <v>3439</v>
      </c>
      <c r="H526" s="52">
        <v>44683.42182870371</v>
      </c>
      <c r="I526" s="50"/>
      <c r="J526" s="50"/>
      <c r="K526" s="50"/>
      <c r="L526" s="50"/>
      <c r="M526" s="50" t="s">
        <v>3440</v>
      </c>
      <c r="N526" s="50"/>
      <c r="O526" s="53" t="s">
        <v>70</v>
      </c>
      <c r="P526" s="55" t="s">
        <v>3441</v>
      </c>
      <c r="Q526" s="50">
        <v>410.0</v>
      </c>
      <c r="R526" s="50">
        <v>663.0</v>
      </c>
      <c r="S526" s="50"/>
      <c r="T526" s="56" t="s">
        <v>3442</v>
      </c>
      <c r="U526" s="53" t="s">
        <v>3443</v>
      </c>
    </row>
    <row r="527">
      <c r="A527" s="54" t="s">
        <v>3444</v>
      </c>
      <c r="B527" s="50" t="s">
        <v>3445</v>
      </c>
      <c r="C527" s="51" t="s">
        <v>687</v>
      </c>
      <c r="D527" s="51"/>
      <c r="E527" s="51"/>
      <c r="F527" s="51"/>
      <c r="G527" s="50" t="s">
        <v>3446</v>
      </c>
      <c r="H527" s="52">
        <v>44683.42166666666</v>
      </c>
      <c r="I527" s="50"/>
      <c r="J527" s="50"/>
      <c r="K527" s="50"/>
      <c r="L527" s="50"/>
      <c r="M527" s="50" t="s">
        <v>3447</v>
      </c>
      <c r="N527" s="50"/>
      <c r="O527" s="53" t="s">
        <v>70</v>
      </c>
      <c r="P527" s="55" t="s">
        <v>3448</v>
      </c>
      <c r="Q527" s="50">
        <v>218.0</v>
      </c>
      <c r="R527" s="50">
        <v>476.0</v>
      </c>
      <c r="S527" s="50" t="s">
        <v>1311</v>
      </c>
      <c r="T527" s="56" t="s">
        <v>3449</v>
      </c>
      <c r="U527" s="53" t="s">
        <v>691</v>
      </c>
    </row>
    <row r="528">
      <c r="A528" s="54" t="s">
        <v>3450</v>
      </c>
      <c r="B528" s="50" t="s">
        <v>3451</v>
      </c>
      <c r="C528" s="51" t="s">
        <v>3452</v>
      </c>
      <c r="D528" s="51"/>
      <c r="E528" s="51"/>
      <c r="F528" s="51"/>
      <c r="G528" s="50" t="s">
        <v>3453</v>
      </c>
      <c r="H528" s="52">
        <v>44683.421631944446</v>
      </c>
      <c r="I528" s="50"/>
      <c r="J528" s="50"/>
      <c r="K528" s="50"/>
      <c r="L528" s="50"/>
      <c r="M528" s="50" t="s">
        <v>3454</v>
      </c>
      <c r="N528" s="50"/>
      <c r="O528" s="53" t="s">
        <v>60</v>
      </c>
      <c r="P528" s="55" t="s">
        <v>3455</v>
      </c>
      <c r="Q528" s="50">
        <v>1254.0</v>
      </c>
      <c r="R528" s="50">
        <v>1737.0</v>
      </c>
      <c r="S528" s="50" t="s">
        <v>3456</v>
      </c>
      <c r="T528" s="56" t="s">
        <v>3457</v>
      </c>
      <c r="U528" s="53" t="s">
        <v>3458</v>
      </c>
    </row>
    <row r="529">
      <c r="A529" s="54" t="s">
        <v>3459</v>
      </c>
      <c r="B529" s="50" t="s">
        <v>3460</v>
      </c>
      <c r="C529" s="51" t="s">
        <v>3461</v>
      </c>
      <c r="D529" s="51"/>
      <c r="E529" s="51"/>
      <c r="F529" s="51"/>
      <c r="G529" s="50" t="s">
        <v>3462</v>
      </c>
      <c r="H529" s="52">
        <v>44683.42146990741</v>
      </c>
      <c r="I529" s="50"/>
      <c r="J529" s="50"/>
      <c r="K529" s="50" t="s">
        <v>3463</v>
      </c>
      <c r="L529" s="50" t="s">
        <v>3460</v>
      </c>
      <c r="M529" s="50" t="s">
        <v>3463</v>
      </c>
      <c r="N529" s="50" t="s">
        <v>3464</v>
      </c>
      <c r="O529" s="53" t="s">
        <v>92</v>
      </c>
      <c r="P529" s="55" t="s">
        <v>3465</v>
      </c>
      <c r="Q529" s="50">
        <v>2281.0</v>
      </c>
      <c r="R529" s="50">
        <v>2462.0</v>
      </c>
      <c r="S529" s="50" t="s">
        <v>3466</v>
      </c>
      <c r="T529" s="56" t="s">
        <v>3467</v>
      </c>
      <c r="U529" s="53" t="s">
        <v>3468</v>
      </c>
    </row>
    <row r="530">
      <c r="A530" s="54" t="s">
        <v>3469</v>
      </c>
      <c r="B530" s="50" t="s">
        <v>3470</v>
      </c>
      <c r="C530" s="51" t="s">
        <v>329</v>
      </c>
      <c r="D530" s="51"/>
      <c r="E530" s="51"/>
      <c r="F530" s="51"/>
      <c r="G530" s="50" t="s">
        <v>3471</v>
      </c>
      <c r="H530" s="52">
        <v>44683.421319444446</v>
      </c>
      <c r="I530" s="50"/>
      <c r="J530" s="50"/>
      <c r="K530" s="50"/>
      <c r="L530" s="50"/>
      <c r="M530" s="50" t="s">
        <v>3472</v>
      </c>
      <c r="N530" s="50"/>
      <c r="O530" s="53" t="s">
        <v>92</v>
      </c>
      <c r="P530" s="55" t="s">
        <v>3473</v>
      </c>
      <c r="Q530" s="50">
        <v>1041.0</v>
      </c>
      <c r="R530" s="50">
        <v>1698.0</v>
      </c>
      <c r="S530" s="50" t="s">
        <v>3474</v>
      </c>
      <c r="T530" s="56" t="s">
        <v>3475</v>
      </c>
      <c r="U530" s="53" t="s">
        <v>332</v>
      </c>
    </row>
    <row r="531">
      <c r="A531" s="54" t="s">
        <v>3476</v>
      </c>
      <c r="B531" s="50" t="s">
        <v>3477</v>
      </c>
      <c r="C531" s="51" t="s">
        <v>687</v>
      </c>
      <c r="D531" s="51"/>
      <c r="E531" s="51"/>
      <c r="F531" s="51"/>
      <c r="G531" s="50" t="s">
        <v>3478</v>
      </c>
      <c r="H531" s="52">
        <v>44683.42118055555</v>
      </c>
      <c r="I531" s="50"/>
      <c r="J531" s="50"/>
      <c r="K531" s="50"/>
      <c r="L531" s="50"/>
      <c r="M531" s="50" t="s">
        <v>3479</v>
      </c>
      <c r="N531" s="50"/>
      <c r="O531" s="53" t="s">
        <v>92</v>
      </c>
      <c r="P531" s="55" t="s">
        <v>3480</v>
      </c>
      <c r="Q531" s="50">
        <v>244.0</v>
      </c>
      <c r="R531" s="50">
        <v>290.0</v>
      </c>
      <c r="S531" s="50" t="s">
        <v>1007</v>
      </c>
      <c r="T531" s="56" t="s">
        <v>3481</v>
      </c>
      <c r="U531" s="53" t="s">
        <v>691</v>
      </c>
    </row>
    <row r="532">
      <c r="A532" s="54" t="s">
        <v>3482</v>
      </c>
      <c r="B532" s="50" t="s">
        <v>3483</v>
      </c>
      <c r="C532" s="51" t="s">
        <v>367</v>
      </c>
      <c r="D532" s="51"/>
      <c r="E532" s="51"/>
      <c r="F532" s="51"/>
      <c r="G532" s="50" t="s">
        <v>3484</v>
      </c>
      <c r="H532" s="52">
        <v>44683.42115740741</v>
      </c>
      <c r="I532" s="50"/>
      <c r="J532" s="50"/>
      <c r="K532" s="50"/>
      <c r="L532" s="50"/>
      <c r="M532" s="50" t="s">
        <v>3485</v>
      </c>
      <c r="N532" s="50"/>
      <c r="O532" s="53" t="s">
        <v>217</v>
      </c>
      <c r="P532" s="55" t="s">
        <v>3486</v>
      </c>
      <c r="Q532" s="50">
        <v>257.0</v>
      </c>
      <c r="R532" s="50">
        <v>226.0</v>
      </c>
      <c r="S532" s="50" t="s">
        <v>3487</v>
      </c>
      <c r="T532" s="56" t="s">
        <v>3488</v>
      </c>
      <c r="U532" s="53" t="s">
        <v>370</v>
      </c>
    </row>
    <row r="533">
      <c r="A533" s="54" t="s">
        <v>3489</v>
      </c>
      <c r="B533" s="50" t="s">
        <v>3490</v>
      </c>
      <c r="C533" s="51" t="s">
        <v>367</v>
      </c>
      <c r="D533" s="51"/>
      <c r="E533" s="51"/>
      <c r="F533" s="51"/>
      <c r="G533" s="50" t="s">
        <v>3491</v>
      </c>
      <c r="H533" s="52">
        <v>44683.421064814815</v>
      </c>
      <c r="I533" s="50"/>
      <c r="J533" s="50"/>
      <c r="K533" s="50"/>
      <c r="L533" s="50"/>
      <c r="M533" s="50" t="s">
        <v>3492</v>
      </c>
      <c r="N533" s="50"/>
      <c r="O533" s="53" t="s">
        <v>70</v>
      </c>
      <c r="P533" s="55" t="s">
        <v>3493</v>
      </c>
      <c r="Q533" s="50">
        <v>3580.0</v>
      </c>
      <c r="R533" s="50">
        <v>4905.0</v>
      </c>
      <c r="S533" s="50" t="s">
        <v>3494</v>
      </c>
      <c r="T533" s="56" t="s">
        <v>3495</v>
      </c>
      <c r="U533" s="53" t="s">
        <v>370</v>
      </c>
    </row>
    <row r="534">
      <c r="A534" s="54" t="s">
        <v>3496</v>
      </c>
      <c r="B534" s="50" t="s">
        <v>3497</v>
      </c>
      <c r="C534" s="51" t="s">
        <v>3498</v>
      </c>
      <c r="D534" s="51"/>
      <c r="E534" s="51"/>
      <c r="F534" s="51"/>
      <c r="G534" s="50" t="s">
        <v>3499</v>
      </c>
      <c r="H534" s="52">
        <v>44683.42103009259</v>
      </c>
      <c r="I534" s="50"/>
      <c r="J534" s="50"/>
      <c r="K534" s="50"/>
      <c r="L534" s="50"/>
      <c r="M534" s="50" t="s">
        <v>3500</v>
      </c>
      <c r="N534" s="50"/>
      <c r="O534" s="53" t="s">
        <v>92</v>
      </c>
      <c r="P534" s="55" t="s">
        <v>3501</v>
      </c>
      <c r="Q534" s="50">
        <v>60.0</v>
      </c>
      <c r="R534" s="50">
        <v>125.0</v>
      </c>
      <c r="S534" s="50"/>
      <c r="T534" s="56" t="s">
        <v>3502</v>
      </c>
      <c r="U534" s="53" t="s">
        <v>3503</v>
      </c>
    </row>
    <row r="535">
      <c r="A535" s="54" t="s">
        <v>3504</v>
      </c>
      <c r="B535" s="50" t="s">
        <v>3505</v>
      </c>
      <c r="C535" s="51" t="s">
        <v>367</v>
      </c>
      <c r="D535" s="51"/>
      <c r="E535" s="51"/>
      <c r="F535" s="51"/>
      <c r="G535" s="50" t="s">
        <v>3506</v>
      </c>
      <c r="H535" s="52">
        <v>44683.42097222222</v>
      </c>
      <c r="I535" s="50"/>
      <c r="J535" s="50"/>
      <c r="K535" s="50"/>
      <c r="L535" s="50"/>
      <c r="M535" s="50" t="s">
        <v>3507</v>
      </c>
      <c r="N535" s="50"/>
      <c r="O535" s="53" t="s">
        <v>70</v>
      </c>
      <c r="P535" s="55" t="s">
        <v>3508</v>
      </c>
      <c r="Q535" s="50">
        <v>1315.0</v>
      </c>
      <c r="R535" s="50">
        <v>1877.0</v>
      </c>
      <c r="S535" s="50"/>
      <c r="T535" s="56" t="s">
        <v>3509</v>
      </c>
      <c r="U535" s="53" t="s">
        <v>370</v>
      </c>
    </row>
    <row r="536">
      <c r="A536" s="54" t="s">
        <v>3510</v>
      </c>
      <c r="B536" s="50" t="s">
        <v>3511</v>
      </c>
      <c r="C536" s="51" t="s">
        <v>3512</v>
      </c>
      <c r="D536" s="51"/>
      <c r="E536" s="51"/>
      <c r="F536" s="51"/>
      <c r="G536" s="50" t="s">
        <v>3513</v>
      </c>
      <c r="H536" s="52">
        <v>44683.42092592592</v>
      </c>
      <c r="I536" s="50"/>
      <c r="J536" s="50"/>
      <c r="K536" s="50" t="s">
        <v>3514</v>
      </c>
      <c r="L536" s="50" t="s">
        <v>3515</v>
      </c>
      <c r="M536" s="50" t="s">
        <v>3516</v>
      </c>
      <c r="N536" s="50" t="s">
        <v>3517</v>
      </c>
      <c r="O536" s="53" t="s">
        <v>60</v>
      </c>
      <c r="P536" s="55" t="s">
        <v>3518</v>
      </c>
      <c r="Q536" s="50">
        <v>871.0</v>
      </c>
      <c r="R536" s="50">
        <v>329.0</v>
      </c>
      <c r="S536" s="50" t="s">
        <v>3519</v>
      </c>
      <c r="T536" s="56" t="s">
        <v>3520</v>
      </c>
      <c r="U536" s="53" t="s">
        <v>3521</v>
      </c>
    </row>
    <row r="537">
      <c r="A537" s="54" t="s">
        <v>3522</v>
      </c>
      <c r="B537" s="50" t="s">
        <v>3523</v>
      </c>
      <c r="C537" s="51" t="s">
        <v>3524</v>
      </c>
      <c r="D537" s="51"/>
      <c r="E537" s="51"/>
      <c r="F537" s="51"/>
      <c r="G537" s="50" t="s">
        <v>3525</v>
      </c>
      <c r="H537" s="52">
        <v>44683.42086805556</v>
      </c>
      <c r="I537" s="50"/>
      <c r="J537" s="50"/>
      <c r="K537" s="50"/>
      <c r="L537" s="50"/>
      <c r="M537" s="50" t="s">
        <v>3526</v>
      </c>
      <c r="N537" s="50"/>
      <c r="O537" s="53" t="s">
        <v>60</v>
      </c>
      <c r="P537" s="55" t="s">
        <v>3527</v>
      </c>
      <c r="Q537" s="50">
        <v>105.0</v>
      </c>
      <c r="R537" s="50">
        <v>202.0</v>
      </c>
      <c r="S537" s="50" t="s">
        <v>3528</v>
      </c>
      <c r="T537" s="56" t="s">
        <v>3529</v>
      </c>
      <c r="U537" s="53" t="s">
        <v>3530</v>
      </c>
    </row>
    <row r="538">
      <c r="A538" s="54" t="s">
        <v>3531</v>
      </c>
      <c r="B538" s="50" t="s">
        <v>3532</v>
      </c>
      <c r="C538" s="51" t="s">
        <v>367</v>
      </c>
      <c r="D538" s="51"/>
      <c r="E538" s="51"/>
      <c r="F538" s="51"/>
      <c r="G538" s="50" t="s">
        <v>3533</v>
      </c>
      <c r="H538" s="52">
        <v>44683.42082175926</v>
      </c>
      <c r="I538" s="50"/>
      <c r="J538" s="50"/>
      <c r="K538" s="50"/>
      <c r="L538" s="50"/>
      <c r="M538" s="50" t="s">
        <v>3534</v>
      </c>
      <c r="N538" s="50"/>
      <c r="O538" s="53" t="s">
        <v>92</v>
      </c>
      <c r="P538" s="55" t="s">
        <v>3535</v>
      </c>
      <c r="Q538" s="50">
        <v>757.0</v>
      </c>
      <c r="R538" s="50">
        <v>990.0</v>
      </c>
      <c r="S538" s="50" t="s">
        <v>3536</v>
      </c>
      <c r="T538" s="56" t="s">
        <v>3537</v>
      </c>
      <c r="U538" s="53" t="s">
        <v>370</v>
      </c>
    </row>
    <row r="539">
      <c r="A539" s="54" t="s">
        <v>3538</v>
      </c>
      <c r="B539" s="50" t="s">
        <v>3539</v>
      </c>
      <c r="C539" s="51" t="s">
        <v>3452</v>
      </c>
      <c r="D539" s="51"/>
      <c r="E539" s="51"/>
      <c r="F539" s="51"/>
      <c r="G539" s="50" t="s">
        <v>3540</v>
      </c>
      <c r="H539" s="52">
        <v>44683.42054398148</v>
      </c>
      <c r="I539" s="50"/>
      <c r="J539" s="50"/>
      <c r="K539" s="50"/>
      <c r="L539" s="50"/>
      <c r="M539" s="50" t="s">
        <v>3541</v>
      </c>
      <c r="N539" s="50"/>
      <c r="O539" s="53" t="s">
        <v>217</v>
      </c>
      <c r="P539" s="55" t="s">
        <v>3542</v>
      </c>
      <c r="Q539" s="50">
        <v>6772.0</v>
      </c>
      <c r="R539" s="50">
        <v>7135.0</v>
      </c>
      <c r="S539" s="50" t="s">
        <v>3543</v>
      </c>
      <c r="T539" s="56" t="s">
        <v>3544</v>
      </c>
      <c r="U539" s="53" t="s">
        <v>3458</v>
      </c>
    </row>
    <row r="540">
      <c r="A540" s="54" t="s">
        <v>3545</v>
      </c>
      <c r="B540" s="50" t="s">
        <v>3546</v>
      </c>
      <c r="C540" s="51" t="s">
        <v>3547</v>
      </c>
      <c r="D540" s="51"/>
      <c r="E540" s="51"/>
      <c r="F540" s="51"/>
      <c r="G540" s="50" t="s">
        <v>3548</v>
      </c>
      <c r="H540" s="52">
        <v>44683.420335648145</v>
      </c>
      <c r="I540" s="50"/>
      <c r="J540" s="50"/>
      <c r="K540" s="50"/>
      <c r="L540" s="50"/>
      <c r="M540" s="50" t="s">
        <v>3549</v>
      </c>
      <c r="N540" s="50"/>
      <c r="O540" s="53" t="s">
        <v>60</v>
      </c>
      <c r="P540" s="55" t="s">
        <v>3550</v>
      </c>
      <c r="Q540" s="50">
        <v>820.0</v>
      </c>
      <c r="R540" s="50">
        <v>3491.0</v>
      </c>
      <c r="S540" s="50" t="s">
        <v>379</v>
      </c>
      <c r="T540" s="56" t="s">
        <v>3551</v>
      </c>
      <c r="U540" s="53" t="s">
        <v>3552</v>
      </c>
    </row>
    <row r="541">
      <c r="A541" s="54" t="s">
        <v>3553</v>
      </c>
      <c r="B541" s="50" t="s">
        <v>3554</v>
      </c>
      <c r="C541" s="51" t="s">
        <v>316</v>
      </c>
      <c r="D541" s="51"/>
      <c r="E541" s="51"/>
      <c r="F541" s="51"/>
      <c r="G541" s="50" t="s">
        <v>3555</v>
      </c>
      <c r="H541" s="52">
        <v>44683.42024305556</v>
      </c>
      <c r="I541" s="50"/>
      <c r="J541" s="50"/>
      <c r="K541" s="50"/>
      <c r="L541" s="50"/>
      <c r="M541" s="50" t="s">
        <v>3556</v>
      </c>
      <c r="N541" s="50"/>
      <c r="O541" s="53" t="s">
        <v>70</v>
      </c>
      <c r="P541" s="55" t="s">
        <v>3557</v>
      </c>
      <c r="Q541" s="50">
        <v>900.0</v>
      </c>
      <c r="R541" s="50">
        <v>1519.0</v>
      </c>
      <c r="S541" s="50" t="s">
        <v>1311</v>
      </c>
      <c r="T541" s="56" t="s">
        <v>3558</v>
      </c>
      <c r="U541" s="53" t="s">
        <v>322</v>
      </c>
    </row>
    <row r="542">
      <c r="A542" s="54" t="s">
        <v>3559</v>
      </c>
      <c r="B542" s="50" t="s">
        <v>3560</v>
      </c>
      <c r="C542" s="51" t="s">
        <v>1402</v>
      </c>
      <c r="D542" s="51"/>
      <c r="E542" s="51"/>
      <c r="F542" s="51"/>
      <c r="G542" s="50" t="s">
        <v>3561</v>
      </c>
      <c r="H542" s="52">
        <v>44683.420219907406</v>
      </c>
      <c r="I542" s="50"/>
      <c r="J542" s="50"/>
      <c r="K542" s="50"/>
      <c r="L542" s="50"/>
      <c r="M542" s="50" t="s">
        <v>3562</v>
      </c>
      <c r="N542" s="50"/>
      <c r="O542" s="53" t="s">
        <v>217</v>
      </c>
      <c r="P542" s="55" t="s">
        <v>3563</v>
      </c>
      <c r="Q542" s="50">
        <v>789.0</v>
      </c>
      <c r="R542" s="50">
        <v>2441.0</v>
      </c>
      <c r="S542" s="50" t="s">
        <v>805</v>
      </c>
      <c r="T542" s="56" t="s">
        <v>3564</v>
      </c>
      <c r="U542" s="53" t="s">
        <v>1408</v>
      </c>
    </row>
    <row r="543">
      <c r="A543" s="54" t="s">
        <v>3565</v>
      </c>
      <c r="B543" s="50" t="s">
        <v>3566</v>
      </c>
      <c r="C543" s="51" t="s">
        <v>2869</v>
      </c>
      <c r="D543" s="51"/>
      <c r="E543" s="51"/>
      <c r="F543" s="51"/>
      <c r="G543" s="50" t="s">
        <v>3567</v>
      </c>
      <c r="H543" s="52">
        <v>44683.420081018514</v>
      </c>
      <c r="I543" s="50"/>
      <c r="J543" s="50"/>
      <c r="K543" s="50"/>
      <c r="L543" s="50"/>
      <c r="M543" s="50" t="s">
        <v>3568</v>
      </c>
      <c r="N543" s="50"/>
      <c r="O543" s="53" t="s">
        <v>70</v>
      </c>
      <c r="P543" s="55" t="s">
        <v>3569</v>
      </c>
      <c r="Q543" s="50">
        <v>4476.0</v>
      </c>
      <c r="R543" s="50">
        <v>4402.0</v>
      </c>
      <c r="S543" s="50"/>
      <c r="T543" s="56" t="s">
        <v>3570</v>
      </c>
      <c r="U543" s="53" t="s">
        <v>2874</v>
      </c>
    </row>
    <row r="544">
      <c r="A544" s="54" t="s">
        <v>3571</v>
      </c>
      <c r="B544" s="50" t="s">
        <v>3407</v>
      </c>
      <c r="C544" s="51" t="s">
        <v>3572</v>
      </c>
      <c r="D544" s="51"/>
      <c r="E544" s="51"/>
      <c r="F544" s="51"/>
      <c r="G544" s="50" t="s">
        <v>3573</v>
      </c>
      <c r="H544" s="52">
        <v>44683.42002314815</v>
      </c>
      <c r="I544" s="50"/>
      <c r="J544" s="50"/>
      <c r="K544" s="50"/>
      <c r="L544" s="50"/>
      <c r="M544" s="50" t="s">
        <v>3410</v>
      </c>
      <c r="N544" s="50"/>
      <c r="O544" s="53" t="s">
        <v>3574</v>
      </c>
      <c r="P544" s="55" t="s">
        <v>3412</v>
      </c>
      <c r="Q544" s="50">
        <v>17.0</v>
      </c>
      <c r="R544" s="50">
        <v>104.0</v>
      </c>
      <c r="S544" s="50" t="s">
        <v>3413</v>
      </c>
      <c r="T544" s="56" t="s">
        <v>3575</v>
      </c>
      <c r="U544" s="53" t="s">
        <v>3576</v>
      </c>
    </row>
    <row r="545">
      <c r="A545" s="54" t="s">
        <v>3577</v>
      </c>
      <c r="B545" s="50" t="s">
        <v>3578</v>
      </c>
      <c r="C545" s="51" t="s">
        <v>1402</v>
      </c>
      <c r="D545" s="51"/>
      <c r="E545" s="51"/>
      <c r="F545" s="51"/>
      <c r="G545" s="50" t="s">
        <v>3579</v>
      </c>
      <c r="H545" s="52">
        <v>44683.41998842593</v>
      </c>
      <c r="I545" s="50"/>
      <c r="J545" s="50"/>
      <c r="K545" s="50"/>
      <c r="L545" s="50"/>
      <c r="M545" s="50" t="s">
        <v>3580</v>
      </c>
      <c r="N545" s="50"/>
      <c r="O545" s="53" t="s">
        <v>70</v>
      </c>
      <c r="P545" s="55" t="s">
        <v>3581</v>
      </c>
      <c r="Q545" s="50">
        <v>2397.0</v>
      </c>
      <c r="R545" s="50">
        <v>1328.0</v>
      </c>
      <c r="S545" s="50" t="s">
        <v>3582</v>
      </c>
      <c r="T545" s="56" t="s">
        <v>3583</v>
      </c>
      <c r="U545" s="53" t="s">
        <v>1408</v>
      </c>
    </row>
    <row r="546">
      <c r="A546" s="54" t="s">
        <v>3584</v>
      </c>
      <c r="B546" s="50" t="s">
        <v>3585</v>
      </c>
      <c r="C546" s="51" t="s">
        <v>367</v>
      </c>
      <c r="D546" s="51"/>
      <c r="E546" s="51"/>
      <c r="F546" s="51"/>
      <c r="G546" s="50" t="s">
        <v>3586</v>
      </c>
      <c r="H546" s="52">
        <v>44683.419965277775</v>
      </c>
      <c r="I546" s="50"/>
      <c r="J546" s="50"/>
      <c r="K546" s="50"/>
      <c r="L546" s="50"/>
      <c r="M546" s="50" t="s">
        <v>3587</v>
      </c>
      <c r="N546" s="50"/>
      <c r="O546" s="53" t="s">
        <v>217</v>
      </c>
      <c r="P546" s="55" t="s">
        <v>3588</v>
      </c>
      <c r="Q546" s="50">
        <v>4162.0</v>
      </c>
      <c r="R546" s="50">
        <v>5002.0</v>
      </c>
      <c r="S546" s="50" t="s">
        <v>1311</v>
      </c>
      <c r="T546" s="56" t="s">
        <v>3589</v>
      </c>
      <c r="U546" s="53" t="s">
        <v>370</v>
      </c>
    </row>
    <row r="547">
      <c r="A547" s="54" t="s">
        <v>3590</v>
      </c>
      <c r="B547" s="50" t="s">
        <v>3591</v>
      </c>
      <c r="C547" s="51" t="s">
        <v>3592</v>
      </c>
      <c r="D547" s="51"/>
      <c r="E547" s="51"/>
      <c r="F547" s="51"/>
      <c r="G547" s="50" t="s">
        <v>3593</v>
      </c>
      <c r="H547" s="52">
        <v>44683.41989583333</v>
      </c>
      <c r="I547" s="50"/>
      <c r="J547" s="50"/>
      <c r="K547" s="50"/>
      <c r="L547" s="50"/>
      <c r="M547" s="50" t="s">
        <v>3594</v>
      </c>
      <c r="N547" s="50"/>
      <c r="O547" s="53" t="s">
        <v>92</v>
      </c>
      <c r="P547" s="55" t="s">
        <v>3595</v>
      </c>
      <c r="Q547" s="50">
        <v>95.0</v>
      </c>
      <c r="R547" s="50">
        <v>1014.0</v>
      </c>
      <c r="S547" s="50"/>
      <c r="T547" s="56" t="s">
        <v>3596</v>
      </c>
      <c r="U547" s="53" t="s">
        <v>3597</v>
      </c>
    </row>
    <row r="548">
      <c r="A548" s="54" t="s">
        <v>3598</v>
      </c>
      <c r="B548" s="50" t="s">
        <v>3599</v>
      </c>
      <c r="C548" s="51" t="s">
        <v>316</v>
      </c>
      <c r="D548" s="51"/>
      <c r="E548" s="51"/>
      <c r="F548" s="51"/>
      <c r="G548" s="50" t="s">
        <v>3600</v>
      </c>
      <c r="H548" s="52">
        <v>44683.41987268519</v>
      </c>
      <c r="I548" s="50"/>
      <c r="J548" s="50"/>
      <c r="K548" s="50"/>
      <c r="L548" s="50"/>
      <c r="M548" s="50" t="s">
        <v>3601</v>
      </c>
      <c r="N548" s="50"/>
      <c r="O548" s="53" t="s">
        <v>70</v>
      </c>
      <c r="P548" s="55" t="s">
        <v>3602</v>
      </c>
      <c r="Q548" s="50">
        <v>2666.0</v>
      </c>
      <c r="R548" s="50">
        <v>3644.0</v>
      </c>
      <c r="S548" s="50" t="s">
        <v>3603</v>
      </c>
      <c r="T548" s="56" t="s">
        <v>3604</v>
      </c>
      <c r="U548" s="53" t="s">
        <v>322</v>
      </c>
    </row>
    <row r="549">
      <c r="A549" s="54" t="s">
        <v>3605</v>
      </c>
      <c r="B549" s="50" t="s">
        <v>3314</v>
      </c>
      <c r="C549" s="51" t="s">
        <v>3606</v>
      </c>
      <c r="D549" s="51"/>
      <c r="E549" s="51"/>
      <c r="F549" s="51"/>
      <c r="G549" s="50" t="s">
        <v>3607</v>
      </c>
      <c r="H549" s="52">
        <v>44683.41967592592</v>
      </c>
      <c r="I549" s="50"/>
      <c r="J549" s="50"/>
      <c r="K549" s="50" t="s">
        <v>3608</v>
      </c>
      <c r="L549" s="50" t="s">
        <v>3609</v>
      </c>
      <c r="M549" s="50" t="s">
        <v>3319</v>
      </c>
      <c r="N549" s="50" t="s">
        <v>3610</v>
      </c>
      <c r="O549" s="53" t="s">
        <v>217</v>
      </c>
      <c r="P549" s="55" t="s">
        <v>3321</v>
      </c>
      <c r="Q549" s="50">
        <v>3018.0</v>
      </c>
      <c r="R549" s="50">
        <v>3453.0</v>
      </c>
      <c r="S549" s="50" t="s">
        <v>3322</v>
      </c>
      <c r="T549" s="56" t="s">
        <v>3611</v>
      </c>
      <c r="U549" s="53" t="s">
        <v>3612</v>
      </c>
    </row>
    <row r="550">
      <c r="A550" s="54" t="s">
        <v>3613</v>
      </c>
      <c r="B550" s="50" t="s">
        <v>3614</v>
      </c>
      <c r="C550" s="51" t="s">
        <v>1307</v>
      </c>
      <c r="D550" s="51"/>
      <c r="E550" s="51"/>
      <c r="F550" s="51"/>
      <c r="G550" s="50" t="s">
        <v>3615</v>
      </c>
      <c r="H550" s="52">
        <v>44683.419583333336</v>
      </c>
      <c r="I550" s="50"/>
      <c r="J550" s="50"/>
      <c r="K550" s="50"/>
      <c r="L550" s="50"/>
      <c r="M550" s="50" t="s">
        <v>3616</v>
      </c>
      <c r="N550" s="50"/>
      <c r="O550" s="53" t="s">
        <v>60</v>
      </c>
      <c r="P550" s="55" t="s">
        <v>3617</v>
      </c>
      <c r="Q550" s="50">
        <v>1758.0</v>
      </c>
      <c r="R550" s="50">
        <v>3355.0</v>
      </c>
      <c r="S550" s="50" t="s">
        <v>163</v>
      </c>
      <c r="T550" s="56" t="s">
        <v>3618</v>
      </c>
      <c r="U550" s="53" t="s">
        <v>1313</v>
      </c>
    </row>
    <row r="551">
      <c r="A551" s="54" t="s">
        <v>3619</v>
      </c>
      <c r="B551" s="50" t="s">
        <v>3620</v>
      </c>
      <c r="C551" s="51" t="s">
        <v>3621</v>
      </c>
      <c r="D551" s="51"/>
      <c r="E551" s="51"/>
      <c r="F551" s="51"/>
      <c r="G551" s="50" t="s">
        <v>3622</v>
      </c>
      <c r="H551" s="52">
        <v>44683.41954861111</v>
      </c>
      <c r="I551" s="50"/>
      <c r="J551" s="50"/>
      <c r="K551" s="50" t="s">
        <v>3623</v>
      </c>
      <c r="L551" s="50" t="s">
        <v>3620</v>
      </c>
      <c r="M551" s="50" t="s">
        <v>3623</v>
      </c>
      <c r="N551" s="50" t="s">
        <v>3624</v>
      </c>
      <c r="O551" s="53" t="s">
        <v>60</v>
      </c>
      <c r="P551" s="55" t="s">
        <v>3625</v>
      </c>
      <c r="Q551" s="50">
        <v>2766.0</v>
      </c>
      <c r="R551" s="50">
        <v>3219.0</v>
      </c>
      <c r="S551" s="50" t="s">
        <v>3626</v>
      </c>
      <c r="T551" s="56" t="s">
        <v>3627</v>
      </c>
      <c r="U551" s="53" t="s">
        <v>3628</v>
      </c>
    </row>
    <row r="552">
      <c r="A552" s="54" t="s">
        <v>3629</v>
      </c>
      <c r="B552" s="50" t="s">
        <v>3630</v>
      </c>
      <c r="C552" s="51" t="s">
        <v>3631</v>
      </c>
      <c r="D552" s="51"/>
      <c r="E552" s="51"/>
      <c r="F552" s="51"/>
      <c r="G552" s="50" t="s">
        <v>3632</v>
      </c>
      <c r="H552" s="52">
        <v>44683.41923611111</v>
      </c>
      <c r="I552" s="50"/>
      <c r="J552" s="50"/>
      <c r="K552" s="50" t="s">
        <v>3633</v>
      </c>
      <c r="L552" s="50" t="s">
        <v>3634</v>
      </c>
      <c r="M552" s="50" t="s">
        <v>3635</v>
      </c>
      <c r="N552" s="50" t="s">
        <v>3636</v>
      </c>
      <c r="O552" s="53" t="s">
        <v>60</v>
      </c>
      <c r="P552" s="55" t="s">
        <v>3637</v>
      </c>
      <c r="Q552" s="50">
        <v>516.0</v>
      </c>
      <c r="R552" s="50">
        <v>1508.0</v>
      </c>
      <c r="S552" s="50" t="s">
        <v>1311</v>
      </c>
      <c r="T552" s="56" t="s">
        <v>3638</v>
      </c>
      <c r="U552" s="53" t="s">
        <v>3639</v>
      </c>
    </row>
    <row r="553">
      <c r="A553" s="54" t="s">
        <v>3640</v>
      </c>
      <c r="B553" s="50" t="s">
        <v>3641</v>
      </c>
      <c r="C553" s="51" t="s">
        <v>1307</v>
      </c>
      <c r="D553" s="51"/>
      <c r="E553" s="51"/>
      <c r="F553" s="51"/>
      <c r="G553" s="50" t="s">
        <v>3642</v>
      </c>
      <c r="H553" s="52">
        <v>44683.41916666667</v>
      </c>
      <c r="I553" s="50"/>
      <c r="J553" s="50"/>
      <c r="K553" s="50"/>
      <c r="L553" s="50"/>
      <c r="M553" s="50" t="s">
        <v>3643</v>
      </c>
      <c r="N553" s="50"/>
      <c r="O553" s="53" t="s">
        <v>60</v>
      </c>
      <c r="P553" s="55" t="s">
        <v>354</v>
      </c>
      <c r="Q553" s="50">
        <v>44.0</v>
      </c>
      <c r="R553" s="50">
        <v>98.0</v>
      </c>
      <c r="S553" s="50"/>
      <c r="T553" s="56" t="s">
        <v>3644</v>
      </c>
      <c r="U553" s="53" t="s">
        <v>1313</v>
      </c>
    </row>
    <row r="554">
      <c r="A554" s="54" t="s">
        <v>3645</v>
      </c>
      <c r="B554" s="50" t="s">
        <v>3646</v>
      </c>
      <c r="C554" s="51" t="s">
        <v>1402</v>
      </c>
      <c r="D554" s="51"/>
      <c r="E554" s="51"/>
      <c r="F554" s="51"/>
      <c r="G554" s="50" t="s">
        <v>3642</v>
      </c>
      <c r="H554" s="52">
        <v>44683.41916666667</v>
      </c>
      <c r="I554" s="50"/>
      <c r="J554" s="50"/>
      <c r="K554" s="50"/>
      <c r="L554" s="50"/>
      <c r="M554" s="50" t="s">
        <v>3647</v>
      </c>
      <c r="N554" s="50"/>
      <c r="O554" s="53" t="s">
        <v>217</v>
      </c>
      <c r="P554" s="55" t="s">
        <v>3648</v>
      </c>
      <c r="Q554" s="50">
        <v>3443.0</v>
      </c>
      <c r="R554" s="50">
        <v>4602.0</v>
      </c>
      <c r="S554" s="50" t="s">
        <v>3649</v>
      </c>
      <c r="T554" s="56" t="s">
        <v>3650</v>
      </c>
      <c r="U554" s="53" t="s">
        <v>1408</v>
      </c>
    </row>
    <row r="555">
      <c r="A555" s="54" t="s">
        <v>3651</v>
      </c>
      <c r="B555" s="50" t="s">
        <v>298</v>
      </c>
      <c r="C555" s="51" t="s">
        <v>3652</v>
      </c>
      <c r="D555" s="51"/>
      <c r="E555" s="51"/>
      <c r="F555" s="51"/>
      <c r="G555" s="50" t="s">
        <v>3653</v>
      </c>
      <c r="H555" s="52">
        <v>44683.41915509259</v>
      </c>
      <c r="I555" s="50"/>
      <c r="J555" s="50"/>
      <c r="K555" s="50"/>
      <c r="L555" s="50"/>
      <c r="M555" s="50" t="s">
        <v>302</v>
      </c>
      <c r="N555" s="50"/>
      <c r="O555" s="53" t="s">
        <v>92</v>
      </c>
      <c r="P555" s="55" t="s">
        <v>303</v>
      </c>
      <c r="Q555" s="50">
        <v>4136.0</v>
      </c>
      <c r="R555" s="50">
        <v>4374.0</v>
      </c>
      <c r="S555" s="50" t="s">
        <v>304</v>
      </c>
      <c r="T555" s="56" t="s">
        <v>3654</v>
      </c>
      <c r="U555" s="53" t="s">
        <v>3655</v>
      </c>
    </row>
    <row r="556">
      <c r="A556" s="54" t="s">
        <v>3656</v>
      </c>
      <c r="B556" s="50" t="s">
        <v>3657</v>
      </c>
      <c r="C556" s="51" t="s">
        <v>3658</v>
      </c>
      <c r="D556" s="51"/>
      <c r="E556" s="51"/>
      <c r="F556" s="51"/>
      <c r="G556" s="50" t="s">
        <v>3659</v>
      </c>
      <c r="H556" s="52">
        <v>44683.4187962963</v>
      </c>
      <c r="I556" s="50"/>
      <c r="J556" s="50"/>
      <c r="K556" s="50" t="s">
        <v>3633</v>
      </c>
      <c r="L556" s="50" t="s">
        <v>3634</v>
      </c>
      <c r="M556" s="50" t="s">
        <v>3660</v>
      </c>
      <c r="N556" s="50" t="s">
        <v>3636</v>
      </c>
      <c r="O556" s="53" t="s">
        <v>70</v>
      </c>
      <c r="P556" s="55" t="s">
        <v>3661</v>
      </c>
      <c r="Q556" s="50">
        <v>158.0</v>
      </c>
      <c r="R556" s="50">
        <v>696.0</v>
      </c>
      <c r="S556" s="50" t="s">
        <v>3662</v>
      </c>
      <c r="T556" s="56" t="s">
        <v>3663</v>
      </c>
      <c r="U556" s="53" t="s">
        <v>3664</v>
      </c>
    </row>
    <row r="557">
      <c r="A557" s="54" t="s">
        <v>3665</v>
      </c>
      <c r="B557" s="50" t="s">
        <v>3666</v>
      </c>
      <c r="C557" s="51" t="s">
        <v>3667</v>
      </c>
      <c r="D557" s="51"/>
      <c r="E557" s="51"/>
      <c r="F557" s="51"/>
      <c r="G557" s="50" t="s">
        <v>3668</v>
      </c>
      <c r="H557" s="52">
        <v>44683.418692129635</v>
      </c>
      <c r="I557" s="50"/>
      <c r="J557" s="50"/>
      <c r="K557" s="50"/>
      <c r="L557" s="50"/>
      <c r="M557" s="50" t="s">
        <v>3669</v>
      </c>
      <c r="N557" s="50"/>
      <c r="O557" s="53" t="s">
        <v>70</v>
      </c>
      <c r="P557" s="55" t="s">
        <v>3670</v>
      </c>
      <c r="Q557" s="50">
        <v>524.0</v>
      </c>
      <c r="R557" s="50">
        <v>1054.0</v>
      </c>
      <c r="S557" s="50" t="s">
        <v>3671</v>
      </c>
      <c r="T557" s="56" t="s">
        <v>3672</v>
      </c>
      <c r="U557" s="53" t="s">
        <v>3673</v>
      </c>
    </row>
    <row r="558">
      <c r="A558" s="54" t="s">
        <v>3674</v>
      </c>
      <c r="B558" s="50" t="s">
        <v>3675</v>
      </c>
      <c r="C558" s="51" t="s">
        <v>363</v>
      </c>
      <c r="D558" s="51"/>
      <c r="E558" s="51"/>
      <c r="F558" s="51"/>
      <c r="G558" s="50" t="s">
        <v>3676</v>
      </c>
      <c r="H558" s="52">
        <v>44683.41866898148</v>
      </c>
      <c r="I558" s="50"/>
      <c r="J558" s="50"/>
      <c r="K558" s="50"/>
      <c r="L558" s="50"/>
      <c r="M558" s="50" t="s">
        <v>3677</v>
      </c>
      <c r="N558" s="50"/>
      <c r="O558" s="53" t="s">
        <v>60</v>
      </c>
      <c r="P558" s="55" t="s">
        <v>3678</v>
      </c>
      <c r="Q558" s="50">
        <v>131.0</v>
      </c>
      <c r="R558" s="50">
        <v>54.0</v>
      </c>
      <c r="S558" s="50"/>
      <c r="T558" s="56" t="s">
        <v>3679</v>
      </c>
      <c r="U558" s="53" t="s">
        <v>332</v>
      </c>
    </row>
    <row r="559">
      <c r="A559" s="54" t="s">
        <v>3680</v>
      </c>
      <c r="B559" s="50" t="s">
        <v>3675</v>
      </c>
      <c r="C559" s="51" t="s">
        <v>335</v>
      </c>
      <c r="D559" s="51"/>
      <c r="E559" s="51"/>
      <c r="F559" s="51"/>
      <c r="G559" s="50" t="s">
        <v>3681</v>
      </c>
      <c r="H559" s="52">
        <v>44683.41861111111</v>
      </c>
      <c r="I559" s="50"/>
      <c r="J559" s="50"/>
      <c r="K559" s="50"/>
      <c r="L559" s="50"/>
      <c r="M559" s="50" t="s">
        <v>3677</v>
      </c>
      <c r="N559" s="50"/>
      <c r="O559" s="53" t="s">
        <v>60</v>
      </c>
      <c r="P559" s="55" t="s">
        <v>3678</v>
      </c>
      <c r="Q559" s="50">
        <v>131.0</v>
      </c>
      <c r="R559" s="50">
        <v>54.0</v>
      </c>
      <c r="S559" s="50"/>
      <c r="T559" s="56" t="s">
        <v>3682</v>
      </c>
      <c r="U559" s="53" t="s">
        <v>339</v>
      </c>
    </row>
    <row r="560">
      <c r="A560" s="54" t="s">
        <v>3683</v>
      </c>
      <c r="B560" s="50" t="s">
        <v>3684</v>
      </c>
      <c r="C560" s="51" t="s">
        <v>1402</v>
      </c>
      <c r="D560" s="51"/>
      <c r="E560" s="51"/>
      <c r="F560" s="51"/>
      <c r="G560" s="50" t="s">
        <v>3685</v>
      </c>
      <c r="H560" s="52">
        <v>44683.41855324074</v>
      </c>
      <c r="I560" s="50"/>
      <c r="J560" s="50"/>
      <c r="K560" s="50"/>
      <c r="L560" s="50"/>
      <c r="M560" s="50" t="s">
        <v>3686</v>
      </c>
      <c r="N560" s="50"/>
      <c r="O560" s="53" t="s">
        <v>60</v>
      </c>
      <c r="P560" s="55" t="s">
        <v>3687</v>
      </c>
      <c r="Q560" s="50">
        <v>1744.0</v>
      </c>
      <c r="R560" s="50">
        <v>3384.0</v>
      </c>
      <c r="S560" s="50" t="s">
        <v>2610</v>
      </c>
      <c r="T560" s="56" t="s">
        <v>3688</v>
      </c>
      <c r="U560" s="53" t="s">
        <v>1408</v>
      </c>
    </row>
    <row r="561">
      <c r="A561" s="54" t="s">
        <v>3689</v>
      </c>
      <c r="B561" s="50" t="s">
        <v>1550</v>
      </c>
      <c r="C561" s="51" t="s">
        <v>3690</v>
      </c>
      <c r="D561" s="51"/>
      <c r="E561" s="51"/>
      <c r="F561" s="51"/>
      <c r="G561" s="50" t="s">
        <v>3691</v>
      </c>
      <c r="H561" s="52">
        <v>44683.418437500004</v>
      </c>
      <c r="I561" s="50"/>
      <c r="J561" s="50"/>
      <c r="K561" s="50"/>
      <c r="L561" s="50"/>
      <c r="M561" s="50" t="s">
        <v>1553</v>
      </c>
      <c r="N561" s="50"/>
      <c r="O561" s="53" t="s">
        <v>70</v>
      </c>
      <c r="P561" s="55" t="s">
        <v>1554</v>
      </c>
      <c r="Q561" s="50">
        <v>380.0</v>
      </c>
      <c r="R561" s="50">
        <v>526.0</v>
      </c>
      <c r="S561" s="50"/>
      <c r="T561" s="56" t="s">
        <v>3692</v>
      </c>
      <c r="U561" s="53" t="s">
        <v>3693</v>
      </c>
    </row>
    <row r="562">
      <c r="A562" s="54" t="s">
        <v>3694</v>
      </c>
      <c r="B562" s="50" t="s">
        <v>3695</v>
      </c>
      <c r="C562" s="51" t="s">
        <v>3696</v>
      </c>
      <c r="D562" s="51"/>
      <c r="E562" s="51"/>
      <c r="F562" s="51"/>
      <c r="G562" s="50" t="s">
        <v>3691</v>
      </c>
      <c r="H562" s="52">
        <v>44683.418437500004</v>
      </c>
      <c r="I562" s="50"/>
      <c r="J562" s="50"/>
      <c r="K562" s="50"/>
      <c r="L562" s="50"/>
      <c r="M562" s="50" t="s">
        <v>3697</v>
      </c>
      <c r="N562" s="50"/>
      <c r="O562" s="53" t="s">
        <v>92</v>
      </c>
      <c r="P562" s="55" t="s">
        <v>3698</v>
      </c>
      <c r="Q562" s="50">
        <v>2000.0</v>
      </c>
      <c r="R562" s="50">
        <v>2557.0</v>
      </c>
      <c r="S562" s="50" t="s">
        <v>3699</v>
      </c>
      <c r="T562" s="56" t="s">
        <v>3700</v>
      </c>
      <c r="U562" s="53" t="s">
        <v>3701</v>
      </c>
    </row>
    <row r="563">
      <c r="A563" s="54" t="s">
        <v>3702</v>
      </c>
      <c r="B563" s="50" t="s">
        <v>3675</v>
      </c>
      <c r="C563" s="51" t="s">
        <v>329</v>
      </c>
      <c r="D563" s="51"/>
      <c r="E563" s="51"/>
      <c r="F563" s="51"/>
      <c r="G563" s="50" t="s">
        <v>3703</v>
      </c>
      <c r="H563" s="52">
        <v>44683.418391203704</v>
      </c>
      <c r="I563" s="50"/>
      <c r="J563" s="50"/>
      <c r="K563" s="50"/>
      <c r="L563" s="50"/>
      <c r="M563" s="50" t="s">
        <v>3677</v>
      </c>
      <c r="N563" s="50"/>
      <c r="O563" s="53" t="s">
        <v>60</v>
      </c>
      <c r="P563" s="55" t="s">
        <v>3678</v>
      </c>
      <c r="Q563" s="50">
        <v>131.0</v>
      </c>
      <c r="R563" s="50">
        <v>54.0</v>
      </c>
      <c r="S563" s="50"/>
      <c r="T563" s="56" t="s">
        <v>3704</v>
      </c>
      <c r="U563" s="53" t="s">
        <v>332</v>
      </c>
    </row>
    <row r="564">
      <c r="A564" s="54" t="s">
        <v>3705</v>
      </c>
      <c r="B564" s="50" t="s">
        <v>3706</v>
      </c>
      <c r="C564" s="51" t="s">
        <v>367</v>
      </c>
      <c r="D564" s="51"/>
      <c r="E564" s="51"/>
      <c r="F564" s="51"/>
      <c r="G564" s="50" t="s">
        <v>3707</v>
      </c>
      <c r="H564" s="52">
        <v>44683.41835648148</v>
      </c>
      <c r="I564" s="50"/>
      <c r="J564" s="50"/>
      <c r="K564" s="50"/>
      <c r="L564" s="50"/>
      <c r="M564" s="50" t="s">
        <v>3708</v>
      </c>
      <c r="N564" s="50"/>
      <c r="O564" s="53" t="s">
        <v>70</v>
      </c>
      <c r="P564" s="55" t="s">
        <v>3709</v>
      </c>
      <c r="Q564" s="50">
        <v>37.0</v>
      </c>
      <c r="R564" s="50">
        <v>35.0</v>
      </c>
      <c r="S564" s="50"/>
      <c r="T564" s="56" t="s">
        <v>3710</v>
      </c>
      <c r="U564" s="53" t="s">
        <v>370</v>
      </c>
    </row>
    <row r="565">
      <c r="A565" s="54" t="s">
        <v>3711</v>
      </c>
      <c r="B565" s="50" t="s">
        <v>3712</v>
      </c>
      <c r="C565" s="51" t="s">
        <v>367</v>
      </c>
      <c r="D565" s="51"/>
      <c r="E565" s="51"/>
      <c r="F565" s="51"/>
      <c r="G565" s="50" t="s">
        <v>3713</v>
      </c>
      <c r="H565" s="52">
        <v>44683.41832175926</v>
      </c>
      <c r="I565" s="50"/>
      <c r="J565" s="50"/>
      <c r="K565" s="50"/>
      <c r="L565" s="50"/>
      <c r="M565" s="50" t="s">
        <v>3714</v>
      </c>
      <c r="N565" s="50"/>
      <c r="O565" s="53" t="s">
        <v>70</v>
      </c>
      <c r="P565" s="55" t="s">
        <v>3715</v>
      </c>
      <c r="Q565" s="50">
        <v>109.0</v>
      </c>
      <c r="R565" s="50">
        <v>361.0</v>
      </c>
      <c r="S565" s="50" t="s">
        <v>3716</v>
      </c>
      <c r="T565" s="56" t="s">
        <v>3717</v>
      </c>
      <c r="U565" s="53" t="s">
        <v>370</v>
      </c>
    </row>
    <row r="566">
      <c r="A566" s="54" t="s">
        <v>3718</v>
      </c>
      <c r="B566" s="50" t="s">
        <v>3675</v>
      </c>
      <c r="C566" s="51" t="s">
        <v>316</v>
      </c>
      <c r="D566" s="51"/>
      <c r="E566" s="51"/>
      <c r="F566" s="51"/>
      <c r="G566" s="50" t="s">
        <v>3719</v>
      </c>
      <c r="H566" s="52">
        <v>44683.41831018518</v>
      </c>
      <c r="I566" s="50"/>
      <c r="J566" s="50"/>
      <c r="K566" s="50"/>
      <c r="L566" s="50"/>
      <c r="M566" s="50" t="s">
        <v>3677</v>
      </c>
      <c r="N566" s="50"/>
      <c r="O566" s="53" t="s">
        <v>60</v>
      </c>
      <c r="P566" s="55" t="s">
        <v>3678</v>
      </c>
      <c r="Q566" s="50">
        <v>131.0</v>
      </c>
      <c r="R566" s="50">
        <v>54.0</v>
      </c>
      <c r="S566" s="50"/>
      <c r="T566" s="56" t="s">
        <v>3720</v>
      </c>
      <c r="U566" s="53" t="s">
        <v>322</v>
      </c>
    </row>
    <row r="567">
      <c r="A567" s="54" t="s">
        <v>3721</v>
      </c>
      <c r="B567" s="50" t="s">
        <v>3722</v>
      </c>
      <c r="C567" s="51" t="s">
        <v>367</v>
      </c>
      <c r="D567" s="51"/>
      <c r="E567" s="51"/>
      <c r="F567" s="51"/>
      <c r="G567" s="50" t="s">
        <v>3723</v>
      </c>
      <c r="H567" s="52">
        <v>44683.418125</v>
      </c>
      <c r="I567" s="50"/>
      <c r="J567" s="50"/>
      <c r="K567" s="50"/>
      <c r="L567" s="50"/>
      <c r="M567" s="50" t="s">
        <v>3724</v>
      </c>
      <c r="N567" s="50"/>
      <c r="O567" s="53" t="s">
        <v>92</v>
      </c>
      <c r="P567" s="55" t="s">
        <v>354</v>
      </c>
      <c r="Q567" s="50">
        <v>38.0</v>
      </c>
      <c r="R567" s="50">
        <v>44.0</v>
      </c>
      <c r="S567" s="50"/>
      <c r="T567" s="56" t="s">
        <v>3725</v>
      </c>
      <c r="U567" s="53" t="s">
        <v>370</v>
      </c>
    </row>
    <row r="568">
      <c r="A568" s="54" t="s">
        <v>3726</v>
      </c>
      <c r="B568" s="50" t="s">
        <v>3727</v>
      </c>
      <c r="C568" s="51" t="s">
        <v>329</v>
      </c>
      <c r="D568" s="51"/>
      <c r="E568" s="51"/>
      <c r="F568" s="51"/>
      <c r="G568" s="50" t="s">
        <v>3728</v>
      </c>
      <c r="H568" s="52">
        <v>44683.41810185185</v>
      </c>
      <c r="I568" s="50"/>
      <c r="J568" s="50"/>
      <c r="K568" s="50"/>
      <c r="L568" s="50"/>
      <c r="M568" s="50" t="s">
        <v>3729</v>
      </c>
      <c r="N568" s="50"/>
      <c r="O568" s="53" t="s">
        <v>70</v>
      </c>
      <c r="P568" s="55" t="s">
        <v>354</v>
      </c>
      <c r="Q568" s="50">
        <v>209.0</v>
      </c>
      <c r="R568" s="50">
        <v>72.0</v>
      </c>
      <c r="S568" s="50"/>
      <c r="T568" s="56" t="s">
        <v>3730</v>
      </c>
      <c r="U568" s="53" t="s">
        <v>332</v>
      </c>
    </row>
    <row r="569">
      <c r="A569" s="54" t="s">
        <v>3731</v>
      </c>
      <c r="B569" s="50" t="s">
        <v>3732</v>
      </c>
      <c r="C569" s="51" t="s">
        <v>316</v>
      </c>
      <c r="D569" s="51"/>
      <c r="E569" s="51"/>
      <c r="F569" s="51"/>
      <c r="G569" s="50" t="s">
        <v>3733</v>
      </c>
      <c r="H569" s="52">
        <v>44683.41809027777</v>
      </c>
      <c r="I569" s="50"/>
      <c r="J569" s="50"/>
      <c r="K569" s="50"/>
      <c r="L569" s="50"/>
      <c r="M569" s="50" t="s">
        <v>3734</v>
      </c>
      <c r="N569" s="50"/>
      <c r="O569" s="53" t="s">
        <v>70</v>
      </c>
      <c r="P569" s="55" t="s">
        <v>3735</v>
      </c>
      <c r="Q569" s="50">
        <v>6667.0</v>
      </c>
      <c r="R569" s="50">
        <v>6420.0</v>
      </c>
      <c r="S569" s="50" t="s">
        <v>3736</v>
      </c>
      <c r="T569" s="56" t="s">
        <v>3737</v>
      </c>
      <c r="U569" s="53" t="s">
        <v>322</v>
      </c>
    </row>
    <row r="570">
      <c r="A570" s="54" t="s">
        <v>3738</v>
      </c>
      <c r="B570" s="50" t="s">
        <v>3739</v>
      </c>
      <c r="C570" s="51" t="s">
        <v>329</v>
      </c>
      <c r="D570" s="51"/>
      <c r="E570" s="51"/>
      <c r="F570" s="51"/>
      <c r="G570" s="50" t="s">
        <v>3740</v>
      </c>
      <c r="H570" s="52">
        <v>44683.418067129634</v>
      </c>
      <c r="I570" s="50"/>
      <c r="J570" s="50"/>
      <c r="K570" s="50"/>
      <c r="L570" s="50"/>
      <c r="M570" s="50" t="s">
        <v>3741</v>
      </c>
      <c r="N570" s="50"/>
      <c r="O570" s="53" t="s">
        <v>70</v>
      </c>
      <c r="P570" s="55" t="s">
        <v>3742</v>
      </c>
      <c r="Q570" s="50">
        <v>1361.0</v>
      </c>
      <c r="R570" s="50">
        <v>1071.0</v>
      </c>
      <c r="S570" s="50" t="s">
        <v>3743</v>
      </c>
      <c r="T570" s="56" t="s">
        <v>3744</v>
      </c>
      <c r="U570" s="53" t="s">
        <v>332</v>
      </c>
    </row>
    <row r="571">
      <c r="A571" s="54" t="s">
        <v>3745</v>
      </c>
      <c r="B571" s="50" t="s">
        <v>3746</v>
      </c>
      <c r="C571" s="51" t="s">
        <v>3747</v>
      </c>
      <c r="D571" s="51"/>
      <c r="E571" s="51"/>
      <c r="F571" s="51"/>
      <c r="G571" s="50" t="s">
        <v>3748</v>
      </c>
      <c r="H571" s="52">
        <v>44683.41790509259</v>
      </c>
      <c r="I571" s="50"/>
      <c r="J571" s="50"/>
      <c r="K571" s="50"/>
      <c r="L571" s="50"/>
      <c r="M571" s="50" t="s">
        <v>3749</v>
      </c>
      <c r="N571" s="50"/>
      <c r="O571" s="53" t="s">
        <v>60</v>
      </c>
      <c r="P571" s="55" t="s">
        <v>3750</v>
      </c>
      <c r="Q571" s="50">
        <v>6684.0</v>
      </c>
      <c r="R571" s="50">
        <v>7256.0</v>
      </c>
      <c r="S571" s="50" t="s">
        <v>3751</v>
      </c>
      <c r="T571" s="56" t="s">
        <v>3752</v>
      </c>
      <c r="U571" s="53" t="s">
        <v>3753</v>
      </c>
    </row>
    <row r="572">
      <c r="A572" s="54" t="s">
        <v>3754</v>
      </c>
      <c r="B572" s="50" t="s">
        <v>3755</v>
      </c>
      <c r="C572" s="51" t="s">
        <v>316</v>
      </c>
      <c r="D572" s="51"/>
      <c r="E572" s="51"/>
      <c r="F572" s="51"/>
      <c r="G572" s="50" t="s">
        <v>3756</v>
      </c>
      <c r="H572" s="52">
        <v>44683.41788194445</v>
      </c>
      <c r="I572" s="50"/>
      <c r="J572" s="50"/>
      <c r="K572" s="50"/>
      <c r="L572" s="50"/>
      <c r="M572" s="50" t="s">
        <v>3757</v>
      </c>
      <c r="N572" s="50"/>
      <c r="O572" s="53" t="s">
        <v>70</v>
      </c>
      <c r="P572" s="55" t="s">
        <v>3758</v>
      </c>
      <c r="Q572" s="50">
        <v>628.0</v>
      </c>
      <c r="R572" s="50">
        <v>2851.0</v>
      </c>
      <c r="S572" s="50" t="s">
        <v>3759</v>
      </c>
      <c r="T572" s="56" t="s">
        <v>3760</v>
      </c>
      <c r="U572" s="53" t="s">
        <v>322</v>
      </c>
    </row>
    <row r="573">
      <c r="A573" s="54" t="s">
        <v>3761</v>
      </c>
      <c r="B573" s="50" t="s">
        <v>3762</v>
      </c>
      <c r="C573" s="51" t="s">
        <v>367</v>
      </c>
      <c r="D573" s="51"/>
      <c r="E573" s="51"/>
      <c r="F573" s="51"/>
      <c r="G573" s="50" t="s">
        <v>3763</v>
      </c>
      <c r="H573" s="52">
        <v>44683.41769675926</v>
      </c>
      <c r="I573" s="50"/>
      <c r="J573" s="50"/>
      <c r="K573" s="50"/>
      <c r="L573" s="50"/>
      <c r="M573" s="50" t="s">
        <v>3764</v>
      </c>
      <c r="N573" s="50"/>
      <c r="O573" s="53" t="s">
        <v>70</v>
      </c>
      <c r="P573" s="55" t="s">
        <v>3765</v>
      </c>
      <c r="Q573" s="50">
        <v>71.0</v>
      </c>
      <c r="R573" s="50">
        <v>249.0</v>
      </c>
      <c r="S573" s="50"/>
      <c r="T573" s="56" t="s">
        <v>3766</v>
      </c>
      <c r="U573" s="53" t="s">
        <v>370</v>
      </c>
    </row>
    <row r="574">
      <c r="A574" s="54" t="s">
        <v>3767</v>
      </c>
      <c r="B574" s="50" t="s">
        <v>3768</v>
      </c>
      <c r="C574" s="51" t="s">
        <v>367</v>
      </c>
      <c r="D574" s="51"/>
      <c r="E574" s="51"/>
      <c r="F574" s="51"/>
      <c r="G574" s="50" t="s">
        <v>3769</v>
      </c>
      <c r="H574" s="52">
        <v>44683.41767361111</v>
      </c>
      <c r="I574" s="50"/>
      <c r="J574" s="50"/>
      <c r="K574" s="50"/>
      <c r="L574" s="50"/>
      <c r="M574" s="50" t="s">
        <v>3770</v>
      </c>
      <c r="N574" s="50"/>
      <c r="O574" s="53" t="s">
        <v>70</v>
      </c>
      <c r="P574" s="55" t="s">
        <v>3771</v>
      </c>
      <c r="Q574" s="50">
        <v>110.0</v>
      </c>
      <c r="R574" s="50">
        <v>273.0</v>
      </c>
      <c r="S574" s="50"/>
      <c r="T574" s="56" t="s">
        <v>3772</v>
      </c>
      <c r="U574" s="53" t="s">
        <v>370</v>
      </c>
    </row>
    <row r="575">
      <c r="A575" s="54" t="s">
        <v>3773</v>
      </c>
      <c r="B575" s="50" t="s">
        <v>3774</v>
      </c>
      <c r="C575" s="51" t="s">
        <v>3592</v>
      </c>
      <c r="D575" s="51"/>
      <c r="E575" s="51"/>
      <c r="F575" s="51"/>
      <c r="G575" s="50" t="s">
        <v>3769</v>
      </c>
      <c r="H575" s="52">
        <v>44683.41767361111</v>
      </c>
      <c r="I575" s="50"/>
      <c r="J575" s="50"/>
      <c r="K575" s="50"/>
      <c r="L575" s="50"/>
      <c r="M575" s="50" t="s">
        <v>3775</v>
      </c>
      <c r="N575" s="50"/>
      <c r="O575" s="53" t="s">
        <v>60</v>
      </c>
      <c r="P575" s="55" t="s">
        <v>3776</v>
      </c>
      <c r="Q575" s="50">
        <v>18716.0</v>
      </c>
      <c r="R575" s="50">
        <v>12440.0</v>
      </c>
      <c r="S575" s="50"/>
      <c r="T575" s="56" t="s">
        <v>3777</v>
      </c>
      <c r="U575" s="53" t="s">
        <v>3597</v>
      </c>
    </row>
    <row r="576">
      <c r="A576" s="54" t="s">
        <v>3778</v>
      </c>
      <c r="B576" s="50" t="s">
        <v>3779</v>
      </c>
      <c r="C576" s="51" t="s">
        <v>3780</v>
      </c>
      <c r="D576" s="51"/>
      <c r="E576" s="51"/>
      <c r="F576" s="51"/>
      <c r="G576" s="50" t="s">
        <v>3781</v>
      </c>
      <c r="H576" s="52">
        <v>44683.41766203704</v>
      </c>
      <c r="I576" s="50"/>
      <c r="J576" s="50"/>
      <c r="K576" s="50"/>
      <c r="L576" s="50"/>
      <c r="M576" s="50" t="s">
        <v>3782</v>
      </c>
      <c r="N576" s="50"/>
      <c r="O576" s="53" t="s">
        <v>60</v>
      </c>
      <c r="P576" s="55" t="s">
        <v>3783</v>
      </c>
      <c r="Q576" s="50">
        <v>6971.0</v>
      </c>
      <c r="R576" s="50">
        <v>7237.0</v>
      </c>
      <c r="S576" s="50" t="s">
        <v>3784</v>
      </c>
      <c r="T576" s="56" t="s">
        <v>3785</v>
      </c>
      <c r="U576" s="53" t="s">
        <v>3786</v>
      </c>
    </row>
    <row r="577">
      <c r="A577" s="54" t="s">
        <v>3787</v>
      </c>
      <c r="B577" s="50" t="s">
        <v>3788</v>
      </c>
      <c r="C577" s="51" t="s">
        <v>687</v>
      </c>
      <c r="D577" s="51"/>
      <c r="E577" s="51"/>
      <c r="F577" s="51"/>
      <c r="G577" s="50" t="s">
        <v>3789</v>
      </c>
      <c r="H577" s="52">
        <v>44683.41763888889</v>
      </c>
      <c r="I577" s="50"/>
      <c r="J577" s="50"/>
      <c r="K577" s="50"/>
      <c r="L577" s="50"/>
      <c r="M577" s="50" t="s">
        <v>3790</v>
      </c>
      <c r="N577" s="50"/>
      <c r="O577" s="53" t="s">
        <v>92</v>
      </c>
      <c r="P577" s="55" t="s">
        <v>3791</v>
      </c>
      <c r="Q577" s="50">
        <v>55.0</v>
      </c>
      <c r="R577" s="50">
        <v>283.0</v>
      </c>
      <c r="S577" s="50" t="s">
        <v>3792</v>
      </c>
      <c r="T577" s="56" t="s">
        <v>3793</v>
      </c>
      <c r="U577" s="53" t="s">
        <v>691</v>
      </c>
    </row>
    <row r="578">
      <c r="A578" s="54" t="s">
        <v>3794</v>
      </c>
      <c r="B578" s="50" t="s">
        <v>3795</v>
      </c>
      <c r="C578" s="51" t="s">
        <v>3796</v>
      </c>
      <c r="D578" s="51"/>
      <c r="E578" s="51"/>
      <c r="F578" s="51"/>
      <c r="G578" s="50" t="s">
        <v>3797</v>
      </c>
      <c r="H578" s="52">
        <v>44683.41761574074</v>
      </c>
      <c r="I578" s="50"/>
      <c r="J578" s="50"/>
      <c r="K578" s="50"/>
      <c r="L578" s="50"/>
      <c r="M578" s="50" t="s">
        <v>3798</v>
      </c>
      <c r="N578" s="50"/>
      <c r="O578" s="53" t="s">
        <v>70</v>
      </c>
      <c r="P578" s="55" t="s">
        <v>3799</v>
      </c>
      <c r="Q578" s="50">
        <v>735.0</v>
      </c>
      <c r="R578" s="50">
        <v>767.0</v>
      </c>
      <c r="S578" s="50" t="s">
        <v>3800</v>
      </c>
      <c r="T578" s="56" t="s">
        <v>3801</v>
      </c>
      <c r="U578" s="53" t="s">
        <v>3802</v>
      </c>
    </row>
    <row r="579">
      <c r="A579" s="54" t="s">
        <v>3803</v>
      </c>
      <c r="B579" s="50" t="s">
        <v>3804</v>
      </c>
      <c r="C579" s="51" t="s">
        <v>363</v>
      </c>
      <c r="D579" s="51"/>
      <c r="E579" s="51"/>
      <c r="F579" s="51"/>
      <c r="G579" s="50" t="s">
        <v>3805</v>
      </c>
      <c r="H579" s="52">
        <v>44683.41758101852</v>
      </c>
      <c r="I579" s="50"/>
      <c r="J579" s="50"/>
      <c r="K579" s="50"/>
      <c r="L579" s="50"/>
      <c r="M579" s="50" t="s">
        <v>3806</v>
      </c>
      <c r="N579" s="50"/>
      <c r="O579" s="53" t="s">
        <v>70</v>
      </c>
      <c r="P579" s="55" t="s">
        <v>3807</v>
      </c>
      <c r="Q579" s="50">
        <v>2998.0</v>
      </c>
      <c r="R579" s="50">
        <v>3939.0</v>
      </c>
      <c r="S579" s="50" t="s">
        <v>246</v>
      </c>
      <c r="T579" s="56" t="s">
        <v>3808</v>
      </c>
      <c r="U579" s="53" t="s">
        <v>332</v>
      </c>
    </row>
    <row r="580">
      <c r="A580" s="54" t="s">
        <v>3809</v>
      </c>
      <c r="B580" s="50" t="s">
        <v>3804</v>
      </c>
      <c r="C580" s="51" t="s">
        <v>316</v>
      </c>
      <c r="D580" s="51"/>
      <c r="E580" s="51"/>
      <c r="F580" s="51"/>
      <c r="G580" s="50" t="s">
        <v>3810</v>
      </c>
      <c r="H580" s="52">
        <v>44683.41737268519</v>
      </c>
      <c r="I580" s="50"/>
      <c r="J580" s="50"/>
      <c r="K580" s="50"/>
      <c r="L580" s="50"/>
      <c r="M580" s="50" t="s">
        <v>3806</v>
      </c>
      <c r="N580" s="50"/>
      <c r="O580" s="53" t="s">
        <v>70</v>
      </c>
      <c r="P580" s="55" t="s">
        <v>3807</v>
      </c>
      <c r="Q580" s="50">
        <v>2998.0</v>
      </c>
      <c r="R580" s="50">
        <v>3939.0</v>
      </c>
      <c r="S580" s="50" t="s">
        <v>246</v>
      </c>
      <c r="T580" s="56" t="s">
        <v>3811</v>
      </c>
      <c r="U580" s="53" t="s">
        <v>322</v>
      </c>
    </row>
    <row r="581">
      <c r="A581" s="54" t="s">
        <v>3812</v>
      </c>
      <c r="B581" s="50" t="s">
        <v>3813</v>
      </c>
      <c r="C581" s="51" t="s">
        <v>335</v>
      </c>
      <c r="D581" s="51"/>
      <c r="E581" s="51"/>
      <c r="F581" s="51"/>
      <c r="G581" s="50" t="s">
        <v>3814</v>
      </c>
      <c r="H581" s="52">
        <v>44683.41715277778</v>
      </c>
      <c r="I581" s="50"/>
      <c r="J581" s="50"/>
      <c r="K581" s="50"/>
      <c r="L581" s="50"/>
      <c r="M581" s="50" t="s">
        <v>3815</v>
      </c>
      <c r="N581" s="50"/>
      <c r="O581" s="53" t="s">
        <v>60</v>
      </c>
      <c r="P581" s="55" t="s">
        <v>3816</v>
      </c>
      <c r="Q581" s="50">
        <v>2399.0</v>
      </c>
      <c r="R581" s="50">
        <v>2305.0</v>
      </c>
      <c r="S581" s="50" t="s">
        <v>1064</v>
      </c>
      <c r="T581" s="56" t="s">
        <v>3817</v>
      </c>
      <c r="U581" s="53" t="s">
        <v>339</v>
      </c>
    </row>
    <row r="582">
      <c r="A582" s="54" t="s">
        <v>3818</v>
      </c>
      <c r="B582" s="50" t="s">
        <v>3813</v>
      </c>
      <c r="C582" s="51" t="s">
        <v>363</v>
      </c>
      <c r="D582" s="51"/>
      <c r="E582" s="51"/>
      <c r="F582" s="51"/>
      <c r="G582" s="50" t="s">
        <v>3819</v>
      </c>
      <c r="H582" s="52">
        <v>44683.41710648148</v>
      </c>
      <c r="I582" s="50"/>
      <c r="J582" s="50"/>
      <c r="K582" s="50"/>
      <c r="L582" s="50"/>
      <c r="M582" s="50" t="s">
        <v>3815</v>
      </c>
      <c r="N582" s="50"/>
      <c r="O582" s="53" t="s">
        <v>60</v>
      </c>
      <c r="P582" s="55" t="s">
        <v>3816</v>
      </c>
      <c r="Q582" s="50">
        <v>2399.0</v>
      </c>
      <c r="R582" s="50">
        <v>2305.0</v>
      </c>
      <c r="S582" s="50" t="s">
        <v>1064</v>
      </c>
      <c r="T582" s="56" t="s">
        <v>3820</v>
      </c>
      <c r="U582" s="53" t="s">
        <v>332</v>
      </c>
    </row>
    <row r="583">
      <c r="A583" s="54" t="s">
        <v>3821</v>
      </c>
      <c r="B583" s="50" t="s">
        <v>3813</v>
      </c>
      <c r="C583" s="51" t="s">
        <v>367</v>
      </c>
      <c r="D583" s="51"/>
      <c r="E583" s="51"/>
      <c r="F583" s="51"/>
      <c r="G583" s="50" t="s">
        <v>3822</v>
      </c>
      <c r="H583" s="52">
        <v>44683.41706018518</v>
      </c>
      <c r="I583" s="50"/>
      <c r="J583" s="50"/>
      <c r="K583" s="50"/>
      <c r="L583" s="50"/>
      <c r="M583" s="50" t="s">
        <v>3815</v>
      </c>
      <c r="N583" s="50"/>
      <c r="O583" s="53" t="s">
        <v>60</v>
      </c>
      <c r="P583" s="55" t="s">
        <v>3816</v>
      </c>
      <c r="Q583" s="50">
        <v>2399.0</v>
      </c>
      <c r="R583" s="50">
        <v>2305.0</v>
      </c>
      <c r="S583" s="50" t="s">
        <v>1064</v>
      </c>
      <c r="T583" s="56" t="s">
        <v>3823</v>
      </c>
      <c r="U583" s="53" t="s">
        <v>370</v>
      </c>
    </row>
    <row r="584">
      <c r="A584" s="54" t="s">
        <v>3824</v>
      </c>
      <c r="B584" s="50" t="s">
        <v>1890</v>
      </c>
      <c r="C584" s="51" t="s">
        <v>3825</v>
      </c>
      <c r="D584" s="51"/>
      <c r="E584" s="51"/>
      <c r="F584" s="51"/>
      <c r="G584" s="50" t="s">
        <v>3826</v>
      </c>
      <c r="H584" s="52">
        <v>44683.41700231482</v>
      </c>
      <c r="I584" s="50"/>
      <c r="J584" s="50"/>
      <c r="K584" s="50"/>
      <c r="L584" s="50"/>
      <c r="M584" s="50" t="s">
        <v>1892</v>
      </c>
      <c r="N584" s="50"/>
      <c r="O584" s="53" t="s">
        <v>70</v>
      </c>
      <c r="P584" s="55" t="s">
        <v>1893</v>
      </c>
      <c r="Q584" s="50">
        <v>1141.0</v>
      </c>
      <c r="R584" s="50">
        <v>1567.0</v>
      </c>
      <c r="S584" s="50" t="s">
        <v>1894</v>
      </c>
      <c r="T584" s="56" t="s">
        <v>3827</v>
      </c>
      <c r="U584" s="53" t="s">
        <v>3828</v>
      </c>
    </row>
    <row r="585">
      <c r="A585" s="54" t="s">
        <v>3829</v>
      </c>
      <c r="B585" s="50" t="s">
        <v>2785</v>
      </c>
      <c r="C585" s="51" t="s">
        <v>316</v>
      </c>
      <c r="D585" s="51"/>
      <c r="E585" s="51"/>
      <c r="F585" s="51"/>
      <c r="G585" s="50" t="s">
        <v>3826</v>
      </c>
      <c r="H585" s="52">
        <v>44683.41700231482</v>
      </c>
      <c r="I585" s="50"/>
      <c r="J585" s="50"/>
      <c r="K585" s="50"/>
      <c r="L585" s="50"/>
      <c r="M585" s="50" t="s">
        <v>2787</v>
      </c>
      <c r="N585" s="50"/>
      <c r="O585" s="53" t="s">
        <v>217</v>
      </c>
      <c r="P585" s="55" t="s">
        <v>2788</v>
      </c>
      <c r="Q585" s="50">
        <v>9064.0</v>
      </c>
      <c r="R585" s="50">
        <v>8959.0</v>
      </c>
      <c r="S585" s="50" t="s">
        <v>2789</v>
      </c>
      <c r="T585" s="56" t="s">
        <v>3830</v>
      </c>
      <c r="U585" s="53" t="s">
        <v>322</v>
      </c>
    </row>
    <row r="586">
      <c r="A586" s="54" t="s">
        <v>3831</v>
      </c>
      <c r="B586" s="50" t="s">
        <v>3832</v>
      </c>
      <c r="C586" s="51" t="s">
        <v>3833</v>
      </c>
      <c r="D586" s="51"/>
      <c r="E586" s="51"/>
      <c r="F586" s="51"/>
      <c r="G586" s="50" t="s">
        <v>3834</v>
      </c>
      <c r="H586" s="52">
        <v>44683.41690972222</v>
      </c>
      <c r="I586" s="50"/>
      <c r="J586" s="50"/>
      <c r="K586" s="50"/>
      <c r="L586" s="50"/>
      <c r="M586" s="50" t="s">
        <v>3835</v>
      </c>
      <c r="N586" s="50"/>
      <c r="O586" s="53" t="s">
        <v>60</v>
      </c>
      <c r="P586" s="55" t="s">
        <v>3836</v>
      </c>
      <c r="Q586" s="50">
        <v>5611.0</v>
      </c>
      <c r="R586" s="50">
        <v>3775.0</v>
      </c>
      <c r="S586" s="50" t="s">
        <v>379</v>
      </c>
      <c r="T586" s="56" t="s">
        <v>3837</v>
      </c>
      <c r="U586" s="53" t="s">
        <v>3838</v>
      </c>
    </row>
    <row r="587">
      <c r="A587" s="54" t="s">
        <v>3839</v>
      </c>
      <c r="B587" s="50" t="s">
        <v>3840</v>
      </c>
      <c r="C587" s="51" t="s">
        <v>367</v>
      </c>
      <c r="D587" s="51"/>
      <c r="E587" s="51"/>
      <c r="F587" s="51"/>
      <c r="G587" s="50" t="s">
        <v>3841</v>
      </c>
      <c r="H587" s="52">
        <v>44683.41680555556</v>
      </c>
      <c r="I587" s="50"/>
      <c r="J587" s="50"/>
      <c r="K587" s="50"/>
      <c r="L587" s="50"/>
      <c r="M587" s="50" t="s">
        <v>3842</v>
      </c>
      <c r="N587" s="50"/>
      <c r="O587" s="53" t="s">
        <v>92</v>
      </c>
      <c r="P587" s="55" t="s">
        <v>3843</v>
      </c>
      <c r="Q587" s="50">
        <v>634.0</v>
      </c>
      <c r="R587" s="50">
        <v>1513.0</v>
      </c>
      <c r="S587" s="50"/>
      <c r="T587" s="56" t="s">
        <v>3844</v>
      </c>
      <c r="U587" s="53" t="s">
        <v>370</v>
      </c>
    </row>
    <row r="588">
      <c r="A588" s="54" t="s">
        <v>3845</v>
      </c>
      <c r="B588" s="50" t="s">
        <v>3846</v>
      </c>
      <c r="C588" s="51" t="s">
        <v>367</v>
      </c>
      <c r="D588" s="51"/>
      <c r="E588" s="51"/>
      <c r="F588" s="51"/>
      <c r="G588" s="50" t="s">
        <v>3847</v>
      </c>
      <c r="H588" s="52">
        <v>44683.41666666667</v>
      </c>
      <c r="I588" s="50"/>
      <c r="J588" s="50"/>
      <c r="K588" s="50"/>
      <c r="L588" s="50"/>
      <c r="M588" s="50" t="s">
        <v>3848</v>
      </c>
      <c r="N588" s="50"/>
      <c r="O588" s="53" t="s">
        <v>70</v>
      </c>
      <c r="P588" s="55" t="s">
        <v>3849</v>
      </c>
      <c r="Q588" s="50">
        <v>29.0</v>
      </c>
      <c r="R588" s="50">
        <v>77.0</v>
      </c>
      <c r="S588" s="50"/>
      <c r="T588" s="56" t="s">
        <v>3850</v>
      </c>
      <c r="U588" s="53" t="s">
        <v>370</v>
      </c>
    </row>
    <row r="589">
      <c r="A589" s="54" t="s">
        <v>3851</v>
      </c>
      <c r="B589" s="50" t="s">
        <v>3852</v>
      </c>
      <c r="C589" s="51" t="s">
        <v>3853</v>
      </c>
      <c r="D589" s="51"/>
      <c r="E589" s="51"/>
      <c r="F589" s="51"/>
      <c r="G589" s="50" t="s">
        <v>3854</v>
      </c>
      <c r="H589" s="52">
        <v>44683.41642361111</v>
      </c>
      <c r="I589" s="50"/>
      <c r="J589" s="50"/>
      <c r="K589" s="50" t="s">
        <v>3855</v>
      </c>
      <c r="L589" s="50" t="s">
        <v>3856</v>
      </c>
      <c r="M589" s="50" t="s">
        <v>3857</v>
      </c>
      <c r="N589" s="50" t="s">
        <v>3858</v>
      </c>
      <c r="O589" s="53" t="s">
        <v>70</v>
      </c>
      <c r="P589" s="55" t="s">
        <v>3859</v>
      </c>
      <c r="Q589" s="50">
        <v>132.0</v>
      </c>
      <c r="R589" s="50">
        <v>485.0</v>
      </c>
      <c r="S589" s="50" t="s">
        <v>246</v>
      </c>
      <c r="T589" s="56" t="s">
        <v>3860</v>
      </c>
      <c r="U589" s="53" t="s">
        <v>3861</v>
      </c>
    </row>
    <row r="590">
      <c r="A590" s="54" t="s">
        <v>3862</v>
      </c>
      <c r="B590" s="50" t="s">
        <v>3863</v>
      </c>
      <c r="C590" s="51" t="s">
        <v>367</v>
      </c>
      <c r="D590" s="51"/>
      <c r="E590" s="51"/>
      <c r="F590" s="51"/>
      <c r="G590" s="50" t="s">
        <v>3864</v>
      </c>
      <c r="H590" s="52">
        <v>44683.416296296295</v>
      </c>
      <c r="I590" s="50"/>
      <c r="J590" s="50"/>
      <c r="K590" s="50"/>
      <c r="L590" s="50"/>
      <c r="M590" s="50" t="s">
        <v>3865</v>
      </c>
      <c r="N590" s="50"/>
      <c r="O590" s="53" t="s">
        <v>217</v>
      </c>
      <c r="P590" s="55" t="s">
        <v>3866</v>
      </c>
      <c r="Q590" s="50">
        <v>21.0</v>
      </c>
      <c r="R590" s="50">
        <v>90.0</v>
      </c>
      <c r="S590" s="50" t="s">
        <v>379</v>
      </c>
      <c r="T590" s="56" t="s">
        <v>3867</v>
      </c>
      <c r="U590" s="53" t="s">
        <v>370</v>
      </c>
    </row>
    <row r="591">
      <c r="A591" s="54" t="s">
        <v>3868</v>
      </c>
      <c r="B591" s="50" t="s">
        <v>3869</v>
      </c>
      <c r="C591" s="51" t="s">
        <v>367</v>
      </c>
      <c r="D591" s="51"/>
      <c r="E591" s="51"/>
      <c r="F591" s="51"/>
      <c r="G591" s="50" t="s">
        <v>3870</v>
      </c>
      <c r="H591" s="52">
        <v>44683.416249999995</v>
      </c>
      <c r="I591" s="50"/>
      <c r="J591" s="50"/>
      <c r="K591" s="50"/>
      <c r="L591" s="50"/>
      <c r="M591" s="50" t="s">
        <v>3871</v>
      </c>
      <c r="N591" s="50"/>
      <c r="O591" s="53" t="s">
        <v>92</v>
      </c>
      <c r="P591" s="55" t="s">
        <v>354</v>
      </c>
      <c r="Q591" s="50">
        <v>81.0</v>
      </c>
      <c r="R591" s="50">
        <v>77.0</v>
      </c>
      <c r="S591" s="50"/>
      <c r="T591" s="56" t="s">
        <v>3872</v>
      </c>
      <c r="U591" s="53" t="s">
        <v>370</v>
      </c>
    </row>
    <row r="592">
      <c r="A592" s="54" t="s">
        <v>3873</v>
      </c>
      <c r="B592" s="50" t="s">
        <v>3874</v>
      </c>
      <c r="C592" s="51" t="s">
        <v>3875</v>
      </c>
      <c r="D592" s="51"/>
      <c r="E592" s="51"/>
      <c r="F592" s="51"/>
      <c r="G592" s="50" t="s">
        <v>3870</v>
      </c>
      <c r="H592" s="52">
        <v>44683.416249999995</v>
      </c>
      <c r="I592" s="50"/>
      <c r="J592" s="50"/>
      <c r="K592" s="50"/>
      <c r="L592" s="50"/>
      <c r="M592" s="50" t="s">
        <v>3876</v>
      </c>
      <c r="N592" s="50"/>
      <c r="O592" s="53" t="s">
        <v>60</v>
      </c>
      <c r="P592" s="55" t="s">
        <v>3877</v>
      </c>
      <c r="Q592" s="50">
        <v>519.0</v>
      </c>
      <c r="R592" s="50">
        <v>460.0</v>
      </c>
      <c r="S592" s="50" t="s">
        <v>658</v>
      </c>
      <c r="T592" s="56" t="s">
        <v>3878</v>
      </c>
      <c r="U592" s="53" t="s">
        <v>3879</v>
      </c>
    </row>
    <row r="593">
      <c r="A593" s="54" t="s">
        <v>3880</v>
      </c>
      <c r="B593" s="50" t="s">
        <v>3881</v>
      </c>
      <c r="C593" s="51" t="s">
        <v>3882</v>
      </c>
      <c r="D593" s="51"/>
      <c r="E593" s="51"/>
      <c r="F593" s="51"/>
      <c r="G593" s="50" t="s">
        <v>3883</v>
      </c>
      <c r="H593" s="52">
        <v>44683.41619212963</v>
      </c>
      <c r="I593" s="50"/>
      <c r="J593" s="50"/>
      <c r="K593" s="50"/>
      <c r="L593" s="50"/>
      <c r="M593" s="50" t="s">
        <v>3884</v>
      </c>
      <c r="N593" s="50"/>
      <c r="O593" s="53" t="s">
        <v>92</v>
      </c>
      <c r="P593" s="55" t="s">
        <v>3885</v>
      </c>
      <c r="Q593" s="50">
        <v>2197.0</v>
      </c>
      <c r="R593" s="50">
        <v>1692.0</v>
      </c>
      <c r="S593" s="50" t="s">
        <v>3886</v>
      </c>
      <c r="T593" s="56" t="s">
        <v>3887</v>
      </c>
      <c r="U593" s="53" t="s">
        <v>3888</v>
      </c>
    </row>
    <row r="594">
      <c r="A594" s="54" t="s">
        <v>3889</v>
      </c>
      <c r="B594" s="50" t="s">
        <v>3890</v>
      </c>
      <c r="C594" s="51" t="s">
        <v>687</v>
      </c>
      <c r="D594" s="51"/>
      <c r="E594" s="51"/>
      <c r="F594" s="51"/>
      <c r="G594" s="50" t="s">
        <v>3891</v>
      </c>
      <c r="H594" s="52">
        <v>44683.41609953703</v>
      </c>
      <c r="I594" s="50"/>
      <c r="J594" s="50"/>
      <c r="K594" s="50"/>
      <c r="L594" s="50"/>
      <c r="M594" s="50" t="s">
        <v>3892</v>
      </c>
      <c r="N594" s="50"/>
      <c r="O594" s="53" t="s">
        <v>70</v>
      </c>
      <c r="P594" s="55" t="s">
        <v>3893</v>
      </c>
      <c r="Q594" s="50">
        <v>7309.0</v>
      </c>
      <c r="R594" s="50">
        <v>6836.0</v>
      </c>
      <c r="S594" s="50" t="s">
        <v>219</v>
      </c>
      <c r="T594" s="56" t="s">
        <v>3894</v>
      </c>
      <c r="U594" s="53" t="s">
        <v>691</v>
      </c>
    </row>
    <row r="595">
      <c r="A595" s="54" t="s">
        <v>3895</v>
      </c>
      <c r="B595" s="50" t="s">
        <v>3896</v>
      </c>
      <c r="C595" s="51" t="s">
        <v>2076</v>
      </c>
      <c r="D595" s="51"/>
      <c r="E595" s="51"/>
      <c r="F595" s="51"/>
      <c r="G595" s="50" t="s">
        <v>3897</v>
      </c>
      <c r="H595" s="52">
        <v>44683.41604166667</v>
      </c>
      <c r="I595" s="50"/>
      <c r="J595" s="50"/>
      <c r="K595" s="50"/>
      <c r="L595" s="50"/>
      <c r="M595" s="50" t="s">
        <v>3898</v>
      </c>
      <c r="N595" s="50"/>
      <c r="O595" s="53" t="s">
        <v>92</v>
      </c>
      <c r="P595" s="55" t="s">
        <v>3899</v>
      </c>
      <c r="Q595" s="50">
        <v>2422.0</v>
      </c>
      <c r="R595" s="50">
        <v>3532.0</v>
      </c>
      <c r="S595" s="50"/>
      <c r="T595" s="56" t="s">
        <v>3900</v>
      </c>
      <c r="U595" s="53" t="s">
        <v>691</v>
      </c>
    </row>
    <row r="596">
      <c r="A596" s="54" t="s">
        <v>3901</v>
      </c>
      <c r="B596" s="50" t="s">
        <v>2694</v>
      </c>
      <c r="C596" s="51" t="s">
        <v>3360</v>
      </c>
      <c r="D596" s="51"/>
      <c r="E596" s="51"/>
      <c r="F596" s="51"/>
      <c r="G596" s="50" t="s">
        <v>3902</v>
      </c>
      <c r="H596" s="52">
        <v>44683.41600694445</v>
      </c>
      <c r="I596" s="50"/>
      <c r="J596" s="50"/>
      <c r="K596" s="50"/>
      <c r="L596" s="50"/>
      <c r="M596" s="50" t="s">
        <v>2697</v>
      </c>
      <c r="N596" s="50"/>
      <c r="O596" s="53" t="s">
        <v>2698</v>
      </c>
      <c r="P596" s="55" t="s">
        <v>2699</v>
      </c>
      <c r="Q596" s="50">
        <v>2177.0</v>
      </c>
      <c r="R596" s="50">
        <v>508.0</v>
      </c>
      <c r="S596" s="50" t="s">
        <v>2700</v>
      </c>
      <c r="T596" s="56" t="s">
        <v>3903</v>
      </c>
      <c r="U596" s="53" t="s">
        <v>3365</v>
      </c>
    </row>
    <row r="597">
      <c r="A597" s="54" t="s">
        <v>3904</v>
      </c>
      <c r="B597" s="50" t="s">
        <v>3905</v>
      </c>
      <c r="C597" s="51" t="s">
        <v>329</v>
      </c>
      <c r="D597" s="51"/>
      <c r="E597" s="51"/>
      <c r="F597" s="51"/>
      <c r="G597" s="50" t="s">
        <v>3906</v>
      </c>
      <c r="H597" s="52">
        <v>44683.41599537037</v>
      </c>
      <c r="I597" s="50"/>
      <c r="J597" s="50"/>
      <c r="K597" s="50"/>
      <c r="L597" s="50"/>
      <c r="M597" s="50" t="s">
        <v>3907</v>
      </c>
      <c r="N597" s="50"/>
      <c r="O597" s="53" t="s">
        <v>70</v>
      </c>
      <c r="P597" s="55" t="s">
        <v>3908</v>
      </c>
      <c r="Q597" s="50">
        <v>6384.0</v>
      </c>
      <c r="R597" s="50">
        <v>5816.0</v>
      </c>
      <c r="S597" s="50" t="s">
        <v>1139</v>
      </c>
      <c r="T597" s="56" t="s">
        <v>3909</v>
      </c>
      <c r="U597" s="53" t="s">
        <v>332</v>
      </c>
    </row>
    <row r="598">
      <c r="A598" s="54" t="s">
        <v>3910</v>
      </c>
      <c r="B598" s="50" t="s">
        <v>3911</v>
      </c>
      <c r="C598" s="51" t="s">
        <v>3912</v>
      </c>
      <c r="D598" s="51"/>
      <c r="E598" s="51"/>
      <c r="F598" s="51"/>
      <c r="G598" s="50" t="s">
        <v>3913</v>
      </c>
      <c r="H598" s="52">
        <v>44683.415972222225</v>
      </c>
      <c r="I598" s="50"/>
      <c r="J598" s="50"/>
      <c r="K598" s="50"/>
      <c r="L598" s="50"/>
      <c r="M598" s="50" t="s">
        <v>3914</v>
      </c>
      <c r="N598" s="50"/>
      <c r="O598" s="53" t="s">
        <v>70</v>
      </c>
      <c r="P598" s="55" t="s">
        <v>3915</v>
      </c>
      <c r="Q598" s="50">
        <v>275.0</v>
      </c>
      <c r="R598" s="50">
        <v>216.0</v>
      </c>
      <c r="S598" s="50"/>
      <c r="T598" s="56" t="s">
        <v>3916</v>
      </c>
      <c r="U598" s="53" t="s">
        <v>3917</v>
      </c>
    </row>
    <row r="599">
      <c r="A599" s="54" t="s">
        <v>3918</v>
      </c>
      <c r="B599" s="50" t="s">
        <v>3905</v>
      </c>
      <c r="C599" s="51" t="s">
        <v>363</v>
      </c>
      <c r="D599" s="51"/>
      <c r="E599" s="51"/>
      <c r="F599" s="51"/>
      <c r="G599" s="50" t="s">
        <v>3919</v>
      </c>
      <c r="H599" s="52">
        <v>44683.41577546296</v>
      </c>
      <c r="I599" s="50"/>
      <c r="J599" s="50"/>
      <c r="K599" s="50"/>
      <c r="L599" s="50"/>
      <c r="M599" s="50" t="s">
        <v>3907</v>
      </c>
      <c r="N599" s="50"/>
      <c r="O599" s="53" t="s">
        <v>70</v>
      </c>
      <c r="P599" s="55" t="s">
        <v>3908</v>
      </c>
      <c r="Q599" s="50">
        <v>6384.0</v>
      </c>
      <c r="R599" s="50">
        <v>5816.0</v>
      </c>
      <c r="S599" s="50" t="s">
        <v>1139</v>
      </c>
      <c r="T599" s="56" t="s">
        <v>3920</v>
      </c>
      <c r="U599" s="53" t="s">
        <v>332</v>
      </c>
    </row>
    <row r="600">
      <c r="A600" s="54" t="s">
        <v>3921</v>
      </c>
      <c r="B600" s="50" t="s">
        <v>3905</v>
      </c>
      <c r="C600" s="51" t="s">
        <v>367</v>
      </c>
      <c r="D600" s="51"/>
      <c r="E600" s="51"/>
      <c r="F600" s="51"/>
      <c r="G600" s="50" t="s">
        <v>3922</v>
      </c>
      <c r="H600" s="52">
        <v>44683.41564814815</v>
      </c>
      <c r="I600" s="50"/>
      <c r="J600" s="50"/>
      <c r="K600" s="50"/>
      <c r="L600" s="50"/>
      <c r="M600" s="50" t="s">
        <v>3907</v>
      </c>
      <c r="N600" s="50"/>
      <c r="O600" s="53" t="s">
        <v>70</v>
      </c>
      <c r="P600" s="55" t="s">
        <v>3908</v>
      </c>
      <c r="Q600" s="50">
        <v>6384.0</v>
      </c>
      <c r="R600" s="50">
        <v>5816.0</v>
      </c>
      <c r="S600" s="50" t="s">
        <v>1139</v>
      </c>
      <c r="T600" s="56" t="s">
        <v>3923</v>
      </c>
      <c r="U600" s="53" t="s">
        <v>370</v>
      </c>
    </row>
    <row r="601">
      <c r="A601" s="54" t="s">
        <v>3924</v>
      </c>
      <c r="B601" s="50" t="s">
        <v>3925</v>
      </c>
      <c r="C601" s="51" t="s">
        <v>367</v>
      </c>
      <c r="D601" s="51"/>
      <c r="E601" s="51"/>
      <c r="F601" s="51"/>
      <c r="G601" s="50" t="s">
        <v>3926</v>
      </c>
      <c r="H601" s="52">
        <v>44683.41559027778</v>
      </c>
      <c r="I601" s="50"/>
      <c r="J601" s="50"/>
      <c r="K601" s="50"/>
      <c r="L601" s="50"/>
      <c r="M601" s="50" t="s">
        <v>3927</v>
      </c>
      <c r="N601" s="50"/>
      <c r="O601" s="53" t="s">
        <v>217</v>
      </c>
      <c r="P601" s="55" t="s">
        <v>3928</v>
      </c>
      <c r="Q601" s="50">
        <v>254.0</v>
      </c>
      <c r="R601" s="50">
        <v>873.0</v>
      </c>
      <c r="S601" s="50"/>
      <c r="T601" s="56" t="s">
        <v>3929</v>
      </c>
      <c r="U601" s="53" t="s">
        <v>370</v>
      </c>
    </row>
    <row r="602">
      <c r="A602" s="54" t="s">
        <v>3930</v>
      </c>
      <c r="B602" s="50" t="s">
        <v>3931</v>
      </c>
      <c r="C602" s="51" t="s">
        <v>363</v>
      </c>
      <c r="D602" s="51"/>
      <c r="E602" s="51"/>
      <c r="F602" s="51"/>
      <c r="G602" s="50" t="s">
        <v>3932</v>
      </c>
      <c r="H602" s="52">
        <v>44683.4155787037</v>
      </c>
      <c r="I602" s="50"/>
      <c r="J602" s="50"/>
      <c r="K602" s="50"/>
      <c r="L602" s="50"/>
      <c r="M602" s="50" t="s">
        <v>3933</v>
      </c>
      <c r="N602" s="50"/>
      <c r="O602" s="53" t="s">
        <v>60</v>
      </c>
      <c r="P602" s="55" t="s">
        <v>3934</v>
      </c>
      <c r="Q602" s="50">
        <v>6212.0</v>
      </c>
      <c r="R602" s="50">
        <v>991.0</v>
      </c>
      <c r="S602" s="50" t="s">
        <v>3935</v>
      </c>
      <c r="T602" s="56" t="s">
        <v>3936</v>
      </c>
      <c r="U602" s="53" t="s">
        <v>332</v>
      </c>
    </row>
    <row r="603">
      <c r="A603" s="54" t="s">
        <v>3937</v>
      </c>
      <c r="B603" s="50" t="s">
        <v>3938</v>
      </c>
      <c r="C603" s="51" t="s">
        <v>367</v>
      </c>
      <c r="D603" s="51"/>
      <c r="E603" s="51"/>
      <c r="F603" s="51"/>
      <c r="G603" s="50" t="s">
        <v>3939</v>
      </c>
      <c r="H603" s="52">
        <v>44683.415509259255</v>
      </c>
      <c r="I603" s="50"/>
      <c r="J603" s="50"/>
      <c r="K603" s="50"/>
      <c r="L603" s="50"/>
      <c r="M603" s="50" t="s">
        <v>3940</v>
      </c>
      <c r="N603" s="50"/>
      <c r="O603" s="53" t="s">
        <v>70</v>
      </c>
      <c r="P603" s="55" t="s">
        <v>3941</v>
      </c>
      <c r="Q603" s="50">
        <v>68.0</v>
      </c>
      <c r="R603" s="50">
        <v>208.0</v>
      </c>
      <c r="S603" s="50"/>
      <c r="T603" s="56" t="s">
        <v>3942</v>
      </c>
      <c r="U603" s="53" t="s">
        <v>370</v>
      </c>
    </row>
    <row r="604">
      <c r="A604" s="54" t="s">
        <v>3943</v>
      </c>
      <c r="B604" s="50" t="s">
        <v>3944</v>
      </c>
      <c r="C604" s="51" t="s">
        <v>3945</v>
      </c>
      <c r="D604" s="51"/>
      <c r="E604" s="51"/>
      <c r="F604" s="51"/>
      <c r="G604" s="50" t="s">
        <v>3946</v>
      </c>
      <c r="H604" s="52">
        <v>44683.41542824074</v>
      </c>
      <c r="I604" s="50"/>
      <c r="J604" s="50"/>
      <c r="K604" s="50"/>
      <c r="L604" s="50"/>
      <c r="M604" s="50" t="s">
        <v>3947</v>
      </c>
      <c r="N604" s="50"/>
      <c r="O604" s="53" t="s">
        <v>60</v>
      </c>
      <c r="P604" s="55" t="s">
        <v>3948</v>
      </c>
      <c r="Q604" s="50">
        <v>760.0</v>
      </c>
      <c r="R604" s="50">
        <v>913.0</v>
      </c>
      <c r="S604" s="50" t="s">
        <v>3949</v>
      </c>
      <c r="T604" s="56" t="s">
        <v>3950</v>
      </c>
      <c r="U604" s="53" t="s">
        <v>3951</v>
      </c>
    </row>
    <row r="605">
      <c r="A605" s="54" t="s">
        <v>3952</v>
      </c>
      <c r="B605" s="50" t="s">
        <v>3953</v>
      </c>
      <c r="C605" s="51" t="s">
        <v>3954</v>
      </c>
      <c r="D605" s="51"/>
      <c r="E605" s="51"/>
      <c r="F605" s="51"/>
      <c r="G605" s="50" t="s">
        <v>3955</v>
      </c>
      <c r="H605" s="52">
        <v>44683.415185185186</v>
      </c>
      <c r="I605" s="50"/>
      <c r="J605" s="50"/>
      <c r="K605" s="50"/>
      <c r="L605" s="50"/>
      <c r="M605" s="50" t="s">
        <v>3956</v>
      </c>
      <c r="N605" s="50"/>
      <c r="O605" s="53" t="s">
        <v>60</v>
      </c>
      <c r="P605" s="55" t="s">
        <v>3957</v>
      </c>
      <c r="Q605" s="50">
        <v>438.0</v>
      </c>
      <c r="R605" s="50">
        <v>1829.0</v>
      </c>
      <c r="S605" s="50" t="s">
        <v>3958</v>
      </c>
      <c r="T605" s="56" t="s">
        <v>3959</v>
      </c>
      <c r="U605" s="53" t="s">
        <v>3960</v>
      </c>
    </row>
    <row r="606">
      <c r="A606" s="54" t="s">
        <v>3961</v>
      </c>
      <c r="B606" s="50" t="s">
        <v>3962</v>
      </c>
      <c r="C606" s="51" t="s">
        <v>3963</v>
      </c>
      <c r="D606" s="51"/>
      <c r="E606" s="51"/>
      <c r="F606" s="51"/>
      <c r="G606" s="50" t="s">
        <v>3964</v>
      </c>
      <c r="H606" s="52">
        <v>44683.41511574074</v>
      </c>
      <c r="I606" s="50"/>
      <c r="J606" s="50"/>
      <c r="K606" s="50"/>
      <c r="L606" s="50"/>
      <c r="M606" s="50" t="s">
        <v>3965</v>
      </c>
      <c r="N606" s="50"/>
      <c r="O606" s="53" t="s">
        <v>60</v>
      </c>
      <c r="P606" s="55" t="s">
        <v>3966</v>
      </c>
      <c r="Q606" s="50">
        <v>6711.0</v>
      </c>
      <c r="R606" s="50">
        <v>6529.0</v>
      </c>
      <c r="S606" s="50"/>
      <c r="T606" s="56" t="s">
        <v>3967</v>
      </c>
      <c r="U606" s="53" t="s">
        <v>3968</v>
      </c>
    </row>
    <row r="607">
      <c r="A607" s="54" t="s">
        <v>3969</v>
      </c>
      <c r="B607" s="50" t="s">
        <v>3970</v>
      </c>
      <c r="C607" s="51" t="s">
        <v>3971</v>
      </c>
      <c r="D607" s="51"/>
      <c r="E607" s="51"/>
      <c r="F607" s="51"/>
      <c r="G607" s="50" t="s">
        <v>3972</v>
      </c>
      <c r="H607" s="52">
        <v>44683.41478009259</v>
      </c>
      <c r="I607" s="50"/>
      <c r="J607" s="50"/>
      <c r="K607" s="50"/>
      <c r="L607" s="50"/>
      <c r="M607" s="50" t="s">
        <v>3973</v>
      </c>
      <c r="N607" s="50"/>
      <c r="O607" s="53" t="s">
        <v>60</v>
      </c>
      <c r="P607" s="55" t="s">
        <v>3974</v>
      </c>
      <c r="Q607" s="50">
        <v>581.0</v>
      </c>
      <c r="R607" s="50">
        <v>435.0</v>
      </c>
      <c r="S607" s="50" t="s">
        <v>3975</v>
      </c>
      <c r="T607" s="56" t="s">
        <v>3976</v>
      </c>
      <c r="U607" s="53" t="s">
        <v>3977</v>
      </c>
    </row>
    <row r="608">
      <c r="A608" s="54" t="s">
        <v>3978</v>
      </c>
      <c r="B608" s="50" t="s">
        <v>3979</v>
      </c>
      <c r="C608" s="51" t="s">
        <v>316</v>
      </c>
      <c r="D608" s="51"/>
      <c r="E608" s="51"/>
      <c r="F608" s="51"/>
      <c r="G608" s="50" t="s">
        <v>3980</v>
      </c>
      <c r="H608" s="52">
        <v>44683.41464120371</v>
      </c>
      <c r="I608" s="50"/>
      <c r="J608" s="50"/>
      <c r="K608" s="50"/>
      <c r="L608" s="50"/>
      <c r="M608" s="50" t="s">
        <v>3981</v>
      </c>
      <c r="N608" s="50"/>
      <c r="O608" s="53" t="s">
        <v>92</v>
      </c>
      <c r="P608" s="55" t="s">
        <v>3982</v>
      </c>
      <c r="Q608" s="50">
        <v>213.0</v>
      </c>
      <c r="R608" s="50">
        <v>672.0</v>
      </c>
      <c r="S608" s="50"/>
      <c r="T608" s="56" t="s">
        <v>3983</v>
      </c>
      <c r="U608" s="53" t="s">
        <v>322</v>
      </c>
    </row>
    <row r="609">
      <c r="A609" s="54" t="s">
        <v>3984</v>
      </c>
      <c r="B609" s="50" t="s">
        <v>3985</v>
      </c>
      <c r="C609" s="51" t="s">
        <v>367</v>
      </c>
      <c r="D609" s="51"/>
      <c r="E609" s="51"/>
      <c r="F609" s="51"/>
      <c r="G609" s="50" t="s">
        <v>3986</v>
      </c>
      <c r="H609" s="52">
        <v>44683.41449074074</v>
      </c>
      <c r="I609" s="50"/>
      <c r="J609" s="50"/>
      <c r="K609" s="50"/>
      <c r="L609" s="50"/>
      <c r="M609" s="50" t="s">
        <v>3987</v>
      </c>
      <c r="N609" s="50"/>
      <c r="O609" s="53" t="s">
        <v>70</v>
      </c>
      <c r="P609" s="55" t="s">
        <v>3988</v>
      </c>
      <c r="Q609" s="50">
        <v>47.0</v>
      </c>
      <c r="R609" s="50">
        <v>204.0</v>
      </c>
      <c r="S609" s="50"/>
      <c r="T609" s="56" t="s">
        <v>3989</v>
      </c>
      <c r="U609" s="53" t="s">
        <v>370</v>
      </c>
    </row>
    <row r="610">
      <c r="A610" s="54" t="s">
        <v>3990</v>
      </c>
      <c r="B610" s="50" t="s">
        <v>3991</v>
      </c>
      <c r="C610" s="51" t="s">
        <v>367</v>
      </c>
      <c r="D610" s="51"/>
      <c r="E610" s="51"/>
      <c r="F610" s="51"/>
      <c r="G610" s="50" t="s">
        <v>3992</v>
      </c>
      <c r="H610" s="52">
        <v>44683.41440972222</v>
      </c>
      <c r="I610" s="50"/>
      <c r="J610" s="50"/>
      <c r="K610" s="50"/>
      <c r="L610" s="50"/>
      <c r="M610" s="50" t="s">
        <v>3993</v>
      </c>
      <c r="N610" s="50"/>
      <c r="O610" s="53" t="s">
        <v>70</v>
      </c>
      <c r="P610" s="55" t="s">
        <v>3994</v>
      </c>
      <c r="Q610" s="50">
        <v>115.0</v>
      </c>
      <c r="R610" s="50">
        <v>267.0</v>
      </c>
      <c r="S610" s="50" t="s">
        <v>3995</v>
      </c>
      <c r="T610" s="56" t="s">
        <v>3996</v>
      </c>
      <c r="U610" s="53" t="s">
        <v>370</v>
      </c>
    </row>
    <row r="611">
      <c r="A611" s="54" t="s">
        <v>3997</v>
      </c>
      <c r="B611" s="50" t="s">
        <v>3998</v>
      </c>
      <c r="C611" s="51" t="s">
        <v>367</v>
      </c>
      <c r="D611" s="51"/>
      <c r="E611" s="51"/>
      <c r="F611" s="51"/>
      <c r="G611" s="50" t="s">
        <v>3999</v>
      </c>
      <c r="H611" s="52">
        <v>44683.414305555554</v>
      </c>
      <c r="I611" s="50"/>
      <c r="J611" s="50"/>
      <c r="K611" s="50"/>
      <c r="L611" s="50"/>
      <c r="M611" s="50" t="s">
        <v>4000</v>
      </c>
      <c r="N611" s="50"/>
      <c r="O611" s="53" t="s">
        <v>217</v>
      </c>
      <c r="P611" s="55" t="s">
        <v>4001</v>
      </c>
      <c r="Q611" s="50">
        <v>297.0</v>
      </c>
      <c r="R611" s="50">
        <v>472.0</v>
      </c>
      <c r="S611" s="50" t="s">
        <v>129</v>
      </c>
      <c r="T611" s="56" t="s">
        <v>4002</v>
      </c>
      <c r="U611" s="53" t="s">
        <v>370</v>
      </c>
    </row>
    <row r="612">
      <c r="A612" s="54" t="s">
        <v>4003</v>
      </c>
      <c r="B612" s="50" t="s">
        <v>4004</v>
      </c>
      <c r="C612" s="51" t="s">
        <v>4005</v>
      </c>
      <c r="D612" s="51"/>
      <c r="E612" s="51"/>
      <c r="F612" s="51"/>
      <c r="G612" s="50" t="s">
        <v>4006</v>
      </c>
      <c r="H612" s="52">
        <v>44683.413865740746</v>
      </c>
      <c r="I612" s="50"/>
      <c r="J612" s="50"/>
      <c r="K612" s="50"/>
      <c r="L612" s="50"/>
      <c r="M612" s="50" t="s">
        <v>4007</v>
      </c>
      <c r="N612" s="50"/>
      <c r="O612" s="53" t="s">
        <v>70</v>
      </c>
      <c r="P612" s="55" t="s">
        <v>4008</v>
      </c>
      <c r="Q612" s="50">
        <v>3414.0</v>
      </c>
      <c r="R612" s="50">
        <v>4648.0</v>
      </c>
      <c r="S612" s="50" t="s">
        <v>219</v>
      </c>
      <c r="T612" s="56" t="s">
        <v>4009</v>
      </c>
      <c r="U612" s="53" t="s">
        <v>4010</v>
      </c>
    </row>
    <row r="613">
      <c r="A613" s="54" t="s">
        <v>4011</v>
      </c>
      <c r="B613" s="50" t="s">
        <v>4012</v>
      </c>
      <c r="C613" s="51" t="s">
        <v>367</v>
      </c>
      <c r="D613" s="51"/>
      <c r="E613" s="51"/>
      <c r="F613" s="51"/>
      <c r="G613" s="50" t="s">
        <v>4013</v>
      </c>
      <c r="H613" s="52">
        <v>44683.41385416666</v>
      </c>
      <c r="I613" s="50"/>
      <c r="J613" s="50"/>
      <c r="K613" s="50"/>
      <c r="L613" s="50"/>
      <c r="M613" s="50" t="s">
        <v>4014</v>
      </c>
      <c r="N613" s="50"/>
      <c r="O613" s="53" t="s">
        <v>60</v>
      </c>
      <c r="P613" s="55" t="s">
        <v>4015</v>
      </c>
      <c r="Q613" s="50">
        <v>152.0</v>
      </c>
      <c r="R613" s="50">
        <v>331.0</v>
      </c>
      <c r="S613" s="50" t="s">
        <v>1007</v>
      </c>
      <c r="T613" s="56" t="s">
        <v>4016</v>
      </c>
      <c r="U613" s="53" t="s">
        <v>370</v>
      </c>
    </row>
    <row r="614">
      <c r="A614" s="54" t="s">
        <v>4017</v>
      </c>
      <c r="B614" s="50" t="s">
        <v>4018</v>
      </c>
      <c r="C614" s="51" t="s">
        <v>4019</v>
      </c>
      <c r="D614" s="51"/>
      <c r="E614" s="51"/>
      <c r="F614" s="51"/>
      <c r="G614" s="50" t="s">
        <v>4020</v>
      </c>
      <c r="H614" s="52">
        <v>44683.41376157408</v>
      </c>
      <c r="I614" s="50"/>
      <c r="J614" s="50"/>
      <c r="K614" s="50" t="s">
        <v>4021</v>
      </c>
      <c r="L614" s="50" t="s">
        <v>4018</v>
      </c>
      <c r="M614" s="50" t="s">
        <v>4021</v>
      </c>
      <c r="N614" s="50" t="s">
        <v>4022</v>
      </c>
      <c r="O614" s="53" t="s">
        <v>60</v>
      </c>
      <c r="P614" s="55" t="s">
        <v>4023</v>
      </c>
      <c r="Q614" s="50">
        <v>2550.0</v>
      </c>
      <c r="R614" s="50">
        <v>406.0</v>
      </c>
      <c r="S614" s="50" t="s">
        <v>4024</v>
      </c>
      <c r="T614" s="56" t="s">
        <v>4025</v>
      </c>
      <c r="U614" s="53" t="s">
        <v>4026</v>
      </c>
    </row>
    <row r="615">
      <c r="A615" s="54" t="s">
        <v>4027</v>
      </c>
      <c r="B615" s="50" t="s">
        <v>4028</v>
      </c>
      <c r="C615" s="51" t="s">
        <v>367</v>
      </c>
      <c r="D615" s="51"/>
      <c r="E615" s="51"/>
      <c r="F615" s="51"/>
      <c r="G615" s="50" t="s">
        <v>4029</v>
      </c>
      <c r="H615" s="52">
        <v>44683.413564814815</v>
      </c>
      <c r="I615" s="50"/>
      <c r="J615" s="50"/>
      <c r="K615" s="50"/>
      <c r="L615" s="50"/>
      <c r="M615" s="50" t="s">
        <v>4030</v>
      </c>
      <c r="N615" s="50"/>
      <c r="O615" s="53" t="s">
        <v>92</v>
      </c>
      <c r="P615" s="55" t="s">
        <v>4031</v>
      </c>
      <c r="Q615" s="50">
        <v>11.0</v>
      </c>
      <c r="R615" s="50">
        <v>440.0</v>
      </c>
      <c r="S615" s="50" t="s">
        <v>4032</v>
      </c>
      <c r="T615" s="56" t="s">
        <v>4033</v>
      </c>
      <c r="U615" s="53" t="s">
        <v>370</v>
      </c>
    </row>
    <row r="616">
      <c r="A616" s="54" t="s">
        <v>4034</v>
      </c>
      <c r="B616" s="50" t="s">
        <v>4035</v>
      </c>
      <c r="C616" s="51" t="s">
        <v>687</v>
      </c>
      <c r="D616" s="51"/>
      <c r="E616" s="51"/>
      <c r="F616" s="51"/>
      <c r="G616" s="50" t="s">
        <v>4036</v>
      </c>
      <c r="H616" s="52">
        <v>44683.41354166667</v>
      </c>
      <c r="I616" s="50"/>
      <c r="J616" s="50"/>
      <c r="K616" s="50"/>
      <c r="L616" s="50"/>
      <c r="M616" s="50" t="s">
        <v>4037</v>
      </c>
      <c r="N616" s="50"/>
      <c r="O616" s="53" t="s">
        <v>217</v>
      </c>
      <c r="P616" s="55" t="s">
        <v>4038</v>
      </c>
      <c r="Q616" s="50">
        <v>6215.0</v>
      </c>
      <c r="R616" s="50">
        <v>5992.0</v>
      </c>
      <c r="S616" s="50" t="s">
        <v>4039</v>
      </c>
      <c r="T616" s="56" t="s">
        <v>4040</v>
      </c>
      <c r="U616" s="53" t="s">
        <v>691</v>
      </c>
    </row>
    <row r="617">
      <c r="A617" s="54" t="s">
        <v>4041</v>
      </c>
      <c r="B617" s="50" t="s">
        <v>4042</v>
      </c>
      <c r="C617" s="51" t="s">
        <v>4043</v>
      </c>
      <c r="D617" s="51"/>
      <c r="E617" s="51"/>
      <c r="F617" s="51"/>
      <c r="G617" s="50" t="s">
        <v>4044</v>
      </c>
      <c r="H617" s="52">
        <v>44683.41329861111</v>
      </c>
      <c r="I617" s="50"/>
      <c r="J617" s="50"/>
      <c r="K617" s="50"/>
      <c r="L617" s="50"/>
      <c r="M617" s="50" t="s">
        <v>4045</v>
      </c>
      <c r="N617" s="50"/>
      <c r="O617" s="53" t="s">
        <v>4046</v>
      </c>
      <c r="P617" s="55" t="s">
        <v>4047</v>
      </c>
      <c r="Q617" s="50">
        <v>8257.0</v>
      </c>
      <c r="R617" s="50">
        <v>1298.0</v>
      </c>
      <c r="S617" s="50" t="s">
        <v>129</v>
      </c>
      <c r="T617" s="56" t="s">
        <v>4048</v>
      </c>
      <c r="U617" s="53" t="s">
        <v>4049</v>
      </c>
    </row>
    <row r="618">
      <c r="A618" s="54" t="s">
        <v>4050</v>
      </c>
      <c r="B618" s="50" t="s">
        <v>4051</v>
      </c>
      <c r="C618" s="51" t="s">
        <v>316</v>
      </c>
      <c r="D618" s="51"/>
      <c r="E618" s="51"/>
      <c r="F618" s="51"/>
      <c r="G618" s="50" t="s">
        <v>4052</v>
      </c>
      <c r="H618" s="52">
        <v>44683.413263888884</v>
      </c>
      <c r="I618" s="50"/>
      <c r="J618" s="50"/>
      <c r="K618" s="50"/>
      <c r="L618" s="50"/>
      <c r="M618" s="50" t="s">
        <v>4053</v>
      </c>
      <c r="N618" s="50"/>
      <c r="O618" s="53" t="s">
        <v>92</v>
      </c>
      <c r="P618" s="55" t="s">
        <v>4054</v>
      </c>
      <c r="Q618" s="50">
        <v>3147.0</v>
      </c>
      <c r="R618" s="50">
        <v>1980.0</v>
      </c>
      <c r="S618" s="50" t="s">
        <v>246</v>
      </c>
      <c r="T618" s="56" t="s">
        <v>4055</v>
      </c>
      <c r="U618" s="53" t="s">
        <v>322</v>
      </c>
    </row>
    <row r="619">
      <c r="A619" s="54" t="s">
        <v>4056</v>
      </c>
      <c r="B619" s="50" t="s">
        <v>4057</v>
      </c>
      <c r="C619" s="51" t="s">
        <v>2730</v>
      </c>
      <c r="D619" s="51"/>
      <c r="E619" s="51"/>
      <c r="F619" s="51"/>
      <c r="G619" s="50" t="s">
        <v>4058</v>
      </c>
      <c r="H619" s="52">
        <v>44683.41318287037</v>
      </c>
      <c r="I619" s="50"/>
      <c r="J619" s="50"/>
      <c r="K619" s="50"/>
      <c r="L619" s="50"/>
      <c r="M619" s="50" t="s">
        <v>4059</v>
      </c>
      <c r="N619" s="50"/>
      <c r="O619" s="53" t="s">
        <v>92</v>
      </c>
      <c r="P619" s="55" t="s">
        <v>4060</v>
      </c>
      <c r="Q619" s="50">
        <v>1688.0</v>
      </c>
      <c r="R619" s="50">
        <v>1729.0</v>
      </c>
      <c r="S619" s="50" t="s">
        <v>1064</v>
      </c>
      <c r="T619" s="56" t="s">
        <v>4061</v>
      </c>
      <c r="U619" s="53" t="s">
        <v>2736</v>
      </c>
    </row>
    <row r="620">
      <c r="A620" s="54" t="s">
        <v>4062</v>
      </c>
      <c r="B620" s="50" t="s">
        <v>4063</v>
      </c>
      <c r="C620" s="51" t="s">
        <v>2869</v>
      </c>
      <c r="D620" s="51"/>
      <c r="E620" s="51"/>
      <c r="F620" s="51"/>
      <c r="G620" s="50" t="s">
        <v>4064</v>
      </c>
      <c r="H620" s="52">
        <v>44683.4131712963</v>
      </c>
      <c r="I620" s="50"/>
      <c r="J620" s="50"/>
      <c r="K620" s="50"/>
      <c r="L620" s="50"/>
      <c r="M620" s="50" t="s">
        <v>4065</v>
      </c>
      <c r="N620" s="50"/>
      <c r="O620" s="53" t="s">
        <v>70</v>
      </c>
      <c r="P620" s="55" t="s">
        <v>4066</v>
      </c>
      <c r="Q620" s="50">
        <v>3542.0</v>
      </c>
      <c r="R620" s="50">
        <v>3732.0</v>
      </c>
      <c r="S620" s="50" t="s">
        <v>4067</v>
      </c>
      <c r="T620" s="56" t="s">
        <v>4068</v>
      </c>
      <c r="U620" s="53" t="s">
        <v>2874</v>
      </c>
    </row>
    <row r="621">
      <c r="A621" s="54" t="s">
        <v>4069</v>
      </c>
      <c r="B621" s="50" t="s">
        <v>4070</v>
      </c>
      <c r="C621" s="51" t="s">
        <v>4071</v>
      </c>
      <c r="D621" s="51"/>
      <c r="E621" s="51"/>
      <c r="F621" s="51"/>
      <c r="G621" s="50" t="s">
        <v>4072</v>
      </c>
      <c r="H621" s="52">
        <v>44683.41311342592</v>
      </c>
      <c r="I621" s="50"/>
      <c r="J621" s="50"/>
      <c r="K621" s="50" t="s">
        <v>4073</v>
      </c>
      <c r="L621" s="50" t="s">
        <v>4074</v>
      </c>
      <c r="M621" s="50" t="s">
        <v>4075</v>
      </c>
      <c r="N621" s="50" t="s">
        <v>4076</v>
      </c>
      <c r="O621" s="53" t="s">
        <v>92</v>
      </c>
      <c r="P621" s="55" t="s">
        <v>4077</v>
      </c>
      <c r="Q621" s="50">
        <v>355.0</v>
      </c>
      <c r="R621" s="50">
        <v>389.0</v>
      </c>
      <c r="S621" s="50"/>
      <c r="T621" s="56" t="s">
        <v>4078</v>
      </c>
      <c r="U621" s="53" t="s">
        <v>4079</v>
      </c>
    </row>
    <row r="622">
      <c r="A622" s="54" t="s">
        <v>4080</v>
      </c>
      <c r="B622" s="50" t="s">
        <v>4081</v>
      </c>
      <c r="C622" s="51" t="s">
        <v>687</v>
      </c>
      <c r="D622" s="51"/>
      <c r="E622" s="51"/>
      <c r="F622" s="51"/>
      <c r="G622" s="50" t="s">
        <v>4072</v>
      </c>
      <c r="H622" s="52">
        <v>44683.41311342592</v>
      </c>
      <c r="I622" s="50"/>
      <c r="J622" s="50"/>
      <c r="K622" s="50"/>
      <c r="L622" s="50"/>
      <c r="M622" s="50" t="s">
        <v>4082</v>
      </c>
      <c r="N622" s="50"/>
      <c r="O622" s="53" t="s">
        <v>70</v>
      </c>
      <c r="P622" s="55" t="s">
        <v>4083</v>
      </c>
      <c r="Q622" s="50">
        <v>1749.0</v>
      </c>
      <c r="R622" s="50">
        <v>1383.0</v>
      </c>
      <c r="S622" s="50" t="s">
        <v>379</v>
      </c>
      <c r="T622" s="56" t="s">
        <v>4084</v>
      </c>
      <c r="U622" s="53" t="s">
        <v>691</v>
      </c>
    </row>
    <row r="623">
      <c r="A623" s="54" t="s">
        <v>4085</v>
      </c>
      <c r="B623" s="50" t="s">
        <v>4051</v>
      </c>
      <c r="C623" s="51" t="s">
        <v>329</v>
      </c>
      <c r="D623" s="51"/>
      <c r="E623" s="51"/>
      <c r="F623" s="51"/>
      <c r="G623" s="50" t="s">
        <v>4086</v>
      </c>
      <c r="H623" s="52">
        <v>44683.413090277776</v>
      </c>
      <c r="I623" s="50"/>
      <c r="J623" s="50"/>
      <c r="K623" s="50"/>
      <c r="L623" s="50"/>
      <c r="M623" s="50" t="s">
        <v>4053</v>
      </c>
      <c r="N623" s="50"/>
      <c r="O623" s="53" t="s">
        <v>92</v>
      </c>
      <c r="P623" s="55" t="s">
        <v>4054</v>
      </c>
      <c r="Q623" s="50">
        <v>3147.0</v>
      </c>
      <c r="R623" s="50">
        <v>1980.0</v>
      </c>
      <c r="S623" s="50" t="s">
        <v>246</v>
      </c>
      <c r="T623" s="56" t="s">
        <v>4087</v>
      </c>
      <c r="U623" s="53" t="s">
        <v>332</v>
      </c>
    </row>
    <row r="624">
      <c r="A624" s="54" t="s">
        <v>4088</v>
      </c>
      <c r="B624" s="50" t="s">
        <v>4057</v>
      </c>
      <c r="C624" s="51" t="s">
        <v>3833</v>
      </c>
      <c r="D624" s="51"/>
      <c r="E624" s="51"/>
      <c r="F624" s="51"/>
      <c r="G624" s="50" t="s">
        <v>4089</v>
      </c>
      <c r="H624" s="52">
        <v>44683.41291666667</v>
      </c>
      <c r="I624" s="50"/>
      <c r="J624" s="50"/>
      <c r="K624" s="50"/>
      <c r="L624" s="50"/>
      <c r="M624" s="50" t="s">
        <v>4059</v>
      </c>
      <c r="N624" s="50"/>
      <c r="O624" s="53" t="s">
        <v>92</v>
      </c>
      <c r="P624" s="55" t="s">
        <v>4060</v>
      </c>
      <c r="Q624" s="50">
        <v>1688.0</v>
      </c>
      <c r="R624" s="50">
        <v>1729.0</v>
      </c>
      <c r="S624" s="50" t="s">
        <v>1064</v>
      </c>
      <c r="T624" s="56" t="s">
        <v>4090</v>
      </c>
      <c r="U624" s="53" t="s">
        <v>3838</v>
      </c>
    </row>
    <row r="625">
      <c r="A625" s="54" t="s">
        <v>4091</v>
      </c>
      <c r="B625" s="50" t="s">
        <v>4092</v>
      </c>
      <c r="C625" s="51" t="s">
        <v>687</v>
      </c>
      <c r="D625" s="51"/>
      <c r="E625" s="51"/>
      <c r="F625" s="51"/>
      <c r="G625" s="50" t="s">
        <v>4093</v>
      </c>
      <c r="H625" s="52">
        <v>44683.412824074076</v>
      </c>
      <c r="I625" s="50"/>
      <c r="J625" s="50"/>
      <c r="K625" s="50"/>
      <c r="L625" s="50"/>
      <c r="M625" s="50" t="s">
        <v>4094</v>
      </c>
      <c r="N625" s="50"/>
      <c r="O625" s="53" t="s">
        <v>60</v>
      </c>
      <c r="P625" s="55" t="s">
        <v>4095</v>
      </c>
      <c r="Q625" s="50">
        <v>1673.0</v>
      </c>
      <c r="R625" s="50">
        <v>2203.0</v>
      </c>
      <c r="S625" s="50" t="s">
        <v>379</v>
      </c>
      <c r="T625" s="56" t="s">
        <v>4096</v>
      </c>
      <c r="U625" s="53" t="s">
        <v>691</v>
      </c>
    </row>
    <row r="626">
      <c r="A626" s="54" t="s">
        <v>4097</v>
      </c>
      <c r="B626" s="50" t="s">
        <v>4051</v>
      </c>
      <c r="C626" s="51" t="s">
        <v>363</v>
      </c>
      <c r="D626" s="51"/>
      <c r="E626" s="51"/>
      <c r="F626" s="51"/>
      <c r="G626" s="50" t="s">
        <v>4098</v>
      </c>
      <c r="H626" s="52">
        <v>44683.4128125</v>
      </c>
      <c r="I626" s="50"/>
      <c r="J626" s="50"/>
      <c r="K626" s="50"/>
      <c r="L626" s="50"/>
      <c r="M626" s="50" t="s">
        <v>4053</v>
      </c>
      <c r="N626" s="50"/>
      <c r="O626" s="53" t="s">
        <v>92</v>
      </c>
      <c r="P626" s="55" t="s">
        <v>4054</v>
      </c>
      <c r="Q626" s="50">
        <v>3147.0</v>
      </c>
      <c r="R626" s="50">
        <v>1980.0</v>
      </c>
      <c r="S626" s="50" t="s">
        <v>246</v>
      </c>
      <c r="T626" s="56" t="s">
        <v>4099</v>
      </c>
      <c r="U626" s="53" t="s">
        <v>332</v>
      </c>
    </row>
    <row r="627">
      <c r="A627" s="54" t="s">
        <v>4100</v>
      </c>
      <c r="B627" s="50" t="s">
        <v>4101</v>
      </c>
      <c r="C627" s="51" t="s">
        <v>687</v>
      </c>
      <c r="D627" s="51"/>
      <c r="E627" s="51"/>
      <c r="F627" s="51"/>
      <c r="G627" s="50" t="s">
        <v>4102</v>
      </c>
      <c r="H627" s="52">
        <v>44683.41270833333</v>
      </c>
      <c r="I627" s="50"/>
      <c r="J627" s="50"/>
      <c r="K627" s="50"/>
      <c r="L627" s="50"/>
      <c r="M627" s="50" t="s">
        <v>4103</v>
      </c>
      <c r="N627" s="50"/>
      <c r="O627" s="53" t="s">
        <v>92</v>
      </c>
      <c r="P627" s="55" t="s">
        <v>4104</v>
      </c>
      <c r="Q627" s="50">
        <v>797.0</v>
      </c>
      <c r="R627" s="50">
        <v>583.0</v>
      </c>
      <c r="S627" s="50"/>
      <c r="T627" s="56" t="s">
        <v>4105</v>
      </c>
      <c r="U627" s="53" t="s">
        <v>691</v>
      </c>
    </row>
    <row r="628">
      <c r="A628" s="54" t="s">
        <v>4106</v>
      </c>
      <c r="B628" s="50" t="s">
        <v>4051</v>
      </c>
      <c r="C628" s="51" t="s">
        <v>367</v>
      </c>
      <c r="D628" s="51"/>
      <c r="E628" s="51"/>
      <c r="F628" s="51"/>
      <c r="G628" s="50" t="s">
        <v>4107</v>
      </c>
      <c r="H628" s="52">
        <v>44683.41258101852</v>
      </c>
      <c r="I628" s="50"/>
      <c r="J628" s="50"/>
      <c r="K628" s="50"/>
      <c r="L628" s="50"/>
      <c r="M628" s="50" t="s">
        <v>4053</v>
      </c>
      <c r="N628" s="50"/>
      <c r="O628" s="53" t="s">
        <v>92</v>
      </c>
      <c r="P628" s="55" t="s">
        <v>4054</v>
      </c>
      <c r="Q628" s="50">
        <v>3147.0</v>
      </c>
      <c r="R628" s="50">
        <v>1980.0</v>
      </c>
      <c r="S628" s="50" t="s">
        <v>246</v>
      </c>
      <c r="T628" s="56" t="s">
        <v>4108</v>
      </c>
      <c r="U628" s="53" t="s">
        <v>370</v>
      </c>
    </row>
    <row r="629">
      <c r="A629" s="54" t="s">
        <v>4109</v>
      </c>
      <c r="B629" s="50" t="s">
        <v>4110</v>
      </c>
      <c r="C629" s="51" t="s">
        <v>367</v>
      </c>
      <c r="D629" s="51"/>
      <c r="E629" s="51"/>
      <c r="F629" s="51"/>
      <c r="G629" s="50" t="s">
        <v>4111</v>
      </c>
      <c r="H629" s="52">
        <v>44683.4125</v>
      </c>
      <c r="I629" s="50"/>
      <c r="J629" s="50"/>
      <c r="K629" s="50"/>
      <c r="L629" s="50"/>
      <c r="M629" s="50" t="s">
        <v>4112</v>
      </c>
      <c r="N629" s="50"/>
      <c r="O629" s="53" t="s">
        <v>217</v>
      </c>
      <c r="P629" s="55" t="s">
        <v>4113</v>
      </c>
      <c r="Q629" s="50">
        <v>148.0</v>
      </c>
      <c r="R629" s="50">
        <v>500.0</v>
      </c>
      <c r="S629" s="50" t="s">
        <v>4114</v>
      </c>
      <c r="T629" s="56" t="s">
        <v>4115</v>
      </c>
      <c r="U629" s="53" t="s">
        <v>370</v>
      </c>
    </row>
    <row r="630">
      <c r="A630" s="54" t="s">
        <v>4116</v>
      </c>
      <c r="B630" s="50" t="s">
        <v>4117</v>
      </c>
      <c r="C630" s="51" t="s">
        <v>2920</v>
      </c>
      <c r="D630" s="51"/>
      <c r="E630" s="51"/>
      <c r="F630" s="51"/>
      <c r="G630" s="50" t="s">
        <v>4118</v>
      </c>
      <c r="H630" s="52">
        <v>44683.41236111111</v>
      </c>
      <c r="I630" s="50"/>
      <c r="J630" s="50"/>
      <c r="K630" s="50"/>
      <c r="L630" s="50"/>
      <c r="M630" s="50" t="s">
        <v>4119</v>
      </c>
      <c r="N630" s="50"/>
      <c r="O630" s="53" t="s">
        <v>92</v>
      </c>
      <c r="P630" s="55" t="s">
        <v>4120</v>
      </c>
      <c r="Q630" s="50">
        <v>1049.0</v>
      </c>
      <c r="R630" s="50">
        <v>895.0</v>
      </c>
      <c r="S630" s="50" t="s">
        <v>1311</v>
      </c>
      <c r="T630" s="56" t="s">
        <v>4121</v>
      </c>
      <c r="U630" s="53" t="s">
        <v>2925</v>
      </c>
    </row>
    <row r="631">
      <c r="A631" s="54" t="s">
        <v>4122</v>
      </c>
      <c r="B631" s="50" t="s">
        <v>4123</v>
      </c>
      <c r="C631" s="51" t="s">
        <v>687</v>
      </c>
      <c r="D631" s="51"/>
      <c r="E631" s="51"/>
      <c r="F631" s="51"/>
      <c r="G631" s="50" t="s">
        <v>4124</v>
      </c>
      <c r="H631" s="52">
        <v>44683.41222222222</v>
      </c>
      <c r="I631" s="50"/>
      <c r="J631" s="50"/>
      <c r="K631" s="50"/>
      <c r="L631" s="50"/>
      <c r="M631" s="50" t="s">
        <v>4125</v>
      </c>
      <c r="N631" s="50"/>
      <c r="O631" s="53" t="s">
        <v>60</v>
      </c>
      <c r="P631" s="55" t="s">
        <v>4126</v>
      </c>
      <c r="Q631" s="50">
        <v>53.0</v>
      </c>
      <c r="R631" s="50">
        <v>285.0</v>
      </c>
      <c r="S631" s="50" t="s">
        <v>4127</v>
      </c>
      <c r="T631" s="56" t="s">
        <v>4128</v>
      </c>
      <c r="U631" s="53" t="s">
        <v>691</v>
      </c>
    </row>
    <row r="632">
      <c r="A632" s="54" t="s">
        <v>4129</v>
      </c>
      <c r="B632" s="50" t="s">
        <v>4130</v>
      </c>
      <c r="C632" s="51" t="s">
        <v>367</v>
      </c>
      <c r="D632" s="51"/>
      <c r="E632" s="51"/>
      <c r="F632" s="51"/>
      <c r="G632" s="50" t="s">
        <v>4131</v>
      </c>
      <c r="H632" s="52">
        <v>44683.41221064815</v>
      </c>
      <c r="I632" s="50"/>
      <c r="J632" s="50"/>
      <c r="K632" s="50"/>
      <c r="L632" s="50"/>
      <c r="M632" s="50" t="s">
        <v>4132</v>
      </c>
      <c r="N632" s="50"/>
      <c r="O632" s="53" t="s">
        <v>70</v>
      </c>
      <c r="P632" s="55" t="s">
        <v>4133</v>
      </c>
      <c r="Q632" s="50">
        <v>3297.0</v>
      </c>
      <c r="R632" s="50">
        <v>3476.0</v>
      </c>
      <c r="S632" s="50"/>
      <c r="T632" s="56" t="s">
        <v>4134</v>
      </c>
      <c r="U632" s="53" t="s">
        <v>370</v>
      </c>
    </row>
    <row r="633">
      <c r="A633" s="54" t="s">
        <v>4135</v>
      </c>
      <c r="B633" s="50" t="s">
        <v>2908</v>
      </c>
      <c r="C633" s="51" t="s">
        <v>4136</v>
      </c>
      <c r="D633" s="51"/>
      <c r="E633" s="51"/>
      <c r="F633" s="51"/>
      <c r="G633" s="50" t="s">
        <v>4137</v>
      </c>
      <c r="H633" s="52">
        <v>44683.41216435185</v>
      </c>
      <c r="I633" s="50"/>
      <c r="J633" s="50"/>
      <c r="K633" s="50" t="s">
        <v>4138</v>
      </c>
      <c r="L633" s="50" t="s">
        <v>4139</v>
      </c>
      <c r="M633" s="50" t="s">
        <v>2913</v>
      </c>
      <c r="N633" s="50" t="s">
        <v>4140</v>
      </c>
      <c r="O633" s="53" t="s">
        <v>60</v>
      </c>
      <c r="P633" s="55" t="s">
        <v>2915</v>
      </c>
      <c r="Q633" s="50">
        <v>3572.0</v>
      </c>
      <c r="R633" s="50">
        <v>4997.0</v>
      </c>
      <c r="S633" s="50" t="s">
        <v>379</v>
      </c>
      <c r="T633" s="56" t="s">
        <v>4141</v>
      </c>
      <c r="U633" s="53" t="s">
        <v>4142</v>
      </c>
    </row>
    <row r="634">
      <c r="A634" s="54" t="s">
        <v>4143</v>
      </c>
      <c r="B634" s="50" t="s">
        <v>4144</v>
      </c>
      <c r="C634" s="51" t="s">
        <v>316</v>
      </c>
      <c r="D634" s="51"/>
      <c r="E634" s="51"/>
      <c r="F634" s="51"/>
      <c r="G634" s="50" t="s">
        <v>4145</v>
      </c>
      <c r="H634" s="52">
        <v>44683.41197916667</v>
      </c>
      <c r="I634" s="50"/>
      <c r="J634" s="50"/>
      <c r="K634" s="50"/>
      <c r="L634" s="50"/>
      <c r="M634" s="50" t="s">
        <v>4146</v>
      </c>
      <c r="N634" s="50"/>
      <c r="O634" s="53" t="s">
        <v>70</v>
      </c>
      <c r="P634" s="55" t="s">
        <v>4147</v>
      </c>
      <c r="Q634" s="50">
        <v>1833.0</v>
      </c>
      <c r="R634" s="50">
        <v>4991.0</v>
      </c>
      <c r="S634" s="50"/>
      <c r="T634" s="56" t="s">
        <v>4148</v>
      </c>
      <c r="U634" s="53" t="s">
        <v>322</v>
      </c>
    </row>
    <row r="635">
      <c r="A635" s="54" t="s">
        <v>4149</v>
      </c>
      <c r="B635" s="50" t="s">
        <v>4150</v>
      </c>
      <c r="C635" s="51" t="s">
        <v>316</v>
      </c>
      <c r="D635" s="51"/>
      <c r="E635" s="51"/>
      <c r="F635" s="51"/>
      <c r="G635" s="50" t="s">
        <v>4151</v>
      </c>
      <c r="H635" s="52">
        <v>44683.41181712963</v>
      </c>
      <c r="I635" s="50"/>
      <c r="J635" s="50"/>
      <c r="K635" s="50"/>
      <c r="L635" s="50"/>
      <c r="M635" s="50" t="s">
        <v>4152</v>
      </c>
      <c r="N635" s="50"/>
      <c r="O635" s="53" t="s">
        <v>70</v>
      </c>
      <c r="P635" s="55" t="s">
        <v>354</v>
      </c>
      <c r="Q635" s="50">
        <v>1.0</v>
      </c>
      <c r="R635" s="50">
        <v>3.0</v>
      </c>
      <c r="S635" s="50"/>
      <c r="T635" s="56" t="s">
        <v>4153</v>
      </c>
      <c r="U635" s="53" t="s">
        <v>322</v>
      </c>
    </row>
    <row r="636">
      <c r="A636" s="54" t="s">
        <v>4154</v>
      </c>
      <c r="B636" s="50" t="s">
        <v>3359</v>
      </c>
      <c r="C636" s="51" t="s">
        <v>2869</v>
      </c>
      <c r="D636" s="51"/>
      <c r="E636" s="51"/>
      <c r="F636" s="51"/>
      <c r="G636" s="50" t="s">
        <v>4155</v>
      </c>
      <c r="H636" s="52">
        <v>44683.411782407406</v>
      </c>
      <c r="I636" s="50"/>
      <c r="J636" s="50"/>
      <c r="K636" s="50"/>
      <c r="L636" s="50"/>
      <c r="M636" s="50" t="s">
        <v>3362</v>
      </c>
      <c r="N636" s="50"/>
      <c r="O636" s="53" t="s">
        <v>60</v>
      </c>
      <c r="P636" s="55" t="s">
        <v>3363</v>
      </c>
      <c r="Q636" s="50">
        <v>1616.0</v>
      </c>
      <c r="R636" s="50">
        <v>1561.0</v>
      </c>
      <c r="S636" s="50"/>
      <c r="T636" s="56" t="s">
        <v>4156</v>
      </c>
      <c r="U636" s="53" t="s">
        <v>2874</v>
      </c>
    </row>
    <row r="637">
      <c r="A637" s="54" t="s">
        <v>4157</v>
      </c>
      <c r="B637" s="50" t="s">
        <v>4158</v>
      </c>
      <c r="C637" s="51" t="s">
        <v>3592</v>
      </c>
      <c r="D637" s="51"/>
      <c r="E637" s="51"/>
      <c r="F637" s="51"/>
      <c r="G637" s="50" t="s">
        <v>4159</v>
      </c>
      <c r="H637" s="52">
        <v>44683.411724537036</v>
      </c>
      <c r="I637" s="50"/>
      <c r="J637" s="50"/>
      <c r="K637" s="50"/>
      <c r="L637" s="50"/>
      <c r="M637" s="50" t="s">
        <v>4160</v>
      </c>
      <c r="N637" s="50"/>
      <c r="O637" s="53" t="s">
        <v>60</v>
      </c>
      <c r="P637" s="55" t="s">
        <v>4161</v>
      </c>
      <c r="Q637" s="50">
        <v>2587.0</v>
      </c>
      <c r="R637" s="50">
        <v>4999.0</v>
      </c>
      <c r="S637" s="50" t="s">
        <v>4162</v>
      </c>
      <c r="T637" s="56" t="s">
        <v>4163</v>
      </c>
      <c r="U637" s="53" t="s">
        <v>3597</v>
      </c>
    </row>
    <row r="638">
      <c r="A638" s="54" t="s">
        <v>4164</v>
      </c>
      <c r="B638" s="50" t="s">
        <v>4158</v>
      </c>
      <c r="C638" s="51" t="s">
        <v>4165</v>
      </c>
      <c r="D638" s="51"/>
      <c r="E638" s="51"/>
      <c r="F638" s="51"/>
      <c r="G638" s="50" t="s">
        <v>4166</v>
      </c>
      <c r="H638" s="52">
        <v>44683.411620370374</v>
      </c>
      <c r="I638" s="50"/>
      <c r="J638" s="50"/>
      <c r="K638" s="50"/>
      <c r="L638" s="50"/>
      <c r="M638" s="50" t="s">
        <v>4160</v>
      </c>
      <c r="N638" s="50"/>
      <c r="O638" s="53" t="s">
        <v>60</v>
      </c>
      <c r="P638" s="55" t="s">
        <v>4161</v>
      </c>
      <c r="Q638" s="50">
        <v>2587.0</v>
      </c>
      <c r="R638" s="50">
        <v>4999.0</v>
      </c>
      <c r="S638" s="50" t="s">
        <v>4162</v>
      </c>
      <c r="T638" s="56" t="s">
        <v>4167</v>
      </c>
      <c r="U638" s="53" t="s">
        <v>4168</v>
      </c>
    </row>
    <row r="639">
      <c r="A639" s="54" t="s">
        <v>4169</v>
      </c>
      <c r="B639" s="50" t="s">
        <v>4170</v>
      </c>
      <c r="C639" s="51" t="s">
        <v>367</v>
      </c>
      <c r="D639" s="51"/>
      <c r="E639" s="51"/>
      <c r="F639" s="51"/>
      <c r="G639" s="50" t="s">
        <v>4171</v>
      </c>
      <c r="H639" s="52">
        <v>44683.411516203705</v>
      </c>
      <c r="I639" s="50"/>
      <c r="J639" s="50"/>
      <c r="K639" s="50"/>
      <c r="L639" s="50"/>
      <c r="M639" s="50" t="s">
        <v>4172</v>
      </c>
      <c r="N639" s="50"/>
      <c r="O639" s="53" t="s">
        <v>217</v>
      </c>
      <c r="P639" s="55" t="s">
        <v>4173</v>
      </c>
      <c r="Q639" s="50">
        <v>314.0</v>
      </c>
      <c r="R639" s="50">
        <v>606.0</v>
      </c>
      <c r="S639" s="50" t="s">
        <v>219</v>
      </c>
      <c r="T639" s="56" t="s">
        <v>4174</v>
      </c>
      <c r="U639" s="53" t="s">
        <v>370</v>
      </c>
    </row>
    <row r="640">
      <c r="A640" s="54" t="s">
        <v>4175</v>
      </c>
      <c r="B640" s="50" t="s">
        <v>4176</v>
      </c>
      <c r="C640" s="51" t="s">
        <v>367</v>
      </c>
      <c r="D640" s="51"/>
      <c r="E640" s="51"/>
      <c r="F640" s="51"/>
      <c r="G640" s="50" t="s">
        <v>4177</v>
      </c>
      <c r="H640" s="52">
        <v>44683.41140046297</v>
      </c>
      <c r="I640" s="50"/>
      <c r="J640" s="50"/>
      <c r="K640" s="50"/>
      <c r="L640" s="50"/>
      <c r="M640" s="50" t="s">
        <v>4178</v>
      </c>
      <c r="N640" s="50"/>
      <c r="O640" s="53" t="s">
        <v>92</v>
      </c>
      <c r="P640" s="55" t="s">
        <v>4179</v>
      </c>
      <c r="Q640" s="50">
        <v>714.0</v>
      </c>
      <c r="R640" s="50">
        <v>2942.0</v>
      </c>
      <c r="S640" s="50" t="s">
        <v>2848</v>
      </c>
      <c r="T640" s="56" t="s">
        <v>4180</v>
      </c>
      <c r="U640" s="53" t="s">
        <v>370</v>
      </c>
    </row>
    <row r="641">
      <c r="A641" s="54" t="s">
        <v>4181</v>
      </c>
      <c r="B641" s="50" t="s">
        <v>4182</v>
      </c>
      <c r="C641" s="51" t="s">
        <v>316</v>
      </c>
      <c r="D641" s="51"/>
      <c r="E641" s="51"/>
      <c r="F641" s="51"/>
      <c r="G641" s="50" t="s">
        <v>4183</v>
      </c>
      <c r="H641" s="52">
        <v>44683.4112962963</v>
      </c>
      <c r="I641" s="50"/>
      <c r="J641" s="50"/>
      <c r="K641" s="50"/>
      <c r="L641" s="50"/>
      <c r="M641" s="50" t="s">
        <v>4184</v>
      </c>
      <c r="N641" s="50"/>
      <c r="O641" s="53" t="s">
        <v>60</v>
      </c>
      <c r="P641" s="55" t="s">
        <v>4185</v>
      </c>
      <c r="Q641" s="50">
        <v>2621.0</v>
      </c>
      <c r="R641" s="50">
        <v>3863.0</v>
      </c>
      <c r="S641" s="50" t="s">
        <v>163</v>
      </c>
      <c r="T641" s="56" t="s">
        <v>4186</v>
      </c>
      <c r="U641" s="53" t="s">
        <v>322</v>
      </c>
    </row>
    <row r="642">
      <c r="A642" s="54" t="s">
        <v>4187</v>
      </c>
      <c r="B642" s="50" t="s">
        <v>2908</v>
      </c>
      <c r="C642" s="51" t="s">
        <v>367</v>
      </c>
      <c r="D642" s="51"/>
      <c r="E642" s="51"/>
      <c r="F642" s="51"/>
      <c r="G642" s="50" t="s">
        <v>4188</v>
      </c>
      <c r="H642" s="52">
        <v>44683.411273148144</v>
      </c>
      <c r="I642" s="50"/>
      <c r="J642" s="50"/>
      <c r="K642" s="50"/>
      <c r="L642" s="50"/>
      <c r="M642" s="50" t="s">
        <v>2913</v>
      </c>
      <c r="N642" s="50"/>
      <c r="O642" s="53" t="s">
        <v>60</v>
      </c>
      <c r="P642" s="55" t="s">
        <v>2915</v>
      </c>
      <c r="Q642" s="50">
        <v>3572.0</v>
      </c>
      <c r="R642" s="50">
        <v>4997.0</v>
      </c>
      <c r="S642" s="50" t="s">
        <v>379</v>
      </c>
      <c r="T642" s="56" t="s">
        <v>4189</v>
      </c>
      <c r="U642" s="53" t="s">
        <v>370</v>
      </c>
    </row>
    <row r="643">
      <c r="A643" s="54" t="s">
        <v>4190</v>
      </c>
      <c r="B643" s="50" t="s">
        <v>4191</v>
      </c>
      <c r="C643" s="51" t="s">
        <v>367</v>
      </c>
      <c r="D643" s="51"/>
      <c r="E643" s="51"/>
      <c r="F643" s="51"/>
      <c r="G643" s="50" t="s">
        <v>4192</v>
      </c>
      <c r="H643" s="52">
        <v>44683.411041666666</v>
      </c>
      <c r="I643" s="50"/>
      <c r="J643" s="50"/>
      <c r="K643" s="50"/>
      <c r="L643" s="50"/>
      <c r="M643" s="50" t="s">
        <v>4193</v>
      </c>
      <c r="N643" s="50"/>
      <c r="O643" s="53" t="s">
        <v>70</v>
      </c>
      <c r="P643" s="55" t="s">
        <v>354</v>
      </c>
      <c r="Q643" s="50">
        <v>13.0</v>
      </c>
      <c r="R643" s="50">
        <v>50.0</v>
      </c>
      <c r="S643" s="50"/>
      <c r="T643" s="56" t="s">
        <v>4194</v>
      </c>
      <c r="U643" s="53" t="s">
        <v>370</v>
      </c>
    </row>
    <row r="644">
      <c r="A644" s="54" t="s">
        <v>4195</v>
      </c>
      <c r="B644" s="50" t="s">
        <v>3779</v>
      </c>
      <c r="C644" s="51" t="s">
        <v>4196</v>
      </c>
      <c r="D644" s="51"/>
      <c r="E644" s="51"/>
      <c r="F644" s="51"/>
      <c r="G644" s="50" t="s">
        <v>4197</v>
      </c>
      <c r="H644" s="52">
        <v>44683.41071759259</v>
      </c>
      <c r="I644" s="50"/>
      <c r="J644" s="50"/>
      <c r="K644" s="50"/>
      <c r="L644" s="50"/>
      <c r="M644" s="50" t="s">
        <v>3782</v>
      </c>
      <c r="N644" s="50"/>
      <c r="O644" s="53" t="s">
        <v>60</v>
      </c>
      <c r="P644" s="55" t="s">
        <v>3783</v>
      </c>
      <c r="Q644" s="50">
        <v>6971.0</v>
      </c>
      <c r="R644" s="50">
        <v>7237.0</v>
      </c>
      <c r="S644" s="50" t="s">
        <v>3784</v>
      </c>
      <c r="T644" s="56" t="s">
        <v>4198</v>
      </c>
      <c r="U644" s="53" t="s">
        <v>4199</v>
      </c>
    </row>
    <row r="645">
      <c r="A645" s="54" t="s">
        <v>4200</v>
      </c>
      <c r="B645" s="50" t="s">
        <v>4201</v>
      </c>
      <c r="C645" s="51" t="s">
        <v>4202</v>
      </c>
      <c r="D645" s="51"/>
      <c r="E645" s="51"/>
      <c r="F645" s="51"/>
      <c r="G645" s="50" t="s">
        <v>4203</v>
      </c>
      <c r="H645" s="52">
        <v>44683.4106712963</v>
      </c>
      <c r="I645" s="50"/>
      <c r="J645" s="50"/>
      <c r="K645" s="50"/>
      <c r="L645" s="50"/>
      <c r="M645" s="50" t="s">
        <v>4204</v>
      </c>
      <c r="N645" s="50"/>
      <c r="O645" s="53" t="s">
        <v>60</v>
      </c>
      <c r="P645" s="55" t="s">
        <v>4205</v>
      </c>
      <c r="Q645" s="50">
        <v>12722.0</v>
      </c>
      <c r="R645" s="50">
        <v>4807.0</v>
      </c>
      <c r="S645" s="50" t="s">
        <v>4206</v>
      </c>
      <c r="T645" s="56" t="s">
        <v>4207</v>
      </c>
      <c r="U645" s="53" t="s">
        <v>4208</v>
      </c>
    </row>
    <row r="646">
      <c r="A646" s="54" t="s">
        <v>4209</v>
      </c>
      <c r="B646" s="50" t="s">
        <v>4210</v>
      </c>
      <c r="C646" s="51" t="s">
        <v>367</v>
      </c>
      <c r="D646" s="51"/>
      <c r="E646" s="51"/>
      <c r="F646" s="51"/>
      <c r="G646" s="50" t="s">
        <v>4211</v>
      </c>
      <c r="H646" s="52">
        <v>44683.41063657407</v>
      </c>
      <c r="I646" s="50"/>
      <c r="J646" s="50"/>
      <c r="K646" s="50"/>
      <c r="L646" s="50"/>
      <c r="M646" s="50" t="s">
        <v>4212</v>
      </c>
      <c r="N646" s="50"/>
      <c r="O646" s="53" t="s">
        <v>217</v>
      </c>
      <c r="P646" s="55" t="s">
        <v>4213</v>
      </c>
      <c r="Q646" s="50">
        <v>2327.0</v>
      </c>
      <c r="R646" s="50">
        <v>4771.0</v>
      </c>
      <c r="S646" s="50" t="s">
        <v>4214</v>
      </c>
      <c r="T646" s="56" t="s">
        <v>4215</v>
      </c>
      <c r="U646" s="53" t="s">
        <v>370</v>
      </c>
    </row>
    <row r="647">
      <c r="A647" s="54" t="s">
        <v>4216</v>
      </c>
      <c r="B647" s="50" t="s">
        <v>4217</v>
      </c>
      <c r="C647" s="51" t="s">
        <v>4218</v>
      </c>
      <c r="D647" s="51"/>
      <c r="E647" s="51"/>
      <c r="F647" s="51"/>
      <c r="G647" s="50" t="s">
        <v>4219</v>
      </c>
      <c r="H647" s="52">
        <v>44683.410405092596</v>
      </c>
      <c r="I647" s="50"/>
      <c r="J647" s="50"/>
      <c r="K647" s="50"/>
      <c r="L647" s="50"/>
      <c r="M647" s="50" t="s">
        <v>4220</v>
      </c>
      <c r="N647" s="50"/>
      <c r="O647" s="53" t="s">
        <v>60</v>
      </c>
      <c r="P647" s="55" t="s">
        <v>4221</v>
      </c>
      <c r="Q647" s="50">
        <v>2025.0</v>
      </c>
      <c r="R647" s="50">
        <v>1772.0</v>
      </c>
      <c r="S647" s="50" t="s">
        <v>4222</v>
      </c>
      <c r="T647" s="56" t="s">
        <v>4223</v>
      </c>
      <c r="U647" s="53" t="s">
        <v>4224</v>
      </c>
    </row>
    <row r="648">
      <c r="A648" s="54" t="s">
        <v>4225</v>
      </c>
      <c r="B648" s="50" t="s">
        <v>3881</v>
      </c>
      <c r="C648" s="51" t="s">
        <v>3833</v>
      </c>
      <c r="D648" s="51"/>
      <c r="E648" s="51"/>
      <c r="F648" s="51"/>
      <c r="G648" s="50" t="s">
        <v>4226</v>
      </c>
      <c r="H648" s="52">
        <v>44683.41023148148</v>
      </c>
      <c r="I648" s="50"/>
      <c r="J648" s="50"/>
      <c r="K648" s="50"/>
      <c r="L648" s="50"/>
      <c r="M648" s="50" t="s">
        <v>3884</v>
      </c>
      <c r="N648" s="50"/>
      <c r="O648" s="53" t="s">
        <v>92</v>
      </c>
      <c r="P648" s="55" t="s">
        <v>3885</v>
      </c>
      <c r="Q648" s="50">
        <v>2197.0</v>
      </c>
      <c r="R648" s="50">
        <v>1692.0</v>
      </c>
      <c r="S648" s="50" t="s">
        <v>3886</v>
      </c>
      <c r="T648" s="56" t="s">
        <v>4227</v>
      </c>
      <c r="U648" s="53" t="s">
        <v>3838</v>
      </c>
    </row>
    <row r="649">
      <c r="A649" s="54" t="s">
        <v>4228</v>
      </c>
      <c r="B649" s="50" t="s">
        <v>2393</v>
      </c>
      <c r="C649" s="51" t="s">
        <v>316</v>
      </c>
      <c r="D649" s="51"/>
      <c r="E649" s="51"/>
      <c r="F649" s="51"/>
      <c r="G649" s="50" t="s">
        <v>4229</v>
      </c>
      <c r="H649" s="52">
        <v>44683.40984953704</v>
      </c>
      <c r="I649" s="50"/>
      <c r="J649" s="50"/>
      <c r="K649" s="50"/>
      <c r="L649" s="50"/>
      <c r="M649" s="50" t="s">
        <v>2395</v>
      </c>
      <c r="N649" s="50"/>
      <c r="O649" s="53" t="s">
        <v>60</v>
      </c>
      <c r="P649" s="55" t="s">
        <v>2396</v>
      </c>
      <c r="Q649" s="50">
        <v>3317.0</v>
      </c>
      <c r="R649" s="50">
        <v>3555.0</v>
      </c>
      <c r="S649" s="50" t="s">
        <v>2397</v>
      </c>
      <c r="T649" s="56" t="s">
        <v>4230</v>
      </c>
      <c r="U649" s="53" t="s">
        <v>322</v>
      </c>
    </row>
    <row r="650">
      <c r="A650" s="54" t="s">
        <v>4231</v>
      </c>
      <c r="B650" s="50" t="s">
        <v>4232</v>
      </c>
      <c r="C650" s="51" t="s">
        <v>4233</v>
      </c>
      <c r="D650" s="51"/>
      <c r="E650" s="51"/>
      <c r="F650" s="51"/>
      <c r="G650" s="50" t="s">
        <v>4234</v>
      </c>
      <c r="H650" s="52">
        <v>44683.409537037034</v>
      </c>
      <c r="I650" s="50"/>
      <c r="J650" s="50"/>
      <c r="K650" s="50"/>
      <c r="L650" s="50"/>
      <c r="M650" s="50" t="s">
        <v>4235</v>
      </c>
      <c r="N650" s="50"/>
      <c r="O650" s="53" t="s">
        <v>70</v>
      </c>
      <c r="P650" s="55" t="s">
        <v>354</v>
      </c>
      <c r="Q650" s="50">
        <v>626.0</v>
      </c>
      <c r="R650" s="50">
        <v>330.0</v>
      </c>
      <c r="S650" s="50"/>
      <c r="T650" s="56" t="s">
        <v>4236</v>
      </c>
      <c r="U650" s="53" t="s">
        <v>4237</v>
      </c>
    </row>
    <row r="651">
      <c r="A651" s="54" t="s">
        <v>4238</v>
      </c>
      <c r="B651" s="50" t="s">
        <v>4239</v>
      </c>
      <c r="C651" s="51" t="s">
        <v>4240</v>
      </c>
      <c r="D651" s="51"/>
      <c r="E651" s="51"/>
      <c r="F651" s="51"/>
      <c r="G651" s="50" t="s">
        <v>4241</v>
      </c>
      <c r="H651" s="52">
        <v>44683.40944444445</v>
      </c>
      <c r="I651" s="50"/>
      <c r="J651" s="50"/>
      <c r="K651" s="50" t="s">
        <v>4242</v>
      </c>
      <c r="L651" s="50" t="s">
        <v>4243</v>
      </c>
      <c r="M651" s="50" t="s">
        <v>4244</v>
      </c>
      <c r="N651" s="50" t="s">
        <v>4245</v>
      </c>
      <c r="O651" s="53" t="s">
        <v>92</v>
      </c>
      <c r="P651" s="55" t="s">
        <v>4246</v>
      </c>
      <c r="Q651" s="50">
        <v>5.0</v>
      </c>
      <c r="R651" s="50">
        <v>39.0</v>
      </c>
      <c r="S651" s="50" t="s">
        <v>4247</v>
      </c>
      <c r="T651" s="56" t="s">
        <v>4248</v>
      </c>
      <c r="U651" s="53" t="s">
        <v>4249</v>
      </c>
    </row>
    <row r="652">
      <c r="A652" s="54" t="s">
        <v>4250</v>
      </c>
      <c r="B652" s="50" t="s">
        <v>4251</v>
      </c>
      <c r="C652" s="51" t="s">
        <v>687</v>
      </c>
      <c r="D652" s="51"/>
      <c r="E652" s="51"/>
      <c r="F652" s="51"/>
      <c r="G652" s="50" t="s">
        <v>4252</v>
      </c>
      <c r="H652" s="52">
        <v>44683.409375</v>
      </c>
      <c r="I652" s="50"/>
      <c r="J652" s="50"/>
      <c r="K652" s="50"/>
      <c r="L652" s="50"/>
      <c r="M652" s="50" t="s">
        <v>4253</v>
      </c>
      <c r="N652" s="50"/>
      <c r="O652" s="53" t="s">
        <v>217</v>
      </c>
      <c r="P652" s="55" t="s">
        <v>4254</v>
      </c>
      <c r="Q652" s="50">
        <v>2791.0</v>
      </c>
      <c r="R652" s="50">
        <v>4993.0</v>
      </c>
      <c r="S652" s="50"/>
      <c r="T652" s="56" t="s">
        <v>4255</v>
      </c>
      <c r="U652" s="53" t="s">
        <v>691</v>
      </c>
    </row>
    <row r="653">
      <c r="A653" s="54" t="s">
        <v>4256</v>
      </c>
      <c r="B653" s="50" t="s">
        <v>4257</v>
      </c>
      <c r="C653" s="51" t="s">
        <v>4258</v>
      </c>
      <c r="D653" s="51"/>
      <c r="E653" s="51"/>
      <c r="F653" s="51"/>
      <c r="G653" s="50" t="s">
        <v>4259</v>
      </c>
      <c r="H653" s="52">
        <v>44683.40907407408</v>
      </c>
      <c r="I653" s="50"/>
      <c r="J653" s="50"/>
      <c r="K653" s="50"/>
      <c r="L653" s="50"/>
      <c r="M653" s="50" t="s">
        <v>4260</v>
      </c>
      <c r="N653" s="50"/>
      <c r="O653" s="53" t="s">
        <v>217</v>
      </c>
      <c r="P653" s="55" t="s">
        <v>4261</v>
      </c>
      <c r="Q653" s="50">
        <v>4734.0</v>
      </c>
      <c r="R653" s="50">
        <v>4443.0</v>
      </c>
      <c r="S653" s="50" t="s">
        <v>4262</v>
      </c>
      <c r="T653" s="56" t="s">
        <v>4263</v>
      </c>
      <c r="U653" s="53" t="s">
        <v>4264</v>
      </c>
    </row>
    <row r="654">
      <c r="A654" s="54" t="s">
        <v>4265</v>
      </c>
      <c r="B654" s="50" t="s">
        <v>4266</v>
      </c>
      <c r="C654" s="51" t="s">
        <v>855</v>
      </c>
      <c r="D654" s="51"/>
      <c r="E654" s="51"/>
      <c r="F654" s="51"/>
      <c r="G654" s="50" t="s">
        <v>4267</v>
      </c>
      <c r="H654" s="52">
        <v>44683.40892361111</v>
      </c>
      <c r="I654" s="50"/>
      <c r="J654" s="50"/>
      <c r="K654" s="50"/>
      <c r="L654" s="50"/>
      <c r="M654" s="50" t="s">
        <v>4268</v>
      </c>
      <c r="N654" s="50"/>
      <c r="O654" s="53" t="s">
        <v>92</v>
      </c>
      <c r="P654" s="55" t="s">
        <v>4269</v>
      </c>
      <c r="Q654" s="50">
        <v>1169.0</v>
      </c>
      <c r="R654" s="50">
        <v>2047.0</v>
      </c>
      <c r="S654" s="50" t="s">
        <v>4270</v>
      </c>
      <c r="T654" s="56" t="s">
        <v>4271</v>
      </c>
      <c r="U654" s="53" t="s">
        <v>861</v>
      </c>
    </row>
    <row r="655">
      <c r="A655" s="54" t="s">
        <v>4272</v>
      </c>
      <c r="B655" s="50" t="s">
        <v>4273</v>
      </c>
      <c r="C655" s="51" t="s">
        <v>363</v>
      </c>
      <c r="D655" s="51"/>
      <c r="E655" s="51"/>
      <c r="F655" s="51"/>
      <c r="G655" s="50" t="s">
        <v>4274</v>
      </c>
      <c r="H655" s="52">
        <v>44683.408796296295</v>
      </c>
      <c r="I655" s="50"/>
      <c r="J655" s="50"/>
      <c r="K655" s="50"/>
      <c r="L655" s="50"/>
      <c r="M655" s="50" t="s">
        <v>4275</v>
      </c>
      <c r="N655" s="50"/>
      <c r="O655" s="53" t="s">
        <v>70</v>
      </c>
      <c r="P655" s="55" t="s">
        <v>4276</v>
      </c>
      <c r="Q655" s="50">
        <v>3485.0</v>
      </c>
      <c r="R655" s="50">
        <v>4991.0</v>
      </c>
      <c r="S655" s="50"/>
      <c r="T655" s="56" t="s">
        <v>4277</v>
      </c>
      <c r="U655" s="53" t="s">
        <v>332</v>
      </c>
    </row>
    <row r="656">
      <c r="A656" s="54" t="s">
        <v>4278</v>
      </c>
      <c r="B656" s="50" t="s">
        <v>4279</v>
      </c>
      <c r="C656" s="51" t="s">
        <v>367</v>
      </c>
      <c r="D656" s="51"/>
      <c r="E656" s="51"/>
      <c r="F656" s="51"/>
      <c r="G656" s="50" t="s">
        <v>4280</v>
      </c>
      <c r="H656" s="52">
        <v>44683.40876157407</v>
      </c>
      <c r="I656" s="50"/>
      <c r="J656" s="50"/>
      <c r="K656" s="50"/>
      <c r="L656" s="50"/>
      <c r="M656" s="50" t="s">
        <v>4281</v>
      </c>
      <c r="N656" s="50"/>
      <c r="O656" s="53" t="s">
        <v>70</v>
      </c>
      <c r="P656" s="55" t="s">
        <v>354</v>
      </c>
      <c r="Q656" s="50">
        <v>460.0</v>
      </c>
      <c r="R656" s="50">
        <v>520.0</v>
      </c>
      <c r="S656" s="50" t="s">
        <v>4282</v>
      </c>
      <c r="T656" s="56" t="s">
        <v>4283</v>
      </c>
      <c r="U656" s="53" t="s">
        <v>370</v>
      </c>
    </row>
    <row r="657">
      <c r="A657" s="54" t="s">
        <v>4284</v>
      </c>
      <c r="B657" s="50" t="s">
        <v>3511</v>
      </c>
      <c r="C657" s="51" t="s">
        <v>4285</v>
      </c>
      <c r="D657" s="51"/>
      <c r="E657" s="51"/>
      <c r="F657" s="51"/>
      <c r="G657" s="50" t="s">
        <v>4286</v>
      </c>
      <c r="H657" s="52">
        <v>44683.40856481482</v>
      </c>
      <c r="I657" s="50"/>
      <c r="J657" s="50"/>
      <c r="K657" s="50" t="s">
        <v>4287</v>
      </c>
      <c r="L657" s="50" t="s">
        <v>4288</v>
      </c>
      <c r="M657" s="50" t="s">
        <v>3516</v>
      </c>
      <c r="N657" s="50" t="s">
        <v>4289</v>
      </c>
      <c r="O657" s="53" t="s">
        <v>60</v>
      </c>
      <c r="P657" s="55" t="s">
        <v>3518</v>
      </c>
      <c r="Q657" s="50">
        <v>871.0</v>
      </c>
      <c r="R657" s="50">
        <v>329.0</v>
      </c>
      <c r="S657" s="50" t="s">
        <v>3519</v>
      </c>
      <c r="T657" s="56" t="s">
        <v>4290</v>
      </c>
      <c r="U657" s="53" t="s">
        <v>4291</v>
      </c>
    </row>
    <row r="658">
      <c r="A658" s="54" t="s">
        <v>4292</v>
      </c>
      <c r="B658" s="50" t="s">
        <v>298</v>
      </c>
      <c r="C658" s="51" t="s">
        <v>4293</v>
      </c>
      <c r="D658" s="51"/>
      <c r="E658" s="51"/>
      <c r="F658" s="51"/>
      <c r="G658" s="50" t="s">
        <v>4286</v>
      </c>
      <c r="H658" s="52">
        <v>44683.40856481482</v>
      </c>
      <c r="I658" s="50"/>
      <c r="J658" s="50"/>
      <c r="K658" s="50" t="s">
        <v>181</v>
      </c>
      <c r="L658" s="50" t="s">
        <v>182</v>
      </c>
      <c r="M658" s="50" t="s">
        <v>302</v>
      </c>
      <c r="N658" s="50" t="s">
        <v>184</v>
      </c>
      <c r="O658" s="53" t="s">
        <v>92</v>
      </c>
      <c r="P658" s="55" t="s">
        <v>303</v>
      </c>
      <c r="Q658" s="50">
        <v>4136.0</v>
      </c>
      <c r="R658" s="50">
        <v>4374.0</v>
      </c>
      <c r="S658" s="50" t="s">
        <v>304</v>
      </c>
      <c r="T658" s="56" t="s">
        <v>4294</v>
      </c>
      <c r="U658" s="53" t="s">
        <v>4295</v>
      </c>
    </row>
    <row r="659">
      <c r="A659" s="54" t="s">
        <v>4296</v>
      </c>
      <c r="B659" s="50" t="s">
        <v>4297</v>
      </c>
      <c r="C659" s="51" t="s">
        <v>2973</v>
      </c>
      <c r="D659" s="51"/>
      <c r="E659" s="51"/>
      <c r="F659" s="51"/>
      <c r="G659" s="50" t="s">
        <v>4298</v>
      </c>
      <c r="H659" s="52">
        <v>44683.40849537037</v>
      </c>
      <c r="I659" s="50"/>
      <c r="J659" s="50"/>
      <c r="K659" s="50"/>
      <c r="L659" s="50"/>
      <c r="M659" s="50" t="s">
        <v>4299</v>
      </c>
      <c r="N659" s="50"/>
      <c r="O659" s="53" t="s">
        <v>92</v>
      </c>
      <c r="P659" s="55" t="s">
        <v>4300</v>
      </c>
      <c r="Q659" s="50">
        <v>615.0</v>
      </c>
      <c r="R659" s="50">
        <v>147.0</v>
      </c>
      <c r="S659" s="50"/>
      <c r="T659" s="56" t="s">
        <v>4301</v>
      </c>
      <c r="U659" s="53" t="s">
        <v>2978</v>
      </c>
    </row>
    <row r="660">
      <c r="A660" s="54" t="s">
        <v>4302</v>
      </c>
      <c r="B660" s="50" t="s">
        <v>4303</v>
      </c>
      <c r="C660" s="51" t="s">
        <v>4304</v>
      </c>
      <c r="D660" s="51"/>
      <c r="E660" s="51"/>
      <c r="F660" s="51"/>
      <c r="G660" s="50" t="s">
        <v>4305</v>
      </c>
      <c r="H660" s="52">
        <v>44683.40824074074</v>
      </c>
      <c r="I660" s="50"/>
      <c r="J660" s="50"/>
      <c r="K660" s="50"/>
      <c r="L660" s="50"/>
      <c r="M660" s="50" t="s">
        <v>4306</v>
      </c>
      <c r="N660" s="50"/>
      <c r="O660" s="53" t="s">
        <v>92</v>
      </c>
      <c r="P660" s="55" t="s">
        <v>4307</v>
      </c>
      <c r="Q660" s="50">
        <v>232.0</v>
      </c>
      <c r="R660" s="50">
        <v>876.0</v>
      </c>
      <c r="S660" s="50" t="s">
        <v>4308</v>
      </c>
      <c r="T660" s="56" t="s">
        <v>4309</v>
      </c>
      <c r="U660" s="53" t="s">
        <v>4310</v>
      </c>
    </row>
    <row r="661">
      <c r="A661" s="54" t="s">
        <v>4311</v>
      </c>
      <c r="B661" s="50" t="s">
        <v>4312</v>
      </c>
      <c r="C661" s="51" t="s">
        <v>367</v>
      </c>
      <c r="D661" s="51"/>
      <c r="E661" s="51"/>
      <c r="F661" s="51"/>
      <c r="G661" s="50" t="s">
        <v>4313</v>
      </c>
      <c r="H661" s="52">
        <v>44683.40819444445</v>
      </c>
      <c r="I661" s="50"/>
      <c r="J661" s="50"/>
      <c r="K661" s="50"/>
      <c r="L661" s="50"/>
      <c r="M661" s="50" t="s">
        <v>4314</v>
      </c>
      <c r="N661" s="50"/>
      <c r="O661" s="53" t="s">
        <v>70</v>
      </c>
      <c r="P661" s="55" t="s">
        <v>4315</v>
      </c>
      <c r="Q661" s="50">
        <v>449.0</v>
      </c>
      <c r="R661" s="50">
        <v>1031.0</v>
      </c>
      <c r="S661" s="50" t="s">
        <v>4316</v>
      </c>
      <c r="T661" s="56" t="s">
        <v>4317</v>
      </c>
      <c r="U661" s="53" t="s">
        <v>370</v>
      </c>
    </row>
    <row r="662">
      <c r="A662" s="54" t="s">
        <v>4318</v>
      </c>
      <c r="B662" s="50" t="s">
        <v>4319</v>
      </c>
      <c r="C662" s="51" t="s">
        <v>2424</v>
      </c>
      <c r="D662" s="51"/>
      <c r="E662" s="51"/>
      <c r="F662" s="51"/>
      <c r="G662" s="50" t="s">
        <v>4320</v>
      </c>
      <c r="H662" s="52">
        <v>44683.40813657407</v>
      </c>
      <c r="I662" s="50"/>
      <c r="J662" s="50"/>
      <c r="K662" s="50"/>
      <c r="L662" s="50"/>
      <c r="M662" s="50" t="s">
        <v>4321</v>
      </c>
      <c r="N662" s="50"/>
      <c r="O662" s="53" t="s">
        <v>70</v>
      </c>
      <c r="P662" s="55" t="s">
        <v>4322</v>
      </c>
      <c r="Q662" s="50">
        <v>40.0</v>
      </c>
      <c r="R662" s="50">
        <v>50.0</v>
      </c>
      <c r="S662" s="50"/>
      <c r="T662" s="56" t="s">
        <v>4323</v>
      </c>
      <c r="U662" s="53" t="s">
        <v>2429</v>
      </c>
    </row>
    <row r="663">
      <c r="A663" s="54" t="s">
        <v>4324</v>
      </c>
      <c r="B663" s="50" t="s">
        <v>3511</v>
      </c>
      <c r="C663" s="51" t="s">
        <v>4325</v>
      </c>
      <c r="D663" s="51"/>
      <c r="E663" s="51"/>
      <c r="F663" s="51"/>
      <c r="G663" s="50" t="s">
        <v>4326</v>
      </c>
      <c r="H663" s="52">
        <v>44683.40795138889</v>
      </c>
      <c r="I663" s="50"/>
      <c r="J663" s="50"/>
      <c r="K663" s="50" t="s">
        <v>3516</v>
      </c>
      <c r="L663" s="50" t="s">
        <v>3511</v>
      </c>
      <c r="M663" s="50" t="s">
        <v>3516</v>
      </c>
      <c r="N663" s="50" t="s">
        <v>4327</v>
      </c>
      <c r="O663" s="53" t="s">
        <v>60</v>
      </c>
      <c r="P663" s="55" t="s">
        <v>3518</v>
      </c>
      <c r="Q663" s="50">
        <v>871.0</v>
      </c>
      <c r="R663" s="50">
        <v>329.0</v>
      </c>
      <c r="S663" s="50" t="s">
        <v>3519</v>
      </c>
      <c r="T663" s="56" t="s">
        <v>4328</v>
      </c>
      <c r="U663" s="53" t="s">
        <v>4329</v>
      </c>
    </row>
    <row r="664">
      <c r="A664" s="54" t="s">
        <v>4330</v>
      </c>
      <c r="B664" s="50" t="s">
        <v>4331</v>
      </c>
      <c r="C664" s="51" t="s">
        <v>316</v>
      </c>
      <c r="D664" s="51"/>
      <c r="E664" s="51"/>
      <c r="F664" s="51"/>
      <c r="G664" s="50" t="s">
        <v>4332</v>
      </c>
      <c r="H664" s="52">
        <v>44683.40791666666</v>
      </c>
      <c r="I664" s="50"/>
      <c r="J664" s="50"/>
      <c r="K664" s="50"/>
      <c r="L664" s="50"/>
      <c r="M664" s="50" t="s">
        <v>4333</v>
      </c>
      <c r="N664" s="50"/>
      <c r="O664" s="53" t="s">
        <v>70</v>
      </c>
      <c r="P664" s="55" t="s">
        <v>4334</v>
      </c>
      <c r="Q664" s="50">
        <v>2532.0</v>
      </c>
      <c r="R664" s="50">
        <v>2424.0</v>
      </c>
      <c r="S664" s="50" t="s">
        <v>4335</v>
      </c>
      <c r="T664" s="56" t="s">
        <v>4336</v>
      </c>
      <c r="U664" s="53" t="s">
        <v>322</v>
      </c>
    </row>
    <row r="665">
      <c r="A665" s="54" t="s">
        <v>4337</v>
      </c>
      <c r="B665" s="50" t="s">
        <v>4338</v>
      </c>
      <c r="C665" s="51" t="s">
        <v>1402</v>
      </c>
      <c r="D665" s="51"/>
      <c r="E665" s="51"/>
      <c r="F665" s="51"/>
      <c r="G665" s="50" t="s">
        <v>4339</v>
      </c>
      <c r="H665" s="52">
        <v>44683.4078587963</v>
      </c>
      <c r="I665" s="50"/>
      <c r="J665" s="50"/>
      <c r="K665" s="50"/>
      <c r="L665" s="50"/>
      <c r="M665" s="50" t="s">
        <v>4340</v>
      </c>
      <c r="N665" s="50"/>
      <c r="O665" s="53" t="s">
        <v>92</v>
      </c>
      <c r="P665" s="55" t="s">
        <v>4341</v>
      </c>
      <c r="Q665" s="50">
        <v>6994.0</v>
      </c>
      <c r="R665" s="50">
        <v>7613.0</v>
      </c>
      <c r="S665" s="50"/>
      <c r="T665" s="56" t="s">
        <v>4342</v>
      </c>
      <c r="U665" s="53" t="s">
        <v>1408</v>
      </c>
    </row>
    <row r="666">
      <c r="A666" s="54" t="s">
        <v>4343</v>
      </c>
      <c r="B666" s="50" t="s">
        <v>4344</v>
      </c>
      <c r="C666" s="51" t="s">
        <v>4345</v>
      </c>
      <c r="D666" s="51"/>
      <c r="E666" s="51"/>
      <c r="F666" s="51"/>
      <c r="G666" s="50" t="s">
        <v>4346</v>
      </c>
      <c r="H666" s="52">
        <v>44683.4078125</v>
      </c>
      <c r="I666" s="50"/>
      <c r="J666" s="50"/>
      <c r="K666" s="50"/>
      <c r="L666" s="50"/>
      <c r="M666" s="50" t="s">
        <v>4347</v>
      </c>
      <c r="N666" s="50"/>
      <c r="O666" s="53" t="s">
        <v>70</v>
      </c>
      <c r="P666" s="55" t="s">
        <v>4348</v>
      </c>
      <c r="Q666" s="50">
        <v>2281.0</v>
      </c>
      <c r="R666" s="50">
        <v>2096.0</v>
      </c>
      <c r="S666" s="50" t="s">
        <v>4349</v>
      </c>
      <c r="T666" s="56" t="s">
        <v>4350</v>
      </c>
      <c r="U666" s="53" t="s">
        <v>4351</v>
      </c>
    </row>
    <row r="667">
      <c r="A667" s="54" t="s">
        <v>4352</v>
      </c>
      <c r="B667" s="50" t="s">
        <v>4353</v>
      </c>
      <c r="C667" s="51" t="s">
        <v>4354</v>
      </c>
      <c r="D667" s="51"/>
      <c r="E667" s="51"/>
      <c r="F667" s="51"/>
      <c r="G667" s="50" t="s">
        <v>4355</v>
      </c>
      <c r="H667" s="52">
        <v>44683.40766203703</v>
      </c>
      <c r="I667" s="50"/>
      <c r="J667" s="50"/>
      <c r="K667" s="50"/>
      <c r="L667" s="50"/>
      <c r="M667" s="50" t="s">
        <v>4356</v>
      </c>
      <c r="N667" s="50"/>
      <c r="O667" s="53" t="s">
        <v>4357</v>
      </c>
      <c r="P667" s="55" t="s">
        <v>4358</v>
      </c>
      <c r="Q667" s="50">
        <v>142.0</v>
      </c>
      <c r="R667" s="50">
        <v>71.0</v>
      </c>
      <c r="S667" s="50" t="s">
        <v>4359</v>
      </c>
      <c r="T667" s="56" t="s">
        <v>4360</v>
      </c>
      <c r="U667" s="53" t="s">
        <v>4361</v>
      </c>
    </row>
    <row r="668">
      <c r="A668" s="54" t="s">
        <v>4362</v>
      </c>
      <c r="B668" s="50" t="s">
        <v>4363</v>
      </c>
      <c r="C668" s="51" t="s">
        <v>4364</v>
      </c>
      <c r="D668" s="51"/>
      <c r="E668" s="51"/>
      <c r="F668" s="51"/>
      <c r="G668" s="50" t="s">
        <v>4365</v>
      </c>
      <c r="H668" s="52">
        <v>44683.40755787037</v>
      </c>
      <c r="I668" s="50"/>
      <c r="J668" s="50"/>
      <c r="K668" s="50"/>
      <c r="L668" s="50"/>
      <c r="M668" s="50" t="s">
        <v>4366</v>
      </c>
      <c r="N668" s="50"/>
      <c r="O668" s="53" t="s">
        <v>92</v>
      </c>
      <c r="P668" s="55" t="s">
        <v>4367</v>
      </c>
      <c r="Q668" s="50">
        <v>1053.0</v>
      </c>
      <c r="R668" s="50">
        <v>1206.0</v>
      </c>
      <c r="S668" s="50"/>
      <c r="T668" s="56" t="s">
        <v>4368</v>
      </c>
      <c r="U668" s="53" t="s">
        <v>4369</v>
      </c>
    </row>
    <row r="669">
      <c r="A669" s="54" t="s">
        <v>4370</v>
      </c>
      <c r="B669" s="50" t="s">
        <v>4371</v>
      </c>
      <c r="C669" s="51" t="s">
        <v>4372</v>
      </c>
      <c r="D669" s="51"/>
      <c r="E669" s="51"/>
      <c r="F669" s="51"/>
      <c r="G669" s="50" t="s">
        <v>4373</v>
      </c>
      <c r="H669" s="52">
        <v>44683.40738425926</v>
      </c>
      <c r="I669" s="50"/>
      <c r="J669" s="50"/>
      <c r="K669" s="50"/>
      <c r="L669" s="50"/>
      <c r="M669" s="50" t="s">
        <v>4374</v>
      </c>
      <c r="N669" s="50"/>
      <c r="O669" s="53" t="s">
        <v>70</v>
      </c>
      <c r="P669" s="55" t="s">
        <v>4375</v>
      </c>
      <c r="Q669" s="50">
        <v>4294.0</v>
      </c>
      <c r="R669" s="50">
        <v>4568.0</v>
      </c>
      <c r="S669" s="50" t="s">
        <v>4376</v>
      </c>
      <c r="T669" s="56" t="s">
        <v>4377</v>
      </c>
      <c r="U669" s="53" t="s">
        <v>4378</v>
      </c>
    </row>
    <row r="670">
      <c r="A670" s="54" t="s">
        <v>4379</v>
      </c>
      <c r="B670" s="50" t="s">
        <v>4380</v>
      </c>
      <c r="C670" s="51" t="s">
        <v>4381</v>
      </c>
      <c r="D670" s="51"/>
      <c r="E670" s="51"/>
      <c r="F670" s="51"/>
      <c r="G670" s="50" t="s">
        <v>4382</v>
      </c>
      <c r="H670" s="52">
        <v>44683.40734953704</v>
      </c>
      <c r="I670" s="50"/>
      <c r="J670" s="50"/>
      <c r="K670" s="50"/>
      <c r="L670" s="50"/>
      <c r="M670" s="50" t="s">
        <v>4383</v>
      </c>
      <c r="N670" s="50"/>
      <c r="O670" s="53" t="s">
        <v>92</v>
      </c>
      <c r="P670" s="55" t="s">
        <v>4384</v>
      </c>
      <c r="Q670" s="50">
        <v>584.0</v>
      </c>
      <c r="R670" s="50">
        <v>1227.0</v>
      </c>
      <c r="S670" s="50" t="s">
        <v>4385</v>
      </c>
      <c r="T670" s="56" t="s">
        <v>4386</v>
      </c>
      <c r="U670" s="53" t="s">
        <v>4387</v>
      </c>
    </row>
    <row r="671">
      <c r="A671" s="54" t="s">
        <v>4388</v>
      </c>
      <c r="B671" s="50" t="s">
        <v>4389</v>
      </c>
      <c r="C671" s="51" t="s">
        <v>3833</v>
      </c>
      <c r="D671" s="51"/>
      <c r="E671" s="51"/>
      <c r="F671" s="51"/>
      <c r="G671" s="50" t="s">
        <v>4390</v>
      </c>
      <c r="H671" s="52">
        <v>44683.40728009259</v>
      </c>
      <c r="I671" s="50"/>
      <c r="J671" s="50"/>
      <c r="K671" s="50"/>
      <c r="L671" s="50"/>
      <c r="M671" s="50" t="s">
        <v>4391</v>
      </c>
      <c r="N671" s="50"/>
      <c r="O671" s="53" t="s">
        <v>70</v>
      </c>
      <c r="P671" s="55" t="s">
        <v>4392</v>
      </c>
      <c r="Q671" s="50">
        <v>8141.0</v>
      </c>
      <c r="R671" s="50">
        <v>4878.0</v>
      </c>
      <c r="S671" s="50" t="s">
        <v>805</v>
      </c>
      <c r="T671" s="56" t="s">
        <v>4393</v>
      </c>
      <c r="U671" s="53" t="s">
        <v>3838</v>
      </c>
    </row>
    <row r="672">
      <c r="A672" s="54" t="s">
        <v>4394</v>
      </c>
      <c r="B672" s="50" t="s">
        <v>4395</v>
      </c>
      <c r="C672" s="51" t="s">
        <v>367</v>
      </c>
      <c r="D672" s="51"/>
      <c r="E672" s="51"/>
      <c r="F672" s="51"/>
      <c r="G672" s="50" t="s">
        <v>4396</v>
      </c>
      <c r="H672" s="52">
        <v>44683.40721064815</v>
      </c>
      <c r="I672" s="50"/>
      <c r="J672" s="50"/>
      <c r="K672" s="50"/>
      <c r="L672" s="50"/>
      <c r="M672" s="50" t="s">
        <v>4397</v>
      </c>
      <c r="N672" s="50"/>
      <c r="O672" s="53" t="s">
        <v>70</v>
      </c>
      <c r="P672" s="55" t="s">
        <v>354</v>
      </c>
      <c r="Q672" s="50">
        <v>68.0</v>
      </c>
      <c r="R672" s="50">
        <v>536.0</v>
      </c>
      <c r="S672" s="50"/>
      <c r="T672" s="56" t="s">
        <v>4398</v>
      </c>
      <c r="U672" s="53" t="s">
        <v>370</v>
      </c>
    </row>
    <row r="673">
      <c r="A673" s="54" t="s">
        <v>4399</v>
      </c>
      <c r="B673" s="50" t="s">
        <v>4400</v>
      </c>
      <c r="C673" s="51" t="s">
        <v>687</v>
      </c>
      <c r="D673" s="51"/>
      <c r="E673" s="51"/>
      <c r="F673" s="51"/>
      <c r="G673" s="50" t="s">
        <v>4401</v>
      </c>
      <c r="H673" s="52">
        <v>44683.4071875</v>
      </c>
      <c r="I673" s="50"/>
      <c r="J673" s="50"/>
      <c r="K673" s="50"/>
      <c r="L673" s="50"/>
      <c r="M673" s="50" t="s">
        <v>4402</v>
      </c>
      <c r="N673" s="50"/>
      <c r="O673" s="53" t="s">
        <v>70</v>
      </c>
      <c r="P673" s="55" t="s">
        <v>4403</v>
      </c>
      <c r="Q673" s="50">
        <v>3806.0</v>
      </c>
      <c r="R673" s="50">
        <v>4267.0</v>
      </c>
      <c r="S673" s="50" t="s">
        <v>4404</v>
      </c>
      <c r="T673" s="56" t="s">
        <v>4405</v>
      </c>
      <c r="U673" s="53" t="s">
        <v>691</v>
      </c>
    </row>
    <row r="674">
      <c r="A674" s="54" t="s">
        <v>4406</v>
      </c>
      <c r="B674" s="50" t="s">
        <v>4407</v>
      </c>
      <c r="C674" s="51" t="s">
        <v>316</v>
      </c>
      <c r="D674" s="51"/>
      <c r="E674" s="51"/>
      <c r="F674" s="51"/>
      <c r="G674" s="50" t="s">
        <v>4408</v>
      </c>
      <c r="H674" s="52">
        <v>44683.407002314816</v>
      </c>
      <c r="I674" s="50"/>
      <c r="J674" s="50"/>
      <c r="K674" s="50"/>
      <c r="L674" s="50"/>
      <c r="M674" s="50" t="s">
        <v>4409</v>
      </c>
      <c r="N674" s="50"/>
      <c r="O674" s="53" t="s">
        <v>92</v>
      </c>
      <c r="P674" s="55" t="s">
        <v>4410</v>
      </c>
      <c r="Q674" s="50">
        <v>5884.0</v>
      </c>
      <c r="R674" s="50">
        <v>6142.0</v>
      </c>
      <c r="S674" s="50" t="s">
        <v>246</v>
      </c>
      <c r="T674" s="56" t="s">
        <v>4411</v>
      </c>
      <c r="U674" s="53" t="s">
        <v>322</v>
      </c>
    </row>
    <row r="675">
      <c r="A675" s="54" t="s">
        <v>4412</v>
      </c>
      <c r="B675" s="50" t="s">
        <v>2694</v>
      </c>
      <c r="C675" s="51" t="s">
        <v>4413</v>
      </c>
      <c r="D675" s="51"/>
      <c r="E675" s="51"/>
      <c r="F675" s="51"/>
      <c r="G675" s="50" t="s">
        <v>4414</v>
      </c>
      <c r="H675" s="52">
        <v>44683.40697916667</v>
      </c>
      <c r="I675" s="50"/>
      <c r="J675" s="50"/>
      <c r="K675" s="50"/>
      <c r="L675" s="50"/>
      <c r="M675" s="50" t="s">
        <v>2697</v>
      </c>
      <c r="N675" s="50"/>
      <c r="O675" s="53" t="s">
        <v>2698</v>
      </c>
      <c r="P675" s="55" t="s">
        <v>2699</v>
      </c>
      <c r="Q675" s="50">
        <v>2177.0</v>
      </c>
      <c r="R675" s="50">
        <v>508.0</v>
      </c>
      <c r="S675" s="50" t="s">
        <v>2700</v>
      </c>
      <c r="T675" s="56" t="s">
        <v>4415</v>
      </c>
      <c r="U675" s="53" t="s">
        <v>4416</v>
      </c>
    </row>
    <row r="676">
      <c r="A676" s="54" t="s">
        <v>4417</v>
      </c>
      <c r="B676" s="50" t="s">
        <v>3874</v>
      </c>
      <c r="C676" s="51" t="s">
        <v>2869</v>
      </c>
      <c r="D676" s="51"/>
      <c r="E676" s="51"/>
      <c r="F676" s="51"/>
      <c r="G676" s="50" t="s">
        <v>4418</v>
      </c>
      <c r="H676" s="52">
        <v>44683.40681712963</v>
      </c>
      <c r="I676" s="50"/>
      <c r="J676" s="50"/>
      <c r="K676" s="50"/>
      <c r="L676" s="50"/>
      <c r="M676" s="50" t="s">
        <v>3876</v>
      </c>
      <c r="N676" s="50"/>
      <c r="O676" s="53" t="s">
        <v>60</v>
      </c>
      <c r="P676" s="55" t="s">
        <v>3877</v>
      </c>
      <c r="Q676" s="50">
        <v>519.0</v>
      </c>
      <c r="R676" s="50">
        <v>460.0</v>
      </c>
      <c r="S676" s="50" t="s">
        <v>658</v>
      </c>
      <c r="T676" s="56" t="s">
        <v>4419</v>
      </c>
      <c r="U676" s="53" t="s">
        <v>2874</v>
      </c>
    </row>
    <row r="677">
      <c r="A677" s="54" t="s">
        <v>4420</v>
      </c>
      <c r="B677" s="50" t="s">
        <v>4421</v>
      </c>
      <c r="C677" s="51" t="s">
        <v>4422</v>
      </c>
      <c r="D677" s="51"/>
      <c r="E677" s="51"/>
      <c r="F677" s="51"/>
      <c r="G677" s="50" t="s">
        <v>4423</v>
      </c>
      <c r="H677" s="52">
        <v>44683.40673611111</v>
      </c>
      <c r="I677" s="50"/>
      <c r="J677" s="50"/>
      <c r="K677" s="50"/>
      <c r="L677" s="50"/>
      <c r="M677" s="50" t="s">
        <v>4424</v>
      </c>
      <c r="N677" s="50"/>
      <c r="O677" s="53" t="s">
        <v>217</v>
      </c>
      <c r="P677" s="55" t="s">
        <v>4425</v>
      </c>
      <c r="Q677" s="50">
        <v>857.0</v>
      </c>
      <c r="R677" s="50">
        <v>226.0</v>
      </c>
      <c r="S677" s="50" t="s">
        <v>4426</v>
      </c>
      <c r="T677" s="56" t="s">
        <v>4427</v>
      </c>
      <c r="U677" s="53" t="s">
        <v>4428</v>
      </c>
    </row>
    <row r="678">
      <c r="A678" s="54" t="s">
        <v>4429</v>
      </c>
      <c r="B678" s="50" t="s">
        <v>298</v>
      </c>
      <c r="C678" s="51" t="s">
        <v>3963</v>
      </c>
      <c r="D678" s="51"/>
      <c r="E678" s="51"/>
      <c r="F678" s="51"/>
      <c r="G678" s="50" t="s">
        <v>4430</v>
      </c>
      <c r="H678" s="52">
        <v>44683.40662037037</v>
      </c>
      <c r="I678" s="50"/>
      <c r="J678" s="50"/>
      <c r="K678" s="50"/>
      <c r="L678" s="50"/>
      <c r="M678" s="50" t="s">
        <v>302</v>
      </c>
      <c r="N678" s="50"/>
      <c r="O678" s="53" t="s">
        <v>92</v>
      </c>
      <c r="P678" s="55" t="s">
        <v>303</v>
      </c>
      <c r="Q678" s="50">
        <v>4136.0</v>
      </c>
      <c r="R678" s="50">
        <v>4374.0</v>
      </c>
      <c r="S678" s="50" t="s">
        <v>304</v>
      </c>
      <c r="T678" s="56" t="s">
        <v>4431</v>
      </c>
      <c r="U678" s="53" t="s">
        <v>3968</v>
      </c>
    </row>
    <row r="679">
      <c r="A679" s="54" t="s">
        <v>4432</v>
      </c>
      <c r="B679" s="50" t="s">
        <v>4433</v>
      </c>
      <c r="C679" s="51" t="s">
        <v>4434</v>
      </c>
      <c r="D679" s="51"/>
      <c r="E679" s="51"/>
      <c r="F679" s="51"/>
      <c r="G679" s="50" t="s">
        <v>4435</v>
      </c>
      <c r="H679" s="52">
        <v>44683.40648148148</v>
      </c>
      <c r="I679" s="50"/>
      <c r="J679" s="50"/>
      <c r="K679" s="50" t="s">
        <v>4436</v>
      </c>
      <c r="L679" s="50" t="s">
        <v>4437</v>
      </c>
      <c r="M679" s="50" t="s">
        <v>4438</v>
      </c>
      <c r="N679" s="50" t="s">
        <v>4439</v>
      </c>
      <c r="O679" s="53" t="s">
        <v>70</v>
      </c>
      <c r="P679" s="55" t="s">
        <v>4440</v>
      </c>
      <c r="Q679" s="50">
        <v>1012.0</v>
      </c>
      <c r="R679" s="50">
        <v>1114.0</v>
      </c>
      <c r="S679" s="50" t="s">
        <v>4441</v>
      </c>
      <c r="T679" s="56" t="s">
        <v>4442</v>
      </c>
      <c r="U679" s="53" t="s">
        <v>4443</v>
      </c>
    </row>
    <row r="680">
      <c r="A680" s="54" t="s">
        <v>4444</v>
      </c>
      <c r="B680" s="50" t="s">
        <v>4445</v>
      </c>
      <c r="C680" s="51" t="s">
        <v>367</v>
      </c>
      <c r="D680" s="51"/>
      <c r="E680" s="51"/>
      <c r="F680" s="51"/>
      <c r="G680" s="50" t="s">
        <v>4446</v>
      </c>
      <c r="H680" s="52">
        <v>44683.40646990741</v>
      </c>
      <c r="I680" s="50"/>
      <c r="J680" s="50"/>
      <c r="K680" s="50"/>
      <c r="L680" s="50"/>
      <c r="M680" s="50" t="s">
        <v>4447</v>
      </c>
      <c r="N680" s="50"/>
      <c r="O680" s="53" t="s">
        <v>70</v>
      </c>
      <c r="P680" s="55" t="s">
        <v>4448</v>
      </c>
      <c r="Q680" s="50">
        <v>71.0</v>
      </c>
      <c r="R680" s="50">
        <v>281.0</v>
      </c>
      <c r="S680" s="50" t="s">
        <v>219</v>
      </c>
      <c r="T680" s="56" t="s">
        <v>4449</v>
      </c>
      <c r="U680" s="53" t="s">
        <v>370</v>
      </c>
    </row>
    <row r="681">
      <c r="A681" s="54" t="s">
        <v>4450</v>
      </c>
      <c r="B681" s="50" t="s">
        <v>4451</v>
      </c>
      <c r="C681" s="51" t="s">
        <v>4452</v>
      </c>
      <c r="D681" s="51"/>
      <c r="E681" s="51"/>
      <c r="F681" s="51"/>
      <c r="G681" s="50" t="s">
        <v>4453</v>
      </c>
      <c r="H681" s="52">
        <v>44683.406435185185</v>
      </c>
      <c r="I681" s="50"/>
      <c r="J681" s="50"/>
      <c r="K681" s="50"/>
      <c r="L681" s="50"/>
      <c r="M681" s="50" t="s">
        <v>4454</v>
      </c>
      <c r="N681" s="50"/>
      <c r="O681" s="53" t="s">
        <v>92</v>
      </c>
      <c r="P681" s="55" t="s">
        <v>4455</v>
      </c>
      <c r="Q681" s="50">
        <v>288.0</v>
      </c>
      <c r="R681" s="50">
        <v>349.0</v>
      </c>
      <c r="S681" s="50" t="s">
        <v>4456</v>
      </c>
      <c r="T681" s="56" t="s">
        <v>4457</v>
      </c>
      <c r="U681" s="53" t="s">
        <v>4458</v>
      </c>
    </row>
    <row r="682">
      <c r="A682" s="54" t="s">
        <v>4459</v>
      </c>
      <c r="B682" s="50" t="s">
        <v>4460</v>
      </c>
      <c r="C682" s="51" t="s">
        <v>316</v>
      </c>
      <c r="D682" s="51"/>
      <c r="E682" s="51"/>
      <c r="F682" s="51"/>
      <c r="G682" s="50" t="s">
        <v>4461</v>
      </c>
      <c r="H682" s="52">
        <v>44683.406423611115</v>
      </c>
      <c r="I682" s="50"/>
      <c r="J682" s="50"/>
      <c r="K682" s="50"/>
      <c r="L682" s="50"/>
      <c r="M682" s="50" t="s">
        <v>4462</v>
      </c>
      <c r="N682" s="50"/>
      <c r="O682" s="53" t="s">
        <v>60</v>
      </c>
      <c r="P682" s="55" t="s">
        <v>4463</v>
      </c>
      <c r="Q682" s="50">
        <v>7589.0</v>
      </c>
      <c r="R682" s="50">
        <v>7894.0</v>
      </c>
      <c r="S682" s="50" t="s">
        <v>379</v>
      </c>
      <c r="T682" s="56" t="s">
        <v>4464</v>
      </c>
      <c r="U682" s="53" t="s">
        <v>322</v>
      </c>
    </row>
    <row r="683">
      <c r="A683" s="54" t="s">
        <v>4465</v>
      </c>
      <c r="B683" s="50" t="s">
        <v>4466</v>
      </c>
      <c r="C683" s="51" t="s">
        <v>4467</v>
      </c>
      <c r="D683" s="51"/>
      <c r="E683" s="51"/>
      <c r="F683" s="51"/>
      <c r="G683" s="50" t="s">
        <v>4468</v>
      </c>
      <c r="H683" s="52">
        <v>44683.40636574074</v>
      </c>
      <c r="I683" s="50"/>
      <c r="J683" s="50"/>
      <c r="K683" s="50"/>
      <c r="L683" s="50"/>
      <c r="M683" s="50" t="s">
        <v>4469</v>
      </c>
      <c r="N683" s="50"/>
      <c r="O683" s="53" t="s">
        <v>217</v>
      </c>
      <c r="P683" s="55" t="s">
        <v>4470</v>
      </c>
      <c r="Q683" s="50">
        <v>893.0</v>
      </c>
      <c r="R683" s="50">
        <v>298.0</v>
      </c>
      <c r="S683" s="50" t="s">
        <v>4471</v>
      </c>
      <c r="T683" s="56" t="s">
        <v>4472</v>
      </c>
      <c r="U683" s="53" t="s">
        <v>4473</v>
      </c>
    </row>
    <row r="684">
      <c r="A684" s="54" t="s">
        <v>4474</v>
      </c>
      <c r="B684" s="50" t="s">
        <v>2224</v>
      </c>
      <c r="C684" s="51" t="s">
        <v>4475</v>
      </c>
      <c r="D684" s="51"/>
      <c r="E684" s="51"/>
      <c r="F684" s="51"/>
      <c r="G684" s="50" t="s">
        <v>4476</v>
      </c>
      <c r="H684" s="52">
        <v>44683.40629629629</v>
      </c>
      <c r="I684" s="50"/>
      <c r="J684" s="50"/>
      <c r="K684" s="50" t="s">
        <v>2229</v>
      </c>
      <c r="L684" s="50" t="s">
        <v>2224</v>
      </c>
      <c r="M684" s="50" t="s">
        <v>2229</v>
      </c>
      <c r="N684" s="50" t="s">
        <v>4477</v>
      </c>
      <c r="O684" s="53" t="s">
        <v>92</v>
      </c>
      <c r="P684" s="55" t="s">
        <v>354</v>
      </c>
      <c r="Q684" s="50">
        <v>108.0</v>
      </c>
      <c r="R684" s="50">
        <v>82.0</v>
      </c>
      <c r="S684" s="50" t="s">
        <v>1153</v>
      </c>
      <c r="T684" s="56" t="s">
        <v>4478</v>
      </c>
      <c r="U684" s="53" t="s">
        <v>4479</v>
      </c>
    </row>
    <row r="685">
      <c r="A685" s="54" t="s">
        <v>4480</v>
      </c>
      <c r="B685" s="50" t="s">
        <v>4481</v>
      </c>
      <c r="C685" s="51" t="s">
        <v>367</v>
      </c>
      <c r="D685" s="51"/>
      <c r="E685" s="51"/>
      <c r="F685" s="51"/>
      <c r="G685" s="50" t="s">
        <v>4482</v>
      </c>
      <c r="H685" s="52">
        <v>44683.40619212963</v>
      </c>
      <c r="I685" s="50"/>
      <c r="J685" s="50"/>
      <c r="K685" s="50"/>
      <c r="L685" s="50"/>
      <c r="M685" s="50" t="s">
        <v>4483</v>
      </c>
      <c r="N685" s="50"/>
      <c r="O685" s="53" t="s">
        <v>92</v>
      </c>
      <c r="P685" s="55" t="s">
        <v>4484</v>
      </c>
      <c r="Q685" s="50">
        <v>72.0</v>
      </c>
      <c r="R685" s="50">
        <v>193.0</v>
      </c>
      <c r="S685" s="50" t="s">
        <v>379</v>
      </c>
      <c r="T685" s="56" t="s">
        <v>4485</v>
      </c>
      <c r="U685" s="53" t="s">
        <v>370</v>
      </c>
    </row>
    <row r="686">
      <c r="A686" s="54" t="s">
        <v>4486</v>
      </c>
      <c r="B686" s="50" t="s">
        <v>4389</v>
      </c>
      <c r="C686" s="51" t="s">
        <v>4487</v>
      </c>
      <c r="D686" s="51"/>
      <c r="E686" s="51"/>
      <c r="F686" s="51"/>
      <c r="G686" s="50" t="s">
        <v>4488</v>
      </c>
      <c r="H686" s="52">
        <v>44683.40582175926</v>
      </c>
      <c r="I686" s="50"/>
      <c r="J686" s="50"/>
      <c r="K686" s="50" t="s">
        <v>4489</v>
      </c>
      <c r="L686" s="50" t="s">
        <v>4490</v>
      </c>
      <c r="M686" s="50" t="s">
        <v>4391</v>
      </c>
      <c r="N686" s="50" t="s">
        <v>4491</v>
      </c>
      <c r="O686" s="53" t="s">
        <v>70</v>
      </c>
      <c r="P686" s="55" t="s">
        <v>4392</v>
      </c>
      <c r="Q686" s="50">
        <v>8141.0</v>
      </c>
      <c r="R686" s="50">
        <v>4878.0</v>
      </c>
      <c r="S686" s="50" t="s">
        <v>805</v>
      </c>
      <c r="T686" s="56" t="s">
        <v>4492</v>
      </c>
      <c r="U686" s="53" t="s">
        <v>4493</v>
      </c>
    </row>
    <row r="687">
      <c r="A687" s="54" t="s">
        <v>4494</v>
      </c>
      <c r="B687" s="50" t="s">
        <v>4495</v>
      </c>
      <c r="C687" s="51" t="s">
        <v>3945</v>
      </c>
      <c r="D687" s="51"/>
      <c r="E687" s="51"/>
      <c r="F687" s="51"/>
      <c r="G687" s="50" t="s">
        <v>4496</v>
      </c>
      <c r="H687" s="52">
        <v>44683.405798611115</v>
      </c>
      <c r="I687" s="50"/>
      <c r="J687" s="50"/>
      <c r="K687" s="50"/>
      <c r="L687" s="50"/>
      <c r="M687" s="50" t="s">
        <v>4497</v>
      </c>
      <c r="N687" s="50"/>
      <c r="O687" s="53" t="s">
        <v>217</v>
      </c>
      <c r="P687" s="55" t="s">
        <v>354</v>
      </c>
      <c r="Q687" s="50">
        <v>195.0</v>
      </c>
      <c r="R687" s="50">
        <v>266.0</v>
      </c>
      <c r="S687" s="50"/>
      <c r="T687" s="56" t="s">
        <v>4498</v>
      </c>
      <c r="U687" s="53" t="s">
        <v>3951</v>
      </c>
    </row>
    <row r="688">
      <c r="A688" s="54" t="s">
        <v>4499</v>
      </c>
      <c r="B688" s="50" t="s">
        <v>4500</v>
      </c>
      <c r="C688" s="51" t="s">
        <v>4501</v>
      </c>
      <c r="D688" s="51"/>
      <c r="E688" s="51"/>
      <c r="F688" s="51"/>
      <c r="G688" s="50" t="s">
        <v>4502</v>
      </c>
      <c r="H688" s="52">
        <v>44683.40561342593</v>
      </c>
      <c r="I688" s="50"/>
      <c r="J688" s="50"/>
      <c r="K688" s="50" t="s">
        <v>4138</v>
      </c>
      <c r="L688" s="50" t="s">
        <v>4139</v>
      </c>
      <c r="M688" s="50" t="s">
        <v>4503</v>
      </c>
      <c r="N688" s="50" t="s">
        <v>4140</v>
      </c>
      <c r="O688" s="53" t="s">
        <v>70</v>
      </c>
      <c r="P688" s="55" t="s">
        <v>4504</v>
      </c>
      <c r="Q688" s="50">
        <v>378.0</v>
      </c>
      <c r="R688" s="50">
        <v>99.0</v>
      </c>
      <c r="S688" s="50" t="s">
        <v>4505</v>
      </c>
      <c r="T688" s="56" t="s">
        <v>4506</v>
      </c>
      <c r="U688" s="53" t="s">
        <v>4507</v>
      </c>
    </row>
    <row r="689">
      <c r="A689" s="54" t="s">
        <v>4508</v>
      </c>
      <c r="B689" s="50" t="s">
        <v>4509</v>
      </c>
      <c r="C689" s="51" t="s">
        <v>687</v>
      </c>
      <c r="D689" s="51"/>
      <c r="E689" s="51"/>
      <c r="F689" s="51"/>
      <c r="G689" s="50" t="s">
        <v>4510</v>
      </c>
      <c r="H689" s="52">
        <v>44683.405590277776</v>
      </c>
      <c r="I689" s="50"/>
      <c r="J689" s="50"/>
      <c r="K689" s="50"/>
      <c r="L689" s="50"/>
      <c r="M689" s="50" t="s">
        <v>4511</v>
      </c>
      <c r="N689" s="50"/>
      <c r="O689" s="53" t="s">
        <v>70</v>
      </c>
      <c r="P689" s="55" t="s">
        <v>4512</v>
      </c>
      <c r="Q689" s="50">
        <v>5546.0</v>
      </c>
      <c r="R689" s="50">
        <v>2647.0</v>
      </c>
      <c r="S689" s="50" t="s">
        <v>1311</v>
      </c>
      <c r="T689" s="56" t="s">
        <v>4513</v>
      </c>
      <c r="U689" s="53" t="s">
        <v>691</v>
      </c>
    </row>
    <row r="690">
      <c r="A690" s="54" t="s">
        <v>4514</v>
      </c>
      <c r="B690" s="50" t="s">
        <v>4515</v>
      </c>
      <c r="C690" s="51" t="s">
        <v>316</v>
      </c>
      <c r="D690" s="51"/>
      <c r="E690" s="51"/>
      <c r="F690" s="51"/>
      <c r="G690" s="50" t="s">
        <v>4516</v>
      </c>
      <c r="H690" s="52">
        <v>44683.405451388884</v>
      </c>
      <c r="I690" s="50"/>
      <c r="J690" s="50"/>
      <c r="K690" s="50"/>
      <c r="L690" s="50"/>
      <c r="M690" s="50" t="s">
        <v>4517</v>
      </c>
      <c r="N690" s="50"/>
      <c r="O690" s="53" t="s">
        <v>70</v>
      </c>
      <c r="P690" s="55" t="s">
        <v>4518</v>
      </c>
      <c r="Q690" s="50">
        <v>1451.0</v>
      </c>
      <c r="R690" s="50">
        <v>2493.0</v>
      </c>
      <c r="S690" s="50"/>
      <c r="T690" s="56" t="s">
        <v>4519</v>
      </c>
      <c r="U690" s="53" t="s">
        <v>322</v>
      </c>
    </row>
    <row r="691">
      <c r="A691" s="54" t="s">
        <v>4520</v>
      </c>
      <c r="B691" s="50" t="s">
        <v>2415</v>
      </c>
      <c r="C691" s="51" t="s">
        <v>329</v>
      </c>
      <c r="D691" s="51"/>
      <c r="E691" s="51"/>
      <c r="F691" s="51"/>
      <c r="G691" s="50" t="s">
        <v>4521</v>
      </c>
      <c r="H691" s="52">
        <v>44683.405428240745</v>
      </c>
      <c r="I691" s="50"/>
      <c r="J691" s="50"/>
      <c r="K691" s="50"/>
      <c r="L691" s="50"/>
      <c r="M691" s="50" t="s">
        <v>2418</v>
      </c>
      <c r="N691" s="50"/>
      <c r="O691" s="53" t="s">
        <v>92</v>
      </c>
      <c r="P691" s="55" t="s">
        <v>2419</v>
      </c>
      <c r="Q691" s="50">
        <v>547.0</v>
      </c>
      <c r="R691" s="50">
        <v>667.0</v>
      </c>
      <c r="S691" s="50"/>
      <c r="T691" s="56" t="s">
        <v>4522</v>
      </c>
      <c r="U691" s="53" t="s">
        <v>332</v>
      </c>
    </row>
    <row r="692">
      <c r="A692" s="54" t="s">
        <v>4523</v>
      </c>
      <c r="B692" s="50" t="s">
        <v>4524</v>
      </c>
      <c r="C692" s="51" t="s">
        <v>367</v>
      </c>
      <c r="D692" s="51"/>
      <c r="E692" s="51"/>
      <c r="F692" s="51"/>
      <c r="G692" s="50" t="s">
        <v>4525</v>
      </c>
      <c r="H692" s="52">
        <v>44683.40510416667</v>
      </c>
      <c r="I692" s="50"/>
      <c r="J692" s="50"/>
      <c r="K692" s="50"/>
      <c r="L692" s="50"/>
      <c r="M692" s="50" t="s">
        <v>4526</v>
      </c>
      <c r="N692" s="50"/>
      <c r="O692" s="53" t="s">
        <v>217</v>
      </c>
      <c r="P692" s="55" t="s">
        <v>4527</v>
      </c>
      <c r="Q692" s="50">
        <v>1684.0</v>
      </c>
      <c r="R692" s="50">
        <v>4992.0</v>
      </c>
      <c r="S692" s="50" t="s">
        <v>219</v>
      </c>
      <c r="T692" s="56" t="s">
        <v>4528</v>
      </c>
      <c r="U692" s="53" t="s">
        <v>370</v>
      </c>
    </row>
    <row r="693">
      <c r="A693" s="54" t="s">
        <v>4529</v>
      </c>
      <c r="B693" s="50" t="s">
        <v>4530</v>
      </c>
      <c r="C693" s="51" t="s">
        <v>367</v>
      </c>
      <c r="D693" s="51"/>
      <c r="E693" s="51"/>
      <c r="F693" s="51"/>
      <c r="G693" s="50" t="s">
        <v>4531</v>
      </c>
      <c r="H693" s="52">
        <v>44683.405069444445</v>
      </c>
      <c r="I693" s="50"/>
      <c r="J693" s="50"/>
      <c r="K693" s="50"/>
      <c r="L693" s="50"/>
      <c r="M693" s="50" t="s">
        <v>4532</v>
      </c>
      <c r="N693" s="50"/>
      <c r="O693" s="53" t="s">
        <v>92</v>
      </c>
      <c r="P693" s="55" t="s">
        <v>4533</v>
      </c>
      <c r="Q693" s="50">
        <v>569.0</v>
      </c>
      <c r="R693" s="50">
        <v>862.0</v>
      </c>
      <c r="S693" s="50"/>
      <c r="T693" s="56" t="s">
        <v>4534</v>
      </c>
      <c r="U693" s="53" t="s">
        <v>370</v>
      </c>
    </row>
    <row r="694">
      <c r="A694" s="54" t="s">
        <v>4535</v>
      </c>
      <c r="B694" s="50" t="s">
        <v>298</v>
      </c>
      <c r="C694" s="51" t="s">
        <v>4536</v>
      </c>
      <c r="D694" s="51"/>
      <c r="E694" s="51"/>
      <c r="F694" s="51"/>
      <c r="G694" s="50" t="s">
        <v>4537</v>
      </c>
      <c r="H694" s="52">
        <v>44683.40491898148</v>
      </c>
      <c r="I694" s="50"/>
      <c r="J694" s="50"/>
      <c r="K694" s="50" t="s">
        <v>302</v>
      </c>
      <c r="L694" s="50" t="s">
        <v>298</v>
      </c>
      <c r="M694" s="50" t="s">
        <v>302</v>
      </c>
      <c r="N694" s="50" t="s">
        <v>4538</v>
      </c>
      <c r="O694" s="53" t="s">
        <v>92</v>
      </c>
      <c r="P694" s="55" t="s">
        <v>303</v>
      </c>
      <c r="Q694" s="50">
        <v>4136.0</v>
      </c>
      <c r="R694" s="50">
        <v>4374.0</v>
      </c>
      <c r="S694" s="50" t="s">
        <v>304</v>
      </c>
      <c r="T694" s="56" t="s">
        <v>4539</v>
      </c>
      <c r="U694" s="53" t="s">
        <v>4540</v>
      </c>
    </row>
    <row r="695">
      <c r="A695" s="54" t="s">
        <v>4541</v>
      </c>
      <c r="B695" s="50" t="s">
        <v>4542</v>
      </c>
      <c r="C695" s="51" t="s">
        <v>367</v>
      </c>
      <c r="D695" s="51"/>
      <c r="E695" s="51"/>
      <c r="F695" s="51"/>
      <c r="G695" s="50" t="s">
        <v>4543</v>
      </c>
      <c r="H695" s="52">
        <v>44683.404814814814</v>
      </c>
      <c r="I695" s="50"/>
      <c r="J695" s="50"/>
      <c r="K695" s="50"/>
      <c r="L695" s="50"/>
      <c r="M695" s="50" t="s">
        <v>4544</v>
      </c>
      <c r="N695" s="50"/>
      <c r="O695" s="53" t="s">
        <v>217</v>
      </c>
      <c r="P695" s="55" t="s">
        <v>4545</v>
      </c>
      <c r="Q695" s="50">
        <v>3514.0</v>
      </c>
      <c r="R695" s="50">
        <v>1696.0</v>
      </c>
      <c r="S695" s="50" t="s">
        <v>4546</v>
      </c>
      <c r="T695" s="56" t="s">
        <v>4547</v>
      </c>
      <c r="U695" s="53" t="s">
        <v>370</v>
      </c>
    </row>
    <row r="696">
      <c r="A696" s="54" t="s">
        <v>4548</v>
      </c>
      <c r="B696" s="50" t="s">
        <v>4549</v>
      </c>
      <c r="C696" s="51" t="s">
        <v>363</v>
      </c>
      <c r="D696" s="51"/>
      <c r="E696" s="51"/>
      <c r="F696" s="51"/>
      <c r="G696" s="50" t="s">
        <v>4543</v>
      </c>
      <c r="H696" s="52">
        <v>44683.404814814814</v>
      </c>
      <c r="I696" s="50"/>
      <c r="J696" s="50"/>
      <c r="K696" s="50"/>
      <c r="L696" s="50"/>
      <c r="M696" s="50" t="s">
        <v>4550</v>
      </c>
      <c r="N696" s="50"/>
      <c r="O696" s="53" t="s">
        <v>60</v>
      </c>
      <c r="P696" s="55" t="s">
        <v>4551</v>
      </c>
      <c r="Q696" s="50">
        <v>2543.0</v>
      </c>
      <c r="R696" s="50">
        <v>4978.0</v>
      </c>
      <c r="S696" s="50" t="s">
        <v>129</v>
      </c>
      <c r="T696" s="56" t="s">
        <v>4552</v>
      </c>
      <c r="U696" s="53" t="s">
        <v>332</v>
      </c>
    </row>
    <row r="697">
      <c r="A697" s="54" t="s">
        <v>4553</v>
      </c>
      <c r="B697" s="50" t="s">
        <v>4554</v>
      </c>
      <c r="C697" s="51" t="s">
        <v>367</v>
      </c>
      <c r="D697" s="51"/>
      <c r="E697" s="51"/>
      <c r="F697" s="51"/>
      <c r="G697" s="50" t="s">
        <v>4543</v>
      </c>
      <c r="H697" s="52">
        <v>44683.404814814814</v>
      </c>
      <c r="I697" s="50"/>
      <c r="J697" s="50"/>
      <c r="K697" s="50"/>
      <c r="L697" s="50"/>
      <c r="M697" s="50" t="s">
        <v>4555</v>
      </c>
      <c r="N697" s="50"/>
      <c r="O697" s="53" t="s">
        <v>92</v>
      </c>
      <c r="P697" s="55" t="s">
        <v>4556</v>
      </c>
      <c r="Q697" s="50">
        <v>517.0</v>
      </c>
      <c r="R697" s="50">
        <v>915.0</v>
      </c>
      <c r="S697" s="50" t="s">
        <v>4557</v>
      </c>
      <c r="T697" s="56" t="s">
        <v>4558</v>
      </c>
      <c r="U697" s="53" t="s">
        <v>370</v>
      </c>
    </row>
    <row r="698">
      <c r="A698" s="54" t="s">
        <v>4559</v>
      </c>
      <c r="B698" s="50" t="s">
        <v>4560</v>
      </c>
      <c r="C698" s="51" t="s">
        <v>1772</v>
      </c>
      <c r="D698" s="51"/>
      <c r="E698" s="51"/>
      <c r="F698" s="51"/>
      <c r="G698" s="50" t="s">
        <v>4561</v>
      </c>
      <c r="H698" s="52">
        <v>44683.404803240745</v>
      </c>
      <c r="I698" s="50"/>
      <c r="J698" s="50"/>
      <c r="K698" s="50"/>
      <c r="L698" s="50"/>
      <c r="M698" s="50" t="s">
        <v>4562</v>
      </c>
      <c r="N698" s="50"/>
      <c r="O698" s="53" t="s">
        <v>217</v>
      </c>
      <c r="P698" s="55" t="s">
        <v>4563</v>
      </c>
      <c r="Q698" s="50">
        <v>2780.0</v>
      </c>
      <c r="R698" s="50">
        <v>4324.0</v>
      </c>
      <c r="S698" s="50" t="s">
        <v>4564</v>
      </c>
      <c r="T698" s="56" t="s">
        <v>4565</v>
      </c>
      <c r="U698" s="53" t="s">
        <v>1777</v>
      </c>
    </row>
    <row r="699">
      <c r="A699" s="54" t="s">
        <v>4566</v>
      </c>
      <c r="B699" s="50" t="s">
        <v>4567</v>
      </c>
      <c r="C699" s="51" t="s">
        <v>4568</v>
      </c>
      <c r="D699" s="51"/>
      <c r="E699" s="51"/>
      <c r="F699" s="51"/>
      <c r="G699" s="50" t="s">
        <v>4569</v>
      </c>
      <c r="H699" s="52">
        <v>44683.404756944445</v>
      </c>
      <c r="I699" s="50"/>
      <c r="J699" s="50"/>
      <c r="K699" s="50"/>
      <c r="L699" s="50"/>
      <c r="M699" s="50" t="s">
        <v>4570</v>
      </c>
      <c r="N699" s="50"/>
      <c r="O699" s="53" t="s">
        <v>92</v>
      </c>
      <c r="P699" s="55" t="s">
        <v>4571</v>
      </c>
      <c r="Q699" s="50">
        <v>1932.0</v>
      </c>
      <c r="R699" s="50">
        <v>4997.0</v>
      </c>
      <c r="S699" s="50" t="s">
        <v>4572</v>
      </c>
      <c r="T699" s="56" t="s">
        <v>4573</v>
      </c>
      <c r="U699" s="53" t="s">
        <v>4574</v>
      </c>
    </row>
    <row r="700">
      <c r="A700" s="54" t="s">
        <v>4575</v>
      </c>
      <c r="B700" s="50" t="s">
        <v>4576</v>
      </c>
      <c r="C700" s="51" t="s">
        <v>4577</v>
      </c>
      <c r="D700" s="51"/>
      <c r="E700" s="51"/>
      <c r="F700" s="51"/>
      <c r="G700" s="50" t="s">
        <v>4578</v>
      </c>
      <c r="H700" s="52">
        <v>44683.40461805556</v>
      </c>
      <c r="I700" s="50"/>
      <c r="J700" s="50"/>
      <c r="K700" s="50"/>
      <c r="L700" s="50"/>
      <c r="M700" s="50" t="s">
        <v>4579</v>
      </c>
      <c r="N700" s="50"/>
      <c r="O700" s="53" t="s">
        <v>217</v>
      </c>
      <c r="P700" s="55" t="s">
        <v>4580</v>
      </c>
      <c r="Q700" s="50">
        <v>3940.0</v>
      </c>
      <c r="R700" s="50">
        <v>4988.0</v>
      </c>
      <c r="S700" s="50" t="s">
        <v>129</v>
      </c>
      <c r="T700" s="56" t="s">
        <v>4581</v>
      </c>
      <c r="U700" s="53" t="s">
        <v>4582</v>
      </c>
    </row>
    <row r="701">
      <c r="A701" s="54" t="s">
        <v>4583</v>
      </c>
      <c r="B701" s="50" t="s">
        <v>4584</v>
      </c>
      <c r="C701" s="51" t="s">
        <v>367</v>
      </c>
      <c r="D701" s="51"/>
      <c r="E701" s="51"/>
      <c r="F701" s="51"/>
      <c r="G701" s="50" t="s">
        <v>4585</v>
      </c>
      <c r="H701" s="52">
        <v>44683.40449074074</v>
      </c>
      <c r="I701" s="50"/>
      <c r="J701" s="50"/>
      <c r="K701" s="50"/>
      <c r="L701" s="50"/>
      <c r="M701" s="50" t="s">
        <v>4586</v>
      </c>
      <c r="N701" s="50"/>
      <c r="O701" s="53" t="s">
        <v>92</v>
      </c>
      <c r="P701" s="55" t="s">
        <v>354</v>
      </c>
      <c r="Q701" s="50">
        <v>87.0</v>
      </c>
      <c r="R701" s="50">
        <v>286.0</v>
      </c>
      <c r="S701" s="50" t="s">
        <v>2343</v>
      </c>
      <c r="T701" s="56" t="s">
        <v>4587</v>
      </c>
      <c r="U701" s="53" t="s">
        <v>370</v>
      </c>
    </row>
    <row r="702">
      <c r="A702" s="54" t="s">
        <v>4588</v>
      </c>
      <c r="B702" s="50" t="s">
        <v>4589</v>
      </c>
      <c r="C702" s="51" t="s">
        <v>4590</v>
      </c>
      <c r="D702" s="51"/>
      <c r="E702" s="51"/>
      <c r="F702" s="51"/>
      <c r="G702" s="50" t="s">
        <v>4591</v>
      </c>
      <c r="H702" s="52">
        <v>44683.4044675926</v>
      </c>
      <c r="I702" s="50"/>
      <c r="J702" s="50"/>
      <c r="K702" s="50"/>
      <c r="L702" s="50"/>
      <c r="M702" s="50" t="s">
        <v>4592</v>
      </c>
      <c r="N702" s="50"/>
      <c r="O702" s="53" t="s">
        <v>70</v>
      </c>
      <c r="P702" s="55" t="s">
        <v>4593</v>
      </c>
      <c r="Q702" s="50">
        <v>2077.0</v>
      </c>
      <c r="R702" s="50">
        <v>4540.0</v>
      </c>
      <c r="S702" s="50" t="s">
        <v>4594</v>
      </c>
      <c r="T702" s="56" t="s">
        <v>4595</v>
      </c>
      <c r="U702" s="53" t="s">
        <v>4596</v>
      </c>
    </row>
    <row r="703">
      <c r="A703" s="54" t="s">
        <v>4597</v>
      </c>
      <c r="B703" s="50" t="s">
        <v>4598</v>
      </c>
      <c r="C703" s="51" t="s">
        <v>4599</v>
      </c>
      <c r="D703" s="51"/>
      <c r="E703" s="51"/>
      <c r="F703" s="51"/>
      <c r="G703" s="50" t="s">
        <v>4591</v>
      </c>
      <c r="H703" s="52">
        <v>44683.4044675926</v>
      </c>
      <c r="I703" s="50"/>
      <c r="J703" s="50"/>
      <c r="K703" s="50" t="s">
        <v>4600</v>
      </c>
      <c r="L703" s="50" t="s">
        <v>4601</v>
      </c>
      <c r="M703" s="50" t="s">
        <v>4602</v>
      </c>
      <c r="N703" s="50" t="s">
        <v>4603</v>
      </c>
      <c r="O703" s="53" t="s">
        <v>70</v>
      </c>
      <c r="P703" s="55" t="s">
        <v>4604</v>
      </c>
      <c r="Q703" s="50">
        <v>278.0</v>
      </c>
      <c r="R703" s="50">
        <v>528.0</v>
      </c>
      <c r="S703" s="50"/>
      <c r="T703" s="56" t="s">
        <v>4605</v>
      </c>
      <c r="U703" s="53" t="s">
        <v>4606</v>
      </c>
    </row>
    <row r="704">
      <c r="A704" s="54" t="s">
        <v>4607</v>
      </c>
      <c r="B704" s="50" t="s">
        <v>4608</v>
      </c>
      <c r="C704" s="51" t="s">
        <v>687</v>
      </c>
      <c r="D704" s="51"/>
      <c r="E704" s="51"/>
      <c r="F704" s="51"/>
      <c r="G704" s="50" t="s">
        <v>4609</v>
      </c>
      <c r="H704" s="52">
        <v>44683.404375</v>
      </c>
      <c r="I704" s="50"/>
      <c r="J704" s="50"/>
      <c r="K704" s="50"/>
      <c r="L704" s="50"/>
      <c r="M704" s="50" t="s">
        <v>4610</v>
      </c>
      <c r="N704" s="50"/>
      <c r="O704" s="53" t="s">
        <v>60</v>
      </c>
      <c r="P704" s="55" t="s">
        <v>354</v>
      </c>
      <c r="Q704" s="50">
        <v>164.0</v>
      </c>
      <c r="R704" s="50">
        <v>62.0</v>
      </c>
      <c r="S704" s="50"/>
      <c r="T704" s="56" t="s">
        <v>4611</v>
      </c>
      <c r="U704" s="53" t="s">
        <v>691</v>
      </c>
    </row>
    <row r="705">
      <c r="A705" s="54" t="s">
        <v>4612</v>
      </c>
      <c r="B705" s="50" t="s">
        <v>4613</v>
      </c>
      <c r="C705" s="51" t="s">
        <v>4614</v>
      </c>
      <c r="D705" s="51"/>
      <c r="E705" s="51"/>
      <c r="F705" s="51"/>
      <c r="G705" s="50" t="s">
        <v>4615</v>
      </c>
      <c r="H705" s="52">
        <v>44683.40435185185</v>
      </c>
      <c r="I705" s="50"/>
      <c r="J705" s="50"/>
      <c r="K705" s="50"/>
      <c r="L705" s="50"/>
      <c r="M705" s="50" t="s">
        <v>4616</v>
      </c>
      <c r="N705" s="50"/>
      <c r="O705" s="53" t="s">
        <v>70</v>
      </c>
      <c r="P705" s="55" t="s">
        <v>4617</v>
      </c>
      <c r="Q705" s="50">
        <v>1309.0</v>
      </c>
      <c r="R705" s="50">
        <v>4994.0</v>
      </c>
      <c r="S705" s="50" t="s">
        <v>4618</v>
      </c>
      <c r="T705" s="56" t="s">
        <v>4619</v>
      </c>
      <c r="U705" s="53" t="s">
        <v>4620</v>
      </c>
    </row>
    <row r="706">
      <c r="A706" s="54" t="s">
        <v>4621</v>
      </c>
      <c r="B706" s="50" t="s">
        <v>4622</v>
      </c>
      <c r="C706" s="51" t="s">
        <v>2869</v>
      </c>
      <c r="D706" s="51"/>
      <c r="E706" s="51"/>
      <c r="F706" s="51"/>
      <c r="G706" s="50" t="s">
        <v>4623</v>
      </c>
      <c r="H706" s="52">
        <v>44683.404340277775</v>
      </c>
      <c r="I706" s="50"/>
      <c r="J706" s="50"/>
      <c r="K706" s="50"/>
      <c r="L706" s="50"/>
      <c r="M706" s="50" t="s">
        <v>4624</v>
      </c>
      <c r="N706" s="50"/>
      <c r="O706" s="53" t="s">
        <v>60</v>
      </c>
      <c r="P706" s="55" t="s">
        <v>4625</v>
      </c>
      <c r="Q706" s="50">
        <v>1172.0</v>
      </c>
      <c r="R706" s="50">
        <v>3428.0</v>
      </c>
      <c r="S706" s="50" t="s">
        <v>4626</v>
      </c>
      <c r="T706" s="56" t="s">
        <v>4627</v>
      </c>
      <c r="U706" s="53" t="s">
        <v>2874</v>
      </c>
    </row>
    <row r="707">
      <c r="A707" s="54" t="s">
        <v>4628</v>
      </c>
      <c r="B707" s="50" t="s">
        <v>4629</v>
      </c>
      <c r="C707" s="51" t="s">
        <v>1402</v>
      </c>
      <c r="D707" s="51"/>
      <c r="E707" s="51"/>
      <c r="F707" s="51"/>
      <c r="G707" s="50" t="s">
        <v>4630</v>
      </c>
      <c r="H707" s="52">
        <v>44683.404328703706</v>
      </c>
      <c r="I707" s="50"/>
      <c r="J707" s="50"/>
      <c r="K707" s="50"/>
      <c r="L707" s="50"/>
      <c r="M707" s="50" t="s">
        <v>4631</v>
      </c>
      <c r="N707" s="50"/>
      <c r="O707" s="53" t="s">
        <v>217</v>
      </c>
      <c r="P707" s="55" t="s">
        <v>354</v>
      </c>
      <c r="Q707" s="50">
        <v>254.0</v>
      </c>
      <c r="R707" s="50">
        <v>131.0</v>
      </c>
      <c r="S707" s="50" t="s">
        <v>4632</v>
      </c>
      <c r="T707" s="56" t="s">
        <v>4633</v>
      </c>
      <c r="U707" s="53" t="s">
        <v>1408</v>
      </c>
    </row>
    <row r="708">
      <c r="A708" s="54" t="s">
        <v>4634</v>
      </c>
      <c r="B708" s="50" t="s">
        <v>4635</v>
      </c>
      <c r="C708" s="51" t="s">
        <v>367</v>
      </c>
      <c r="D708" s="51"/>
      <c r="E708" s="51"/>
      <c r="F708" s="51"/>
      <c r="G708" s="50" t="s">
        <v>4636</v>
      </c>
      <c r="H708" s="52">
        <v>44683.40403935185</v>
      </c>
      <c r="I708" s="50"/>
      <c r="J708" s="50"/>
      <c r="K708" s="50"/>
      <c r="L708" s="50"/>
      <c r="M708" s="50" t="s">
        <v>4637</v>
      </c>
      <c r="N708" s="50"/>
      <c r="O708" s="53" t="s">
        <v>92</v>
      </c>
      <c r="P708" s="55" t="s">
        <v>4638</v>
      </c>
      <c r="Q708" s="50">
        <v>294.0</v>
      </c>
      <c r="R708" s="50">
        <v>1100.0</v>
      </c>
      <c r="S708" s="50"/>
      <c r="T708" s="56" t="s">
        <v>4639</v>
      </c>
      <c r="U708" s="53" t="s">
        <v>370</v>
      </c>
    </row>
    <row r="709">
      <c r="A709" s="54" t="s">
        <v>4640</v>
      </c>
      <c r="B709" s="50" t="s">
        <v>4641</v>
      </c>
      <c r="C709" s="51" t="s">
        <v>367</v>
      </c>
      <c r="D709" s="51"/>
      <c r="E709" s="51"/>
      <c r="F709" s="51"/>
      <c r="G709" s="50" t="s">
        <v>4642</v>
      </c>
      <c r="H709" s="52">
        <v>44683.403958333336</v>
      </c>
      <c r="I709" s="50"/>
      <c r="J709" s="50"/>
      <c r="K709" s="50"/>
      <c r="L709" s="50"/>
      <c r="M709" s="50" t="s">
        <v>4643</v>
      </c>
      <c r="N709" s="50"/>
      <c r="O709" s="53" t="s">
        <v>60</v>
      </c>
      <c r="P709" s="55" t="s">
        <v>4644</v>
      </c>
      <c r="Q709" s="50">
        <v>12.0</v>
      </c>
      <c r="R709" s="50">
        <v>32.0</v>
      </c>
      <c r="S709" s="50"/>
      <c r="T709" s="56" t="s">
        <v>4645</v>
      </c>
      <c r="U709" s="53" t="s">
        <v>370</v>
      </c>
    </row>
    <row r="710">
      <c r="A710" s="54" t="s">
        <v>4646</v>
      </c>
      <c r="B710" s="50" t="s">
        <v>4647</v>
      </c>
      <c r="C710" s="51" t="s">
        <v>4648</v>
      </c>
      <c r="D710" s="51"/>
      <c r="E710" s="51"/>
      <c r="F710" s="51"/>
      <c r="G710" s="50" t="s">
        <v>4649</v>
      </c>
      <c r="H710" s="52">
        <v>44683.403912037036</v>
      </c>
      <c r="I710" s="50"/>
      <c r="J710" s="50"/>
      <c r="K710" s="50"/>
      <c r="L710" s="50"/>
      <c r="M710" s="50" t="s">
        <v>4650</v>
      </c>
      <c r="N710" s="50"/>
      <c r="O710" s="53" t="s">
        <v>92</v>
      </c>
      <c r="P710" s="55" t="s">
        <v>4651</v>
      </c>
      <c r="Q710" s="50">
        <v>11764.0</v>
      </c>
      <c r="R710" s="50">
        <v>12044.0</v>
      </c>
      <c r="S710" s="50" t="s">
        <v>4652</v>
      </c>
      <c r="T710" s="56" t="s">
        <v>4653</v>
      </c>
      <c r="U710" s="53" t="s">
        <v>4654</v>
      </c>
    </row>
    <row r="711">
      <c r="A711" s="54" t="s">
        <v>4655</v>
      </c>
      <c r="B711" s="50" t="s">
        <v>4656</v>
      </c>
      <c r="C711" s="51" t="s">
        <v>4657</v>
      </c>
      <c r="D711" s="51"/>
      <c r="E711" s="51"/>
      <c r="F711" s="51"/>
      <c r="G711" s="50" t="s">
        <v>4658</v>
      </c>
      <c r="H711" s="52">
        <v>44683.40386574074</v>
      </c>
      <c r="I711" s="50"/>
      <c r="J711" s="50"/>
      <c r="K711" s="50"/>
      <c r="L711" s="50"/>
      <c r="M711" s="50" t="s">
        <v>4659</v>
      </c>
      <c r="N711" s="50"/>
      <c r="O711" s="53" t="s">
        <v>217</v>
      </c>
      <c r="P711" s="55" t="s">
        <v>4660</v>
      </c>
      <c r="Q711" s="50">
        <v>1224.0</v>
      </c>
      <c r="R711" s="50">
        <v>1709.0</v>
      </c>
      <c r="S711" s="50" t="s">
        <v>4661</v>
      </c>
      <c r="T711" s="56" t="s">
        <v>4662</v>
      </c>
      <c r="U711" s="53" t="s">
        <v>4663</v>
      </c>
    </row>
    <row r="712">
      <c r="A712" s="54" t="s">
        <v>4664</v>
      </c>
      <c r="B712" s="50" t="s">
        <v>4665</v>
      </c>
      <c r="C712" s="51" t="s">
        <v>4666</v>
      </c>
      <c r="D712" s="51"/>
      <c r="E712" s="51"/>
      <c r="F712" s="51"/>
      <c r="G712" s="50" t="s">
        <v>4667</v>
      </c>
      <c r="H712" s="52">
        <v>44683.40385416667</v>
      </c>
      <c r="I712" s="50"/>
      <c r="J712" s="50"/>
      <c r="K712" s="50"/>
      <c r="L712" s="50"/>
      <c r="M712" s="50" t="s">
        <v>4668</v>
      </c>
      <c r="N712" s="50"/>
      <c r="O712" s="53" t="s">
        <v>217</v>
      </c>
      <c r="P712" s="55" t="s">
        <v>4669</v>
      </c>
      <c r="Q712" s="50">
        <v>40.0</v>
      </c>
      <c r="R712" s="50">
        <v>125.0</v>
      </c>
      <c r="S712" s="50" t="s">
        <v>4670</v>
      </c>
      <c r="T712" s="56" t="s">
        <v>4671</v>
      </c>
      <c r="U712" s="53" t="s">
        <v>4672</v>
      </c>
    </row>
    <row r="713">
      <c r="A713" s="54" t="s">
        <v>4673</v>
      </c>
      <c r="B713" s="50" t="s">
        <v>4674</v>
      </c>
      <c r="C713" s="51" t="s">
        <v>4675</v>
      </c>
      <c r="D713" s="51"/>
      <c r="E713" s="51"/>
      <c r="F713" s="51"/>
      <c r="G713" s="50" t="s">
        <v>4676</v>
      </c>
      <c r="H713" s="52">
        <v>44683.40372685185</v>
      </c>
      <c r="I713" s="50"/>
      <c r="J713" s="50"/>
      <c r="K713" s="50" t="s">
        <v>1947</v>
      </c>
      <c r="L713" s="50" t="s">
        <v>1948</v>
      </c>
      <c r="M713" s="50" t="s">
        <v>4677</v>
      </c>
      <c r="N713" s="50" t="s">
        <v>1950</v>
      </c>
      <c r="O713" s="53" t="s">
        <v>70</v>
      </c>
      <c r="P713" s="55" t="s">
        <v>4678</v>
      </c>
      <c r="Q713" s="50">
        <v>42.0</v>
      </c>
      <c r="R713" s="50">
        <v>2337.0</v>
      </c>
      <c r="S713" s="50" t="s">
        <v>4679</v>
      </c>
      <c r="T713" s="56" t="s">
        <v>4680</v>
      </c>
      <c r="U713" s="53" t="s">
        <v>4681</v>
      </c>
    </row>
    <row r="714">
      <c r="A714" s="54" t="s">
        <v>4682</v>
      </c>
      <c r="B714" s="50" t="s">
        <v>4683</v>
      </c>
      <c r="C714" s="51" t="s">
        <v>4684</v>
      </c>
      <c r="D714" s="51"/>
      <c r="E714" s="51"/>
      <c r="F714" s="51"/>
      <c r="G714" s="50" t="s">
        <v>4685</v>
      </c>
      <c r="H714" s="52">
        <v>44683.40364583333</v>
      </c>
      <c r="I714" s="50"/>
      <c r="J714" s="50"/>
      <c r="K714" s="50" t="s">
        <v>4686</v>
      </c>
      <c r="L714" s="50" t="s">
        <v>4687</v>
      </c>
      <c r="M714" s="50" t="s">
        <v>4688</v>
      </c>
      <c r="N714" s="50" t="s">
        <v>4689</v>
      </c>
      <c r="O714" s="53" t="s">
        <v>70</v>
      </c>
      <c r="P714" s="55" t="s">
        <v>4690</v>
      </c>
      <c r="Q714" s="50">
        <v>11465.0</v>
      </c>
      <c r="R714" s="50">
        <v>11642.0</v>
      </c>
      <c r="S714" s="50" t="s">
        <v>658</v>
      </c>
      <c r="T714" s="56" t="s">
        <v>4691</v>
      </c>
      <c r="U714" s="53" t="s">
        <v>4692</v>
      </c>
    </row>
    <row r="715">
      <c r="A715" s="54" t="s">
        <v>4693</v>
      </c>
      <c r="B715" s="50" t="s">
        <v>4694</v>
      </c>
      <c r="C715" s="51" t="s">
        <v>367</v>
      </c>
      <c r="D715" s="51"/>
      <c r="E715" s="51"/>
      <c r="F715" s="51"/>
      <c r="G715" s="50" t="s">
        <v>4695</v>
      </c>
      <c r="H715" s="52">
        <v>44683.40354166667</v>
      </c>
      <c r="I715" s="50"/>
      <c r="J715" s="50"/>
      <c r="K715" s="50"/>
      <c r="L715" s="50"/>
      <c r="M715" s="50" t="s">
        <v>4696</v>
      </c>
      <c r="N715" s="50"/>
      <c r="O715" s="53" t="s">
        <v>92</v>
      </c>
      <c r="P715" s="55" t="s">
        <v>4697</v>
      </c>
      <c r="Q715" s="50">
        <v>209.0</v>
      </c>
      <c r="R715" s="50">
        <v>484.0</v>
      </c>
      <c r="S715" s="50" t="s">
        <v>4698</v>
      </c>
      <c r="T715" s="56" t="s">
        <v>4699</v>
      </c>
      <c r="U715" s="53" t="s">
        <v>370</v>
      </c>
    </row>
    <row r="716">
      <c r="A716" s="54" t="s">
        <v>4700</v>
      </c>
      <c r="B716" s="50" t="s">
        <v>4701</v>
      </c>
      <c r="C716" s="51" t="s">
        <v>367</v>
      </c>
      <c r="D716" s="51"/>
      <c r="E716" s="51"/>
      <c r="F716" s="51"/>
      <c r="G716" s="50" t="s">
        <v>4702</v>
      </c>
      <c r="H716" s="52">
        <v>44683.40353009259</v>
      </c>
      <c r="I716" s="50"/>
      <c r="J716" s="50"/>
      <c r="K716" s="50"/>
      <c r="L716" s="50"/>
      <c r="M716" s="50" t="s">
        <v>4703</v>
      </c>
      <c r="N716" s="50"/>
      <c r="O716" s="53" t="s">
        <v>70</v>
      </c>
      <c r="P716" s="55" t="s">
        <v>4704</v>
      </c>
      <c r="Q716" s="50">
        <v>338.0</v>
      </c>
      <c r="R716" s="50">
        <v>708.0</v>
      </c>
      <c r="S716" s="50" t="s">
        <v>4705</v>
      </c>
      <c r="T716" s="56" t="s">
        <v>4706</v>
      </c>
      <c r="U716" s="53" t="s">
        <v>370</v>
      </c>
    </row>
    <row r="717">
      <c r="A717" s="54" t="s">
        <v>4707</v>
      </c>
      <c r="B717" s="50" t="s">
        <v>4389</v>
      </c>
      <c r="C717" s="51" t="s">
        <v>4708</v>
      </c>
      <c r="D717" s="51"/>
      <c r="E717" s="51"/>
      <c r="F717" s="51"/>
      <c r="G717" s="50" t="s">
        <v>4709</v>
      </c>
      <c r="H717" s="52">
        <v>44683.403460648144</v>
      </c>
      <c r="I717" s="50"/>
      <c r="J717" s="50"/>
      <c r="K717" s="50" t="s">
        <v>3884</v>
      </c>
      <c r="L717" s="50" t="s">
        <v>3881</v>
      </c>
      <c r="M717" s="50" t="s">
        <v>4391</v>
      </c>
      <c r="N717" s="50" t="s">
        <v>4710</v>
      </c>
      <c r="O717" s="53" t="s">
        <v>70</v>
      </c>
      <c r="P717" s="55" t="s">
        <v>4392</v>
      </c>
      <c r="Q717" s="50">
        <v>8141.0</v>
      </c>
      <c r="R717" s="50">
        <v>4878.0</v>
      </c>
      <c r="S717" s="50" t="s">
        <v>805</v>
      </c>
      <c r="T717" s="56" t="s">
        <v>4711</v>
      </c>
      <c r="U717" s="53" t="s">
        <v>4712</v>
      </c>
    </row>
    <row r="718">
      <c r="A718" s="54" t="s">
        <v>4713</v>
      </c>
      <c r="B718" s="50" t="s">
        <v>4714</v>
      </c>
      <c r="C718" s="51" t="s">
        <v>316</v>
      </c>
      <c r="D718" s="51"/>
      <c r="E718" s="51"/>
      <c r="F718" s="51"/>
      <c r="G718" s="50" t="s">
        <v>4715</v>
      </c>
      <c r="H718" s="52">
        <v>44683.40341435185</v>
      </c>
      <c r="I718" s="50"/>
      <c r="J718" s="50"/>
      <c r="K718" s="50"/>
      <c r="L718" s="50"/>
      <c r="M718" s="50" t="s">
        <v>4716</v>
      </c>
      <c r="N718" s="50"/>
      <c r="O718" s="53" t="s">
        <v>217</v>
      </c>
      <c r="P718" s="55" t="s">
        <v>4717</v>
      </c>
      <c r="Q718" s="50">
        <v>1015.0</v>
      </c>
      <c r="R718" s="50">
        <v>989.0</v>
      </c>
      <c r="S718" s="50" t="s">
        <v>3291</v>
      </c>
      <c r="T718" s="56" t="s">
        <v>4718</v>
      </c>
      <c r="U718" s="53" t="s">
        <v>322</v>
      </c>
    </row>
    <row r="719">
      <c r="A719" s="54" t="s">
        <v>4719</v>
      </c>
      <c r="B719" s="50" t="s">
        <v>4714</v>
      </c>
      <c r="C719" s="51" t="s">
        <v>329</v>
      </c>
      <c r="D719" s="51"/>
      <c r="E719" s="51"/>
      <c r="F719" s="51"/>
      <c r="G719" s="50" t="s">
        <v>4720</v>
      </c>
      <c r="H719" s="52">
        <v>44683.40337962963</v>
      </c>
      <c r="I719" s="50"/>
      <c r="J719" s="50"/>
      <c r="K719" s="50"/>
      <c r="L719" s="50"/>
      <c r="M719" s="50" t="s">
        <v>4716</v>
      </c>
      <c r="N719" s="50"/>
      <c r="O719" s="53" t="s">
        <v>217</v>
      </c>
      <c r="P719" s="55" t="s">
        <v>4717</v>
      </c>
      <c r="Q719" s="50">
        <v>1015.0</v>
      </c>
      <c r="R719" s="50">
        <v>989.0</v>
      </c>
      <c r="S719" s="50" t="s">
        <v>3291</v>
      </c>
      <c r="T719" s="56" t="s">
        <v>4721</v>
      </c>
      <c r="U719" s="53" t="s">
        <v>332</v>
      </c>
    </row>
    <row r="720">
      <c r="A720" s="54" t="s">
        <v>4722</v>
      </c>
      <c r="B720" s="50" t="s">
        <v>4723</v>
      </c>
      <c r="C720" s="51" t="s">
        <v>4657</v>
      </c>
      <c r="D720" s="51"/>
      <c r="E720" s="51"/>
      <c r="F720" s="51"/>
      <c r="G720" s="50" t="s">
        <v>4724</v>
      </c>
      <c r="H720" s="52">
        <v>44683.40319444444</v>
      </c>
      <c r="I720" s="50"/>
      <c r="J720" s="50"/>
      <c r="K720" s="50"/>
      <c r="L720" s="50"/>
      <c r="M720" s="50" t="s">
        <v>4725</v>
      </c>
      <c r="N720" s="50"/>
      <c r="O720" s="53" t="s">
        <v>70</v>
      </c>
      <c r="P720" s="55" t="s">
        <v>4726</v>
      </c>
      <c r="Q720" s="50">
        <v>995.0</v>
      </c>
      <c r="R720" s="50">
        <v>1152.0</v>
      </c>
      <c r="S720" s="50"/>
      <c r="T720" s="56" t="s">
        <v>4727</v>
      </c>
      <c r="U720" s="53" t="s">
        <v>4663</v>
      </c>
    </row>
    <row r="721">
      <c r="A721" s="54" t="s">
        <v>4728</v>
      </c>
      <c r="B721" s="50" t="s">
        <v>4729</v>
      </c>
      <c r="C721" s="51" t="s">
        <v>687</v>
      </c>
      <c r="D721" s="51"/>
      <c r="E721" s="51"/>
      <c r="F721" s="51"/>
      <c r="G721" s="50" t="s">
        <v>4730</v>
      </c>
      <c r="H721" s="52">
        <v>44683.40303240741</v>
      </c>
      <c r="I721" s="50"/>
      <c r="J721" s="50"/>
      <c r="K721" s="50"/>
      <c r="L721" s="50"/>
      <c r="M721" s="50" t="s">
        <v>4731</v>
      </c>
      <c r="N721" s="50"/>
      <c r="O721" s="53" t="s">
        <v>70</v>
      </c>
      <c r="P721" s="55" t="s">
        <v>4732</v>
      </c>
      <c r="Q721" s="50">
        <v>2453.0</v>
      </c>
      <c r="R721" s="50">
        <v>1125.0</v>
      </c>
      <c r="S721" s="50"/>
      <c r="T721" s="56" t="s">
        <v>4733</v>
      </c>
      <c r="U721" s="53" t="s">
        <v>691</v>
      </c>
    </row>
    <row r="722">
      <c r="A722" s="54" t="s">
        <v>4734</v>
      </c>
      <c r="B722" s="50" t="s">
        <v>4735</v>
      </c>
      <c r="C722" s="51" t="s">
        <v>367</v>
      </c>
      <c r="D722" s="51"/>
      <c r="E722" s="51"/>
      <c r="F722" s="51"/>
      <c r="G722" s="50" t="s">
        <v>4736</v>
      </c>
      <c r="H722" s="52">
        <v>44683.402974537035</v>
      </c>
      <c r="I722" s="50"/>
      <c r="J722" s="50"/>
      <c r="K722" s="50"/>
      <c r="L722" s="50"/>
      <c r="M722" s="50" t="s">
        <v>4737</v>
      </c>
      <c r="N722" s="50"/>
      <c r="O722" s="53" t="s">
        <v>92</v>
      </c>
      <c r="P722" s="55" t="s">
        <v>4738</v>
      </c>
      <c r="Q722" s="50">
        <v>259.0</v>
      </c>
      <c r="R722" s="50">
        <v>527.0</v>
      </c>
      <c r="S722" s="50" t="s">
        <v>1007</v>
      </c>
      <c r="T722" s="56" t="s">
        <v>4739</v>
      </c>
      <c r="U722" s="53" t="s">
        <v>370</v>
      </c>
    </row>
    <row r="723">
      <c r="A723" s="54" t="s">
        <v>4740</v>
      </c>
      <c r="B723" s="50" t="s">
        <v>4741</v>
      </c>
      <c r="C723" s="51" t="s">
        <v>329</v>
      </c>
      <c r="D723" s="51"/>
      <c r="E723" s="51"/>
      <c r="F723" s="51"/>
      <c r="G723" s="50" t="s">
        <v>4742</v>
      </c>
      <c r="H723" s="52">
        <v>44683.40292824074</v>
      </c>
      <c r="I723" s="50"/>
      <c r="J723" s="50"/>
      <c r="K723" s="50"/>
      <c r="L723" s="50"/>
      <c r="M723" s="50" t="s">
        <v>4743</v>
      </c>
      <c r="N723" s="50"/>
      <c r="O723" s="53" t="s">
        <v>217</v>
      </c>
      <c r="P723" s="55" t="s">
        <v>4744</v>
      </c>
      <c r="Q723" s="50">
        <v>833.0</v>
      </c>
      <c r="R723" s="50">
        <v>1559.0</v>
      </c>
      <c r="S723" s="50"/>
      <c r="T723" s="56" t="s">
        <v>4745</v>
      </c>
      <c r="U723" s="53" t="s">
        <v>332</v>
      </c>
    </row>
    <row r="724">
      <c r="A724" s="54" t="s">
        <v>4746</v>
      </c>
      <c r="B724" s="50" t="s">
        <v>4747</v>
      </c>
      <c r="C724" s="51" t="s">
        <v>367</v>
      </c>
      <c r="D724" s="51"/>
      <c r="E724" s="51"/>
      <c r="F724" s="51"/>
      <c r="G724" s="50" t="s">
        <v>4748</v>
      </c>
      <c r="H724" s="52">
        <v>44683.40289351852</v>
      </c>
      <c r="I724" s="50"/>
      <c r="J724" s="50"/>
      <c r="K724" s="50"/>
      <c r="L724" s="50"/>
      <c r="M724" s="50" t="s">
        <v>4749</v>
      </c>
      <c r="N724" s="50"/>
      <c r="O724" s="53" t="s">
        <v>70</v>
      </c>
      <c r="P724" s="55" t="s">
        <v>4750</v>
      </c>
      <c r="Q724" s="50">
        <v>950.0</v>
      </c>
      <c r="R724" s="50">
        <v>2511.0</v>
      </c>
      <c r="S724" s="50"/>
      <c r="T724" s="56" t="s">
        <v>4751</v>
      </c>
      <c r="U724" s="53" t="s">
        <v>370</v>
      </c>
    </row>
    <row r="725">
      <c r="A725" s="54" t="s">
        <v>4752</v>
      </c>
      <c r="B725" s="50" t="s">
        <v>4753</v>
      </c>
      <c r="C725" s="51" t="s">
        <v>4754</v>
      </c>
      <c r="D725" s="51"/>
      <c r="E725" s="51"/>
      <c r="F725" s="51"/>
      <c r="G725" s="50" t="s">
        <v>4755</v>
      </c>
      <c r="H725" s="52">
        <v>44683.40277777778</v>
      </c>
      <c r="I725" s="50"/>
      <c r="J725" s="50"/>
      <c r="K725" s="50"/>
      <c r="L725" s="50"/>
      <c r="M725" s="50" t="s">
        <v>4756</v>
      </c>
      <c r="N725" s="50"/>
      <c r="O725" s="53" t="s">
        <v>783</v>
      </c>
      <c r="P725" s="55" t="s">
        <v>4757</v>
      </c>
      <c r="Q725" s="50">
        <v>22158.0</v>
      </c>
      <c r="R725" s="50">
        <v>1107.0</v>
      </c>
      <c r="S725" s="50"/>
      <c r="T725" s="56" t="s">
        <v>4758</v>
      </c>
      <c r="U725" s="53" t="s">
        <v>4759</v>
      </c>
    </row>
    <row r="726">
      <c r="A726" s="54" t="s">
        <v>4760</v>
      </c>
      <c r="B726" s="50" t="s">
        <v>4761</v>
      </c>
      <c r="C726" s="51" t="s">
        <v>4762</v>
      </c>
      <c r="D726" s="51"/>
      <c r="E726" s="51"/>
      <c r="F726" s="51"/>
      <c r="G726" s="50" t="s">
        <v>4763</v>
      </c>
      <c r="H726" s="52">
        <v>44683.402719907404</v>
      </c>
      <c r="I726" s="50"/>
      <c r="J726" s="50"/>
      <c r="K726" s="50"/>
      <c r="L726" s="50"/>
      <c r="M726" s="50" t="s">
        <v>4764</v>
      </c>
      <c r="N726" s="50"/>
      <c r="O726" s="53" t="s">
        <v>217</v>
      </c>
      <c r="P726" s="55" t="s">
        <v>4765</v>
      </c>
      <c r="Q726" s="50">
        <v>2212.0</v>
      </c>
      <c r="R726" s="50">
        <v>4380.0</v>
      </c>
      <c r="S726" s="50" t="s">
        <v>4766</v>
      </c>
      <c r="T726" s="56" t="s">
        <v>4767</v>
      </c>
      <c r="U726" s="53" t="s">
        <v>4768</v>
      </c>
    </row>
    <row r="727">
      <c r="A727" s="54" t="s">
        <v>4769</v>
      </c>
      <c r="B727" s="50" t="s">
        <v>4741</v>
      </c>
      <c r="C727" s="51" t="s">
        <v>367</v>
      </c>
      <c r="D727" s="51"/>
      <c r="E727" s="51"/>
      <c r="F727" s="51"/>
      <c r="G727" s="50" t="s">
        <v>4770</v>
      </c>
      <c r="H727" s="52">
        <v>44683.402708333335</v>
      </c>
      <c r="I727" s="50"/>
      <c r="J727" s="50"/>
      <c r="K727" s="50"/>
      <c r="L727" s="50"/>
      <c r="M727" s="50" t="s">
        <v>4743</v>
      </c>
      <c r="N727" s="50"/>
      <c r="O727" s="53" t="s">
        <v>217</v>
      </c>
      <c r="P727" s="55" t="s">
        <v>4744</v>
      </c>
      <c r="Q727" s="50">
        <v>833.0</v>
      </c>
      <c r="R727" s="50">
        <v>1559.0</v>
      </c>
      <c r="S727" s="50"/>
      <c r="T727" s="56" t="s">
        <v>4771</v>
      </c>
      <c r="U727" s="53" t="s">
        <v>370</v>
      </c>
    </row>
    <row r="728">
      <c r="A728" s="54" t="s">
        <v>4772</v>
      </c>
      <c r="B728" s="50" t="s">
        <v>4714</v>
      </c>
      <c r="C728" s="51" t="s">
        <v>367</v>
      </c>
      <c r="D728" s="51"/>
      <c r="E728" s="51"/>
      <c r="F728" s="51"/>
      <c r="G728" s="50" t="s">
        <v>4773</v>
      </c>
      <c r="H728" s="52">
        <v>44683.40267361111</v>
      </c>
      <c r="I728" s="50"/>
      <c r="J728" s="50"/>
      <c r="K728" s="50"/>
      <c r="L728" s="50"/>
      <c r="M728" s="50" t="s">
        <v>4716</v>
      </c>
      <c r="N728" s="50"/>
      <c r="O728" s="53" t="s">
        <v>217</v>
      </c>
      <c r="P728" s="55" t="s">
        <v>4717</v>
      </c>
      <c r="Q728" s="50">
        <v>1015.0</v>
      </c>
      <c r="R728" s="50">
        <v>989.0</v>
      </c>
      <c r="S728" s="50" t="s">
        <v>3291</v>
      </c>
      <c r="T728" s="56" t="s">
        <v>4774</v>
      </c>
      <c r="U728" s="53" t="s">
        <v>370</v>
      </c>
    </row>
    <row r="729">
      <c r="A729" s="54" t="s">
        <v>4775</v>
      </c>
      <c r="B729" s="50" t="s">
        <v>4776</v>
      </c>
      <c r="C729" s="51" t="s">
        <v>855</v>
      </c>
      <c r="D729" s="51"/>
      <c r="E729" s="51"/>
      <c r="F729" s="51"/>
      <c r="G729" s="50" t="s">
        <v>4777</v>
      </c>
      <c r="H729" s="52">
        <v>44683.40261574074</v>
      </c>
      <c r="I729" s="50"/>
      <c r="J729" s="50"/>
      <c r="K729" s="50"/>
      <c r="L729" s="50"/>
      <c r="M729" s="50" t="s">
        <v>4778</v>
      </c>
      <c r="N729" s="50"/>
      <c r="O729" s="53" t="s">
        <v>1070</v>
      </c>
      <c r="P729" s="55" t="s">
        <v>4779</v>
      </c>
      <c r="Q729" s="50">
        <v>3368.0</v>
      </c>
      <c r="R729" s="50">
        <v>2643.0</v>
      </c>
      <c r="S729" s="50" t="s">
        <v>4780</v>
      </c>
      <c r="T729" s="56" t="s">
        <v>4781</v>
      </c>
      <c r="U729" s="53" t="s">
        <v>861</v>
      </c>
    </row>
    <row r="730">
      <c r="A730" s="54" t="s">
        <v>4782</v>
      </c>
      <c r="B730" s="50" t="s">
        <v>4783</v>
      </c>
      <c r="C730" s="51" t="s">
        <v>329</v>
      </c>
      <c r="D730" s="51"/>
      <c r="E730" s="51"/>
      <c r="F730" s="51"/>
      <c r="G730" s="50" t="s">
        <v>4784</v>
      </c>
      <c r="H730" s="52">
        <v>44683.40258101852</v>
      </c>
      <c r="I730" s="50"/>
      <c r="J730" s="50"/>
      <c r="K730" s="50"/>
      <c r="L730" s="50"/>
      <c r="M730" s="50" t="s">
        <v>4785</v>
      </c>
      <c r="N730" s="50"/>
      <c r="O730" s="53" t="s">
        <v>92</v>
      </c>
      <c r="P730" s="55" t="s">
        <v>4786</v>
      </c>
      <c r="Q730" s="50">
        <v>1814.0</v>
      </c>
      <c r="R730" s="50">
        <v>4999.0</v>
      </c>
      <c r="S730" s="50" t="s">
        <v>4787</v>
      </c>
      <c r="T730" s="56" t="s">
        <v>4788</v>
      </c>
      <c r="U730" s="53" t="s">
        <v>332</v>
      </c>
    </row>
    <row r="731">
      <c r="A731" s="54" t="s">
        <v>4789</v>
      </c>
      <c r="B731" s="50" t="s">
        <v>4790</v>
      </c>
      <c r="C731" s="51" t="s">
        <v>1402</v>
      </c>
      <c r="D731" s="51"/>
      <c r="E731" s="51"/>
      <c r="F731" s="51"/>
      <c r="G731" s="50" t="s">
        <v>4791</v>
      </c>
      <c r="H731" s="52">
        <v>44683.402245370366</v>
      </c>
      <c r="I731" s="50"/>
      <c r="J731" s="50"/>
      <c r="K731" s="50"/>
      <c r="L731" s="50"/>
      <c r="M731" s="50" t="s">
        <v>4792</v>
      </c>
      <c r="N731" s="50"/>
      <c r="O731" s="53" t="s">
        <v>217</v>
      </c>
      <c r="P731" s="55" t="s">
        <v>4793</v>
      </c>
      <c r="Q731" s="50">
        <v>3898.0</v>
      </c>
      <c r="R731" s="50">
        <v>3753.0</v>
      </c>
      <c r="S731" s="50" t="s">
        <v>4794</v>
      </c>
      <c r="T731" s="56" t="s">
        <v>4795</v>
      </c>
      <c r="U731" s="53" t="s">
        <v>1408</v>
      </c>
    </row>
    <row r="732">
      <c r="A732" s="54" t="s">
        <v>4796</v>
      </c>
      <c r="B732" s="50" t="s">
        <v>3101</v>
      </c>
      <c r="C732" s="51" t="s">
        <v>2630</v>
      </c>
      <c r="D732" s="51"/>
      <c r="E732" s="51"/>
      <c r="F732" s="51"/>
      <c r="G732" s="50" t="s">
        <v>4797</v>
      </c>
      <c r="H732" s="52">
        <v>44683.40210648148</v>
      </c>
      <c r="I732" s="50"/>
      <c r="J732" s="50"/>
      <c r="K732" s="50"/>
      <c r="L732" s="50"/>
      <c r="M732" s="50" t="s">
        <v>3103</v>
      </c>
      <c r="N732" s="50"/>
      <c r="O732" s="53" t="s">
        <v>217</v>
      </c>
      <c r="P732" s="55" t="s">
        <v>354</v>
      </c>
      <c r="Q732" s="50">
        <v>416.0</v>
      </c>
      <c r="R732" s="50">
        <v>167.0</v>
      </c>
      <c r="S732" s="50"/>
      <c r="T732" s="56" t="s">
        <v>4798</v>
      </c>
      <c r="U732" s="53" t="s">
        <v>691</v>
      </c>
    </row>
    <row r="733">
      <c r="A733" s="54" t="s">
        <v>4799</v>
      </c>
      <c r="B733" s="50" t="s">
        <v>4800</v>
      </c>
      <c r="C733" s="51" t="s">
        <v>316</v>
      </c>
      <c r="D733" s="51"/>
      <c r="E733" s="51"/>
      <c r="F733" s="51"/>
      <c r="G733" s="50" t="s">
        <v>4801</v>
      </c>
      <c r="H733" s="52">
        <v>44683.40195601852</v>
      </c>
      <c r="I733" s="50"/>
      <c r="J733" s="50"/>
      <c r="K733" s="50"/>
      <c r="L733" s="50"/>
      <c r="M733" s="50" t="s">
        <v>4802</v>
      </c>
      <c r="N733" s="50"/>
      <c r="O733" s="53" t="s">
        <v>92</v>
      </c>
      <c r="P733" s="55" t="s">
        <v>4803</v>
      </c>
      <c r="Q733" s="50">
        <v>26.0</v>
      </c>
      <c r="R733" s="50">
        <v>338.0</v>
      </c>
      <c r="S733" s="50"/>
      <c r="T733" s="56" t="s">
        <v>4804</v>
      </c>
      <c r="U733" s="53" t="s">
        <v>322</v>
      </c>
    </row>
    <row r="734">
      <c r="A734" s="54" t="s">
        <v>4805</v>
      </c>
      <c r="B734" s="50" t="s">
        <v>4806</v>
      </c>
      <c r="C734" s="51" t="s">
        <v>687</v>
      </c>
      <c r="D734" s="51"/>
      <c r="E734" s="51"/>
      <c r="F734" s="51"/>
      <c r="G734" s="50" t="s">
        <v>4807</v>
      </c>
      <c r="H734" s="52">
        <v>44683.401770833334</v>
      </c>
      <c r="I734" s="50"/>
      <c r="J734" s="50"/>
      <c r="K734" s="50"/>
      <c r="L734" s="50"/>
      <c r="M734" s="50" t="s">
        <v>4808</v>
      </c>
      <c r="N734" s="50"/>
      <c r="O734" s="53" t="s">
        <v>92</v>
      </c>
      <c r="P734" s="55" t="s">
        <v>4809</v>
      </c>
      <c r="Q734" s="50">
        <v>1565.0</v>
      </c>
      <c r="R734" s="50">
        <v>3663.0</v>
      </c>
      <c r="S734" s="50" t="s">
        <v>379</v>
      </c>
      <c r="T734" s="56" t="s">
        <v>4810</v>
      </c>
      <c r="U734" s="53" t="s">
        <v>691</v>
      </c>
    </row>
    <row r="735">
      <c r="A735" s="54" t="s">
        <v>4811</v>
      </c>
      <c r="B735" s="50" t="s">
        <v>4812</v>
      </c>
      <c r="C735" s="51" t="s">
        <v>367</v>
      </c>
      <c r="D735" s="51"/>
      <c r="E735" s="51"/>
      <c r="F735" s="51"/>
      <c r="G735" s="50" t="s">
        <v>4813</v>
      </c>
      <c r="H735" s="52">
        <v>44683.40157407407</v>
      </c>
      <c r="I735" s="50"/>
      <c r="J735" s="50"/>
      <c r="K735" s="50"/>
      <c r="L735" s="50"/>
      <c r="M735" s="50" t="s">
        <v>4814</v>
      </c>
      <c r="N735" s="50"/>
      <c r="O735" s="53" t="s">
        <v>92</v>
      </c>
      <c r="P735" s="55" t="s">
        <v>4815</v>
      </c>
      <c r="Q735" s="50">
        <v>512.0</v>
      </c>
      <c r="R735" s="50">
        <v>806.0</v>
      </c>
      <c r="S735" s="50" t="s">
        <v>912</v>
      </c>
      <c r="T735" s="56" t="s">
        <v>4816</v>
      </c>
      <c r="U735" s="53" t="s">
        <v>370</v>
      </c>
    </row>
    <row r="736">
      <c r="A736" s="54" t="s">
        <v>4817</v>
      </c>
      <c r="B736" s="50" t="s">
        <v>4800</v>
      </c>
      <c r="C736" s="51" t="s">
        <v>367</v>
      </c>
      <c r="D736" s="51"/>
      <c r="E736" s="51"/>
      <c r="F736" s="51"/>
      <c r="G736" s="50" t="s">
        <v>4818</v>
      </c>
      <c r="H736" s="52">
        <v>44683.401550925926</v>
      </c>
      <c r="I736" s="50"/>
      <c r="J736" s="50"/>
      <c r="K736" s="50"/>
      <c r="L736" s="50"/>
      <c r="M736" s="50" t="s">
        <v>4802</v>
      </c>
      <c r="N736" s="50"/>
      <c r="O736" s="53" t="s">
        <v>92</v>
      </c>
      <c r="P736" s="55" t="s">
        <v>4803</v>
      </c>
      <c r="Q736" s="50">
        <v>26.0</v>
      </c>
      <c r="R736" s="50">
        <v>338.0</v>
      </c>
      <c r="S736" s="50"/>
      <c r="T736" s="56" t="s">
        <v>4819</v>
      </c>
      <c r="U736" s="53" t="s">
        <v>370</v>
      </c>
    </row>
    <row r="737">
      <c r="A737" s="54" t="s">
        <v>4820</v>
      </c>
      <c r="B737" s="50" t="s">
        <v>4761</v>
      </c>
      <c r="C737" s="51" t="s">
        <v>316</v>
      </c>
      <c r="D737" s="51"/>
      <c r="E737" s="51"/>
      <c r="F737" s="51"/>
      <c r="G737" s="50" t="s">
        <v>4821</v>
      </c>
      <c r="H737" s="52">
        <v>44683.40141203704</v>
      </c>
      <c r="I737" s="50"/>
      <c r="J737" s="50"/>
      <c r="K737" s="50"/>
      <c r="L737" s="50"/>
      <c r="M737" s="50" t="s">
        <v>4764</v>
      </c>
      <c r="N737" s="50"/>
      <c r="O737" s="53" t="s">
        <v>217</v>
      </c>
      <c r="P737" s="55" t="s">
        <v>4765</v>
      </c>
      <c r="Q737" s="50">
        <v>2212.0</v>
      </c>
      <c r="R737" s="50">
        <v>4380.0</v>
      </c>
      <c r="S737" s="50" t="s">
        <v>4766</v>
      </c>
      <c r="T737" s="56" t="s">
        <v>4822</v>
      </c>
      <c r="U737" s="53" t="s">
        <v>322</v>
      </c>
    </row>
    <row r="738">
      <c r="A738" s="54" t="s">
        <v>4823</v>
      </c>
      <c r="B738" s="50" t="s">
        <v>4150</v>
      </c>
      <c r="C738" s="51" t="s">
        <v>367</v>
      </c>
      <c r="D738" s="51"/>
      <c r="E738" s="51"/>
      <c r="F738" s="51"/>
      <c r="G738" s="50" t="s">
        <v>4824</v>
      </c>
      <c r="H738" s="52">
        <v>44683.40136574074</v>
      </c>
      <c r="I738" s="50"/>
      <c r="J738" s="50"/>
      <c r="K738" s="50"/>
      <c r="L738" s="50"/>
      <c r="M738" s="50" t="s">
        <v>4152</v>
      </c>
      <c r="N738" s="50"/>
      <c r="O738" s="53" t="s">
        <v>70</v>
      </c>
      <c r="P738" s="55" t="s">
        <v>354</v>
      </c>
      <c r="Q738" s="50">
        <v>1.0</v>
      </c>
      <c r="R738" s="50">
        <v>3.0</v>
      </c>
      <c r="S738" s="50"/>
      <c r="T738" s="56" t="s">
        <v>4825</v>
      </c>
      <c r="U738" s="53" t="s">
        <v>370</v>
      </c>
    </row>
    <row r="739">
      <c r="A739" s="54" t="s">
        <v>4826</v>
      </c>
      <c r="B739" s="50" t="s">
        <v>4827</v>
      </c>
      <c r="C739" s="51" t="s">
        <v>367</v>
      </c>
      <c r="D739" s="51"/>
      <c r="E739" s="51"/>
      <c r="F739" s="51"/>
      <c r="G739" s="50" t="s">
        <v>4828</v>
      </c>
      <c r="H739" s="52">
        <v>44683.401342592595</v>
      </c>
      <c r="I739" s="50"/>
      <c r="J739" s="50"/>
      <c r="K739" s="50"/>
      <c r="L739" s="50"/>
      <c r="M739" s="50" t="s">
        <v>4829</v>
      </c>
      <c r="N739" s="50"/>
      <c r="O739" s="53" t="s">
        <v>60</v>
      </c>
      <c r="P739" s="55" t="s">
        <v>4830</v>
      </c>
      <c r="Q739" s="50">
        <v>1123.0</v>
      </c>
      <c r="R739" s="50">
        <v>1147.0</v>
      </c>
      <c r="S739" s="50" t="s">
        <v>4831</v>
      </c>
      <c r="T739" s="56" t="s">
        <v>4832</v>
      </c>
      <c r="U739" s="53" t="s">
        <v>370</v>
      </c>
    </row>
    <row r="740">
      <c r="A740" s="54" t="s">
        <v>4833</v>
      </c>
      <c r="B740" s="50" t="s">
        <v>4834</v>
      </c>
      <c r="C740" s="51" t="s">
        <v>4835</v>
      </c>
      <c r="D740" s="51"/>
      <c r="E740" s="51"/>
      <c r="F740" s="51"/>
      <c r="G740" s="50" t="s">
        <v>4836</v>
      </c>
      <c r="H740" s="52">
        <v>44683.40133101852</v>
      </c>
      <c r="I740" s="50"/>
      <c r="J740" s="50"/>
      <c r="K740" s="50" t="s">
        <v>4837</v>
      </c>
      <c r="L740" s="50" t="s">
        <v>4834</v>
      </c>
      <c r="M740" s="50" t="s">
        <v>4837</v>
      </c>
      <c r="N740" s="50" t="s">
        <v>4838</v>
      </c>
      <c r="O740" s="53" t="s">
        <v>92</v>
      </c>
      <c r="P740" s="55" t="s">
        <v>4839</v>
      </c>
      <c r="Q740" s="50"/>
      <c r="R740" s="50">
        <v>23.0</v>
      </c>
      <c r="S740" s="50"/>
      <c r="T740" s="56" t="s">
        <v>4840</v>
      </c>
      <c r="U740" s="53" t="s">
        <v>4841</v>
      </c>
    </row>
    <row r="741">
      <c r="A741" s="54" t="s">
        <v>4842</v>
      </c>
      <c r="B741" s="50" t="s">
        <v>4761</v>
      </c>
      <c r="C741" s="51" t="s">
        <v>329</v>
      </c>
      <c r="D741" s="51"/>
      <c r="E741" s="51"/>
      <c r="F741" s="51"/>
      <c r="G741" s="50" t="s">
        <v>4843</v>
      </c>
      <c r="H741" s="52">
        <v>44683.40128472222</v>
      </c>
      <c r="I741" s="50"/>
      <c r="J741" s="50"/>
      <c r="K741" s="50"/>
      <c r="L741" s="50"/>
      <c r="M741" s="50" t="s">
        <v>4764</v>
      </c>
      <c r="N741" s="50"/>
      <c r="O741" s="53" t="s">
        <v>217</v>
      </c>
      <c r="P741" s="55" t="s">
        <v>4765</v>
      </c>
      <c r="Q741" s="50">
        <v>2212.0</v>
      </c>
      <c r="R741" s="50">
        <v>4380.0</v>
      </c>
      <c r="S741" s="50" t="s">
        <v>4766</v>
      </c>
      <c r="T741" s="56" t="s">
        <v>4844</v>
      </c>
      <c r="U741" s="53" t="s">
        <v>332</v>
      </c>
    </row>
    <row r="742">
      <c r="A742" s="54" t="s">
        <v>4845</v>
      </c>
      <c r="B742" s="50" t="s">
        <v>4846</v>
      </c>
      <c r="C742" s="51" t="s">
        <v>316</v>
      </c>
      <c r="D742" s="51"/>
      <c r="E742" s="51"/>
      <c r="F742" s="51"/>
      <c r="G742" s="50" t="s">
        <v>4847</v>
      </c>
      <c r="H742" s="52">
        <v>44683.40116898148</v>
      </c>
      <c r="I742" s="50"/>
      <c r="J742" s="50"/>
      <c r="K742" s="50"/>
      <c r="L742" s="50"/>
      <c r="M742" s="50" t="s">
        <v>4848</v>
      </c>
      <c r="N742" s="50"/>
      <c r="O742" s="53" t="s">
        <v>70</v>
      </c>
      <c r="P742" s="55" t="s">
        <v>4849</v>
      </c>
      <c r="Q742" s="50">
        <v>1125.0</v>
      </c>
      <c r="R742" s="50">
        <v>2454.0</v>
      </c>
      <c r="S742" s="50" t="s">
        <v>4850</v>
      </c>
      <c r="T742" s="56" t="s">
        <v>4851</v>
      </c>
      <c r="U742" s="53" t="s">
        <v>322</v>
      </c>
    </row>
    <row r="743">
      <c r="A743" s="54" t="s">
        <v>4852</v>
      </c>
      <c r="B743" s="50" t="s">
        <v>4853</v>
      </c>
      <c r="C743" s="51" t="s">
        <v>367</v>
      </c>
      <c r="D743" s="51"/>
      <c r="E743" s="51"/>
      <c r="F743" s="51"/>
      <c r="G743" s="50" t="s">
        <v>4854</v>
      </c>
      <c r="H743" s="52">
        <v>44683.40115740741</v>
      </c>
      <c r="I743" s="50"/>
      <c r="J743" s="50"/>
      <c r="K743" s="50"/>
      <c r="L743" s="50"/>
      <c r="M743" s="50" t="s">
        <v>4855</v>
      </c>
      <c r="N743" s="50"/>
      <c r="O743" s="53" t="s">
        <v>70</v>
      </c>
      <c r="P743" s="55" t="s">
        <v>4856</v>
      </c>
      <c r="Q743" s="50">
        <v>2056.0</v>
      </c>
      <c r="R743" s="50">
        <v>2207.0</v>
      </c>
      <c r="S743" s="50" t="s">
        <v>4857</v>
      </c>
      <c r="T743" s="56" t="s">
        <v>4858</v>
      </c>
      <c r="U743" s="53" t="s">
        <v>370</v>
      </c>
    </row>
    <row r="744">
      <c r="A744" s="54" t="s">
        <v>4859</v>
      </c>
      <c r="B744" s="50" t="s">
        <v>4761</v>
      </c>
      <c r="C744" s="51" t="s">
        <v>335</v>
      </c>
      <c r="D744" s="51"/>
      <c r="E744" s="51"/>
      <c r="F744" s="51"/>
      <c r="G744" s="50" t="s">
        <v>4860</v>
      </c>
      <c r="H744" s="52">
        <v>44683.40114583333</v>
      </c>
      <c r="I744" s="50"/>
      <c r="J744" s="50"/>
      <c r="K744" s="50"/>
      <c r="L744" s="50"/>
      <c r="M744" s="50" t="s">
        <v>4764</v>
      </c>
      <c r="N744" s="50"/>
      <c r="O744" s="53" t="s">
        <v>217</v>
      </c>
      <c r="P744" s="55" t="s">
        <v>4765</v>
      </c>
      <c r="Q744" s="50">
        <v>2212.0</v>
      </c>
      <c r="R744" s="50">
        <v>4380.0</v>
      </c>
      <c r="S744" s="50" t="s">
        <v>4766</v>
      </c>
      <c r="T744" s="56" t="s">
        <v>4861</v>
      </c>
      <c r="U744" s="53" t="s">
        <v>339</v>
      </c>
    </row>
    <row r="745">
      <c r="A745" s="54" t="s">
        <v>4862</v>
      </c>
      <c r="B745" s="50" t="s">
        <v>4846</v>
      </c>
      <c r="C745" s="51" t="s">
        <v>329</v>
      </c>
      <c r="D745" s="51"/>
      <c r="E745" s="51"/>
      <c r="F745" s="51"/>
      <c r="G745" s="50" t="s">
        <v>4863</v>
      </c>
      <c r="H745" s="52">
        <v>44683.40105324074</v>
      </c>
      <c r="I745" s="50"/>
      <c r="J745" s="50"/>
      <c r="K745" s="50"/>
      <c r="L745" s="50"/>
      <c r="M745" s="50" t="s">
        <v>4848</v>
      </c>
      <c r="N745" s="50"/>
      <c r="O745" s="53" t="s">
        <v>70</v>
      </c>
      <c r="P745" s="55" t="s">
        <v>4849</v>
      </c>
      <c r="Q745" s="50">
        <v>1125.0</v>
      </c>
      <c r="R745" s="50">
        <v>2454.0</v>
      </c>
      <c r="S745" s="50" t="s">
        <v>4850</v>
      </c>
      <c r="T745" s="56" t="s">
        <v>4864</v>
      </c>
      <c r="U745" s="53" t="s">
        <v>332</v>
      </c>
    </row>
    <row r="746">
      <c r="A746" s="54" t="s">
        <v>4865</v>
      </c>
      <c r="B746" s="50" t="s">
        <v>4761</v>
      </c>
      <c r="C746" s="51" t="s">
        <v>363</v>
      </c>
      <c r="D746" s="51"/>
      <c r="E746" s="51"/>
      <c r="F746" s="51"/>
      <c r="G746" s="50" t="s">
        <v>4866</v>
      </c>
      <c r="H746" s="52">
        <v>44683.40096064815</v>
      </c>
      <c r="I746" s="50"/>
      <c r="J746" s="50"/>
      <c r="K746" s="50"/>
      <c r="L746" s="50"/>
      <c r="M746" s="50" t="s">
        <v>4764</v>
      </c>
      <c r="N746" s="50"/>
      <c r="O746" s="53" t="s">
        <v>217</v>
      </c>
      <c r="P746" s="55" t="s">
        <v>4765</v>
      </c>
      <c r="Q746" s="50">
        <v>2212.0</v>
      </c>
      <c r="R746" s="50">
        <v>4380.0</v>
      </c>
      <c r="S746" s="50" t="s">
        <v>4766</v>
      </c>
      <c r="T746" s="56" t="s">
        <v>4867</v>
      </c>
      <c r="U746" s="53" t="s">
        <v>332</v>
      </c>
    </row>
    <row r="747">
      <c r="A747" s="54" t="s">
        <v>4868</v>
      </c>
      <c r="B747" s="50" t="s">
        <v>4869</v>
      </c>
      <c r="C747" s="51" t="s">
        <v>4870</v>
      </c>
      <c r="D747" s="51"/>
      <c r="E747" s="51"/>
      <c r="F747" s="51"/>
      <c r="G747" s="50" t="s">
        <v>4871</v>
      </c>
      <c r="H747" s="52">
        <v>44683.400925925926</v>
      </c>
      <c r="I747" s="50"/>
      <c r="J747" s="50"/>
      <c r="K747" s="50"/>
      <c r="L747" s="50"/>
      <c r="M747" s="50" t="s">
        <v>4872</v>
      </c>
      <c r="N747" s="50"/>
      <c r="O747" s="53" t="s">
        <v>217</v>
      </c>
      <c r="P747" s="55" t="s">
        <v>4873</v>
      </c>
      <c r="Q747" s="50">
        <v>14816.0</v>
      </c>
      <c r="R747" s="50">
        <v>6762.0</v>
      </c>
      <c r="S747" s="50"/>
      <c r="T747" s="56" t="s">
        <v>4874</v>
      </c>
      <c r="U747" s="53" t="s">
        <v>4875</v>
      </c>
    </row>
    <row r="748">
      <c r="A748" s="54" t="s">
        <v>4876</v>
      </c>
      <c r="B748" s="50" t="s">
        <v>4761</v>
      </c>
      <c r="C748" s="51" t="s">
        <v>367</v>
      </c>
      <c r="D748" s="51"/>
      <c r="E748" s="51"/>
      <c r="F748" s="51"/>
      <c r="G748" s="50" t="s">
        <v>4877</v>
      </c>
      <c r="H748" s="52">
        <v>44683.4008912037</v>
      </c>
      <c r="I748" s="50"/>
      <c r="J748" s="50"/>
      <c r="K748" s="50"/>
      <c r="L748" s="50"/>
      <c r="M748" s="50" t="s">
        <v>4764</v>
      </c>
      <c r="N748" s="50"/>
      <c r="O748" s="53" t="s">
        <v>217</v>
      </c>
      <c r="P748" s="55" t="s">
        <v>4765</v>
      </c>
      <c r="Q748" s="50">
        <v>2212.0</v>
      </c>
      <c r="R748" s="50">
        <v>4380.0</v>
      </c>
      <c r="S748" s="50" t="s">
        <v>4766</v>
      </c>
      <c r="T748" s="56" t="s">
        <v>4878</v>
      </c>
      <c r="U748" s="53" t="s">
        <v>370</v>
      </c>
    </row>
    <row r="749">
      <c r="A749" s="54" t="s">
        <v>4879</v>
      </c>
      <c r="B749" s="50" t="s">
        <v>4880</v>
      </c>
      <c r="C749" s="51" t="s">
        <v>4881</v>
      </c>
      <c r="D749" s="51"/>
      <c r="E749" s="51"/>
      <c r="F749" s="51"/>
      <c r="G749" s="50" t="s">
        <v>4882</v>
      </c>
      <c r="H749" s="52">
        <v>44683.400624999995</v>
      </c>
      <c r="I749" s="50"/>
      <c r="J749" s="50"/>
      <c r="K749" s="50"/>
      <c r="L749" s="50"/>
      <c r="M749" s="50" t="s">
        <v>4883</v>
      </c>
      <c r="N749" s="50"/>
      <c r="O749" s="53" t="s">
        <v>60</v>
      </c>
      <c r="P749" s="55" t="s">
        <v>4884</v>
      </c>
      <c r="Q749" s="50">
        <v>1445.0</v>
      </c>
      <c r="R749" s="50">
        <v>1151.0</v>
      </c>
      <c r="S749" s="50"/>
      <c r="T749" s="56" t="s">
        <v>4885</v>
      </c>
      <c r="U749" s="53" t="s">
        <v>4886</v>
      </c>
    </row>
    <row r="750">
      <c r="A750" s="54" t="s">
        <v>4887</v>
      </c>
      <c r="B750" s="50" t="s">
        <v>4888</v>
      </c>
      <c r="C750" s="51" t="s">
        <v>316</v>
      </c>
      <c r="D750" s="51"/>
      <c r="E750" s="51"/>
      <c r="F750" s="51"/>
      <c r="G750" s="50" t="s">
        <v>4889</v>
      </c>
      <c r="H750" s="52">
        <v>44683.400613425925</v>
      </c>
      <c r="I750" s="50"/>
      <c r="J750" s="50"/>
      <c r="K750" s="50"/>
      <c r="L750" s="50"/>
      <c r="M750" s="50" t="s">
        <v>4890</v>
      </c>
      <c r="N750" s="50"/>
      <c r="O750" s="53" t="s">
        <v>70</v>
      </c>
      <c r="P750" s="55" t="s">
        <v>4891</v>
      </c>
      <c r="Q750" s="50">
        <v>11.0</v>
      </c>
      <c r="R750" s="50">
        <v>87.0</v>
      </c>
      <c r="S750" s="50"/>
      <c r="T750" s="56" t="s">
        <v>4892</v>
      </c>
      <c r="U750" s="53" t="s">
        <v>322</v>
      </c>
    </row>
    <row r="751">
      <c r="A751" s="54" t="s">
        <v>4893</v>
      </c>
      <c r="B751" s="50" t="s">
        <v>4894</v>
      </c>
      <c r="C751" s="51" t="s">
        <v>4895</v>
      </c>
      <c r="D751" s="51"/>
      <c r="E751" s="51"/>
      <c r="F751" s="51"/>
      <c r="G751" s="50" t="s">
        <v>4896</v>
      </c>
      <c r="H751" s="52">
        <v>44683.40046296296</v>
      </c>
      <c r="I751" s="50"/>
      <c r="J751" s="50"/>
      <c r="K751" s="50"/>
      <c r="L751" s="50"/>
      <c r="M751" s="50" t="s">
        <v>4897</v>
      </c>
      <c r="N751" s="50"/>
      <c r="O751" s="53" t="s">
        <v>70</v>
      </c>
      <c r="P751" s="55" t="s">
        <v>4898</v>
      </c>
      <c r="Q751" s="50">
        <v>333.0</v>
      </c>
      <c r="R751" s="50">
        <v>177.0</v>
      </c>
      <c r="S751" s="50" t="s">
        <v>4899</v>
      </c>
      <c r="T751" s="56" t="s">
        <v>4900</v>
      </c>
      <c r="U751" s="53" t="s">
        <v>4901</v>
      </c>
    </row>
    <row r="752">
      <c r="A752" s="54" t="s">
        <v>4902</v>
      </c>
      <c r="B752" s="50" t="s">
        <v>4903</v>
      </c>
      <c r="C752" s="51" t="s">
        <v>367</v>
      </c>
      <c r="D752" s="51"/>
      <c r="E752" s="51"/>
      <c r="F752" s="51"/>
      <c r="G752" s="50" t="s">
        <v>4904</v>
      </c>
      <c r="H752" s="52">
        <v>44683.40043981481</v>
      </c>
      <c r="I752" s="50"/>
      <c r="J752" s="50"/>
      <c r="K752" s="50"/>
      <c r="L752" s="50"/>
      <c r="M752" s="50" t="s">
        <v>4905</v>
      </c>
      <c r="N752" s="50"/>
      <c r="O752" s="53" t="s">
        <v>217</v>
      </c>
      <c r="P752" s="55" t="s">
        <v>4906</v>
      </c>
      <c r="Q752" s="50">
        <v>126.0</v>
      </c>
      <c r="R752" s="50">
        <v>105.0</v>
      </c>
      <c r="S752" s="50"/>
      <c r="T752" s="56" t="s">
        <v>4907</v>
      </c>
      <c r="U752" s="53" t="s">
        <v>370</v>
      </c>
    </row>
    <row r="753">
      <c r="A753" s="54" t="s">
        <v>4908</v>
      </c>
      <c r="B753" s="50" t="s">
        <v>4888</v>
      </c>
      <c r="C753" s="51" t="s">
        <v>367</v>
      </c>
      <c r="D753" s="51"/>
      <c r="E753" s="51"/>
      <c r="F753" s="51"/>
      <c r="G753" s="50" t="s">
        <v>4909</v>
      </c>
      <c r="H753" s="52">
        <v>44683.400347222225</v>
      </c>
      <c r="I753" s="50"/>
      <c r="J753" s="50"/>
      <c r="K753" s="50"/>
      <c r="L753" s="50"/>
      <c r="M753" s="50" t="s">
        <v>4890</v>
      </c>
      <c r="N753" s="50"/>
      <c r="O753" s="53" t="s">
        <v>70</v>
      </c>
      <c r="P753" s="55" t="s">
        <v>4891</v>
      </c>
      <c r="Q753" s="50">
        <v>11.0</v>
      </c>
      <c r="R753" s="50">
        <v>87.0</v>
      </c>
      <c r="S753" s="50"/>
      <c r="T753" s="56" t="s">
        <v>4910</v>
      </c>
      <c r="U753" s="53" t="s">
        <v>370</v>
      </c>
    </row>
    <row r="754">
      <c r="A754" s="54" t="s">
        <v>4911</v>
      </c>
      <c r="B754" s="50" t="s">
        <v>4912</v>
      </c>
      <c r="C754" s="51" t="s">
        <v>1307</v>
      </c>
      <c r="D754" s="51"/>
      <c r="E754" s="51"/>
      <c r="F754" s="51"/>
      <c r="G754" s="50" t="s">
        <v>4913</v>
      </c>
      <c r="H754" s="52">
        <v>44683.4002662037</v>
      </c>
      <c r="I754" s="50"/>
      <c r="J754" s="50"/>
      <c r="K754" s="50"/>
      <c r="L754" s="50"/>
      <c r="M754" s="50" t="s">
        <v>4914</v>
      </c>
      <c r="N754" s="50"/>
      <c r="O754" s="53" t="s">
        <v>60</v>
      </c>
      <c r="P754" s="55" t="s">
        <v>354</v>
      </c>
      <c r="Q754" s="50">
        <v>878.0</v>
      </c>
      <c r="R754" s="50">
        <v>708.0</v>
      </c>
      <c r="S754" s="50" t="s">
        <v>4915</v>
      </c>
      <c r="T754" s="56" t="s">
        <v>4916</v>
      </c>
      <c r="U754" s="53" t="s">
        <v>1313</v>
      </c>
    </row>
    <row r="755">
      <c r="A755" s="54" t="s">
        <v>4917</v>
      </c>
      <c r="B755" s="50" t="s">
        <v>2144</v>
      </c>
      <c r="C755" s="51" t="s">
        <v>4918</v>
      </c>
      <c r="D755" s="51"/>
      <c r="E755" s="51"/>
      <c r="F755" s="51"/>
      <c r="G755" s="50" t="s">
        <v>4919</v>
      </c>
      <c r="H755" s="52">
        <v>44683.40001157408</v>
      </c>
      <c r="I755" s="50"/>
      <c r="J755" s="50"/>
      <c r="K755" s="50" t="s">
        <v>4920</v>
      </c>
      <c r="L755" s="50" t="s">
        <v>4921</v>
      </c>
      <c r="M755" s="50" t="s">
        <v>2149</v>
      </c>
      <c r="N755" s="50" t="s">
        <v>4922</v>
      </c>
      <c r="O755" s="53" t="s">
        <v>92</v>
      </c>
      <c r="P755" s="55" t="s">
        <v>2151</v>
      </c>
      <c r="Q755" s="50">
        <v>4451.0</v>
      </c>
      <c r="R755" s="50">
        <v>4501.0</v>
      </c>
      <c r="S755" s="50"/>
      <c r="T755" s="56" t="s">
        <v>4923</v>
      </c>
      <c r="U755" s="53" t="s">
        <v>4924</v>
      </c>
    </row>
    <row r="756">
      <c r="A756" s="54" t="s">
        <v>4925</v>
      </c>
      <c r="B756" s="50" t="s">
        <v>4926</v>
      </c>
      <c r="C756" s="51" t="s">
        <v>4927</v>
      </c>
      <c r="D756" s="51"/>
      <c r="E756" s="51"/>
      <c r="F756" s="51"/>
      <c r="G756" s="50" t="s">
        <v>4919</v>
      </c>
      <c r="H756" s="52">
        <v>44683.40001157408</v>
      </c>
      <c r="I756" s="50"/>
      <c r="J756" s="50"/>
      <c r="K756" s="50"/>
      <c r="L756" s="50"/>
      <c r="M756" s="50" t="s">
        <v>4928</v>
      </c>
      <c r="N756" s="50"/>
      <c r="O756" s="53" t="s">
        <v>92</v>
      </c>
      <c r="P756" s="55" t="s">
        <v>4929</v>
      </c>
      <c r="Q756" s="50">
        <v>507.0</v>
      </c>
      <c r="R756" s="50">
        <v>499.0</v>
      </c>
      <c r="S756" s="50" t="s">
        <v>4930</v>
      </c>
      <c r="T756" s="56" t="s">
        <v>4931</v>
      </c>
      <c r="U756" s="53" t="s">
        <v>4932</v>
      </c>
    </row>
    <row r="757">
      <c r="A757" s="54" t="s">
        <v>4933</v>
      </c>
      <c r="B757" s="50" t="s">
        <v>4934</v>
      </c>
      <c r="C757" s="51" t="s">
        <v>316</v>
      </c>
      <c r="D757" s="51"/>
      <c r="E757" s="51"/>
      <c r="F757" s="51"/>
      <c r="G757" s="50" t="s">
        <v>4935</v>
      </c>
      <c r="H757" s="52">
        <v>44683.3996875</v>
      </c>
      <c r="I757" s="50"/>
      <c r="J757" s="50"/>
      <c r="K757" s="50"/>
      <c r="L757" s="50"/>
      <c r="M757" s="50" t="s">
        <v>4936</v>
      </c>
      <c r="N757" s="50"/>
      <c r="O757" s="53" t="s">
        <v>92</v>
      </c>
      <c r="P757" s="55" t="s">
        <v>4937</v>
      </c>
      <c r="Q757" s="50">
        <v>14.0</v>
      </c>
      <c r="R757" s="50">
        <v>430.0</v>
      </c>
      <c r="S757" s="50"/>
      <c r="T757" s="56" t="s">
        <v>4938</v>
      </c>
      <c r="U757" s="53" t="s">
        <v>322</v>
      </c>
    </row>
    <row r="758">
      <c r="A758" s="54" t="s">
        <v>4939</v>
      </c>
      <c r="B758" s="50" t="s">
        <v>4940</v>
      </c>
      <c r="C758" s="51" t="s">
        <v>3498</v>
      </c>
      <c r="D758" s="51"/>
      <c r="E758" s="51"/>
      <c r="F758" s="51"/>
      <c r="G758" s="50" t="s">
        <v>4941</v>
      </c>
      <c r="H758" s="52">
        <v>44683.399675925924</v>
      </c>
      <c r="I758" s="50"/>
      <c r="J758" s="50"/>
      <c r="K758" s="50"/>
      <c r="L758" s="50"/>
      <c r="M758" s="50" t="s">
        <v>4942</v>
      </c>
      <c r="N758" s="50"/>
      <c r="O758" s="53" t="s">
        <v>70</v>
      </c>
      <c r="P758" s="55" t="s">
        <v>354</v>
      </c>
      <c r="Q758" s="50">
        <v>31.0</v>
      </c>
      <c r="R758" s="50">
        <v>87.0</v>
      </c>
      <c r="S758" s="50"/>
      <c r="T758" s="56" t="s">
        <v>4943</v>
      </c>
      <c r="U758" s="53" t="s">
        <v>3503</v>
      </c>
    </row>
    <row r="759">
      <c r="A759" s="54" t="s">
        <v>4944</v>
      </c>
      <c r="B759" s="50" t="s">
        <v>4934</v>
      </c>
      <c r="C759" s="51" t="s">
        <v>329</v>
      </c>
      <c r="D759" s="51"/>
      <c r="E759" s="51"/>
      <c r="F759" s="51"/>
      <c r="G759" s="50" t="s">
        <v>4945</v>
      </c>
      <c r="H759" s="52">
        <v>44683.39957175926</v>
      </c>
      <c r="I759" s="50"/>
      <c r="J759" s="50"/>
      <c r="K759" s="50"/>
      <c r="L759" s="50"/>
      <c r="M759" s="50" t="s">
        <v>4936</v>
      </c>
      <c r="N759" s="50"/>
      <c r="O759" s="53" t="s">
        <v>92</v>
      </c>
      <c r="P759" s="55" t="s">
        <v>4937</v>
      </c>
      <c r="Q759" s="50">
        <v>14.0</v>
      </c>
      <c r="R759" s="50">
        <v>430.0</v>
      </c>
      <c r="S759" s="50"/>
      <c r="T759" s="56" t="s">
        <v>4946</v>
      </c>
      <c r="U759" s="53" t="s">
        <v>332</v>
      </c>
    </row>
    <row r="760">
      <c r="A760" s="54" t="s">
        <v>4947</v>
      </c>
      <c r="B760" s="50" t="s">
        <v>4948</v>
      </c>
      <c r="C760" s="51" t="s">
        <v>4949</v>
      </c>
      <c r="D760" s="51"/>
      <c r="E760" s="51"/>
      <c r="F760" s="51"/>
      <c r="G760" s="50" t="s">
        <v>4950</v>
      </c>
      <c r="H760" s="52">
        <v>44683.39954861111</v>
      </c>
      <c r="I760" s="50"/>
      <c r="J760" s="50"/>
      <c r="K760" s="50"/>
      <c r="L760" s="50"/>
      <c r="M760" s="50" t="s">
        <v>4951</v>
      </c>
      <c r="N760" s="50"/>
      <c r="O760" s="53" t="s">
        <v>60</v>
      </c>
      <c r="P760" s="55" t="s">
        <v>4952</v>
      </c>
      <c r="Q760" s="50">
        <v>2443.0</v>
      </c>
      <c r="R760" s="50">
        <v>2398.0</v>
      </c>
      <c r="S760" s="50" t="s">
        <v>4953</v>
      </c>
      <c r="T760" s="56" t="s">
        <v>4954</v>
      </c>
      <c r="U760" s="53" t="s">
        <v>4955</v>
      </c>
    </row>
    <row r="761">
      <c r="A761" s="54" t="s">
        <v>4956</v>
      </c>
      <c r="B761" s="50" t="s">
        <v>4957</v>
      </c>
      <c r="C761" s="51" t="s">
        <v>367</v>
      </c>
      <c r="D761" s="51"/>
      <c r="E761" s="51"/>
      <c r="F761" s="51"/>
      <c r="G761" s="50" t="s">
        <v>4958</v>
      </c>
      <c r="H761" s="52">
        <v>44683.39943287037</v>
      </c>
      <c r="I761" s="50"/>
      <c r="J761" s="50"/>
      <c r="K761" s="50"/>
      <c r="L761" s="50"/>
      <c r="M761" s="50" t="s">
        <v>4959</v>
      </c>
      <c r="N761" s="50"/>
      <c r="O761" s="53" t="s">
        <v>60</v>
      </c>
      <c r="P761" s="55" t="s">
        <v>4960</v>
      </c>
      <c r="Q761" s="50">
        <v>1211.0</v>
      </c>
      <c r="R761" s="50">
        <v>1225.0</v>
      </c>
      <c r="S761" s="50"/>
      <c r="T761" s="56" t="s">
        <v>4961</v>
      </c>
      <c r="U761" s="53" t="s">
        <v>370</v>
      </c>
    </row>
    <row r="762">
      <c r="A762" s="54" t="s">
        <v>4962</v>
      </c>
      <c r="B762" s="50" t="s">
        <v>4934</v>
      </c>
      <c r="C762" s="51" t="s">
        <v>367</v>
      </c>
      <c r="D762" s="51"/>
      <c r="E762" s="51"/>
      <c r="F762" s="51"/>
      <c r="G762" s="50" t="s">
        <v>4963</v>
      </c>
      <c r="H762" s="52">
        <v>44683.3994212963</v>
      </c>
      <c r="I762" s="50"/>
      <c r="J762" s="50"/>
      <c r="K762" s="50"/>
      <c r="L762" s="50"/>
      <c r="M762" s="50" t="s">
        <v>4936</v>
      </c>
      <c r="N762" s="50"/>
      <c r="O762" s="53" t="s">
        <v>92</v>
      </c>
      <c r="P762" s="55" t="s">
        <v>4937</v>
      </c>
      <c r="Q762" s="50">
        <v>14.0</v>
      </c>
      <c r="R762" s="50">
        <v>430.0</v>
      </c>
      <c r="S762" s="50"/>
      <c r="T762" s="56" t="s">
        <v>4964</v>
      </c>
      <c r="U762" s="53" t="s">
        <v>370</v>
      </c>
    </row>
    <row r="763">
      <c r="A763" s="54" t="s">
        <v>4965</v>
      </c>
      <c r="B763" s="50" t="s">
        <v>4966</v>
      </c>
      <c r="C763" s="51" t="s">
        <v>4967</v>
      </c>
      <c r="D763" s="51"/>
      <c r="E763" s="51"/>
      <c r="F763" s="51"/>
      <c r="G763" s="50" t="s">
        <v>4968</v>
      </c>
      <c r="H763" s="52">
        <v>44683.39931712963</v>
      </c>
      <c r="I763" s="50"/>
      <c r="J763" s="50"/>
      <c r="K763" s="50"/>
      <c r="L763" s="50"/>
      <c r="M763" s="50" t="s">
        <v>4969</v>
      </c>
      <c r="N763" s="50"/>
      <c r="O763" s="53" t="s">
        <v>4970</v>
      </c>
      <c r="P763" s="55" t="s">
        <v>4971</v>
      </c>
      <c r="Q763" s="50">
        <v>2370.0</v>
      </c>
      <c r="R763" s="50">
        <v>2858.0</v>
      </c>
      <c r="S763" s="50" t="s">
        <v>1311</v>
      </c>
      <c r="T763" s="56" t="s">
        <v>4972</v>
      </c>
      <c r="U763" s="53" t="s">
        <v>4973</v>
      </c>
    </row>
    <row r="764">
      <c r="A764" s="54" t="s">
        <v>4974</v>
      </c>
      <c r="B764" s="50" t="s">
        <v>4975</v>
      </c>
      <c r="C764" s="51" t="s">
        <v>363</v>
      </c>
      <c r="D764" s="51"/>
      <c r="E764" s="51"/>
      <c r="F764" s="51"/>
      <c r="G764" s="50" t="s">
        <v>4976</v>
      </c>
      <c r="H764" s="52">
        <v>44683.39928240741</v>
      </c>
      <c r="I764" s="50"/>
      <c r="J764" s="50"/>
      <c r="K764" s="50"/>
      <c r="L764" s="50"/>
      <c r="M764" s="50" t="s">
        <v>4977</v>
      </c>
      <c r="N764" s="50"/>
      <c r="O764" s="53" t="s">
        <v>60</v>
      </c>
      <c r="P764" s="55" t="s">
        <v>4978</v>
      </c>
      <c r="Q764" s="50">
        <v>252.0</v>
      </c>
      <c r="R764" s="50">
        <v>264.0</v>
      </c>
      <c r="S764" s="50" t="s">
        <v>4979</v>
      </c>
      <c r="T764" s="56" t="s">
        <v>4980</v>
      </c>
      <c r="U764" s="53" t="s">
        <v>332</v>
      </c>
    </row>
    <row r="765">
      <c r="A765" s="54" t="s">
        <v>4981</v>
      </c>
      <c r="B765" s="50" t="s">
        <v>4982</v>
      </c>
      <c r="C765" s="51" t="s">
        <v>4983</v>
      </c>
      <c r="D765" s="51"/>
      <c r="E765" s="51"/>
      <c r="F765" s="51"/>
      <c r="G765" s="50" t="s">
        <v>4984</v>
      </c>
      <c r="H765" s="52">
        <v>44683.39912037037</v>
      </c>
      <c r="I765" s="50"/>
      <c r="J765" s="50"/>
      <c r="K765" s="50"/>
      <c r="L765" s="50"/>
      <c r="M765" s="50" t="s">
        <v>4985</v>
      </c>
      <c r="N765" s="50"/>
      <c r="O765" s="53" t="s">
        <v>60</v>
      </c>
      <c r="P765" s="55" t="s">
        <v>4986</v>
      </c>
      <c r="Q765" s="50">
        <v>3704.0</v>
      </c>
      <c r="R765" s="50">
        <v>5000.0</v>
      </c>
      <c r="S765" s="50"/>
      <c r="T765" s="56" t="s">
        <v>4987</v>
      </c>
      <c r="U765" s="53" t="s">
        <v>4988</v>
      </c>
    </row>
    <row r="766">
      <c r="A766" s="54" t="s">
        <v>4989</v>
      </c>
      <c r="B766" s="50" t="s">
        <v>3490</v>
      </c>
      <c r="C766" s="51" t="s">
        <v>3945</v>
      </c>
      <c r="D766" s="51"/>
      <c r="E766" s="51"/>
      <c r="F766" s="51"/>
      <c r="G766" s="50" t="s">
        <v>4990</v>
      </c>
      <c r="H766" s="52">
        <v>44683.39876157408</v>
      </c>
      <c r="I766" s="50"/>
      <c r="J766" s="50"/>
      <c r="K766" s="50"/>
      <c r="L766" s="50"/>
      <c r="M766" s="50" t="s">
        <v>3492</v>
      </c>
      <c r="N766" s="50"/>
      <c r="O766" s="53" t="s">
        <v>70</v>
      </c>
      <c r="P766" s="55" t="s">
        <v>3493</v>
      </c>
      <c r="Q766" s="50">
        <v>3580.0</v>
      </c>
      <c r="R766" s="50">
        <v>4905.0</v>
      </c>
      <c r="S766" s="50" t="s">
        <v>3494</v>
      </c>
      <c r="T766" s="56" t="s">
        <v>4991</v>
      </c>
      <c r="U766" s="53" t="s">
        <v>3951</v>
      </c>
    </row>
    <row r="767">
      <c r="A767" s="54" t="s">
        <v>4992</v>
      </c>
      <c r="B767" s="50" t="s">
        <v>4993</v>
      </c>
      <c r="C767" s="51" t="s">
        <v>687</v>
      </c>
      <c r="D767" s="51"/>
      <c r="E767" s="51"/>
      <c r="F767" s="51"/>
      <c r="G767" s="50" t="s">
        <v>4994</v>
      </c>
      <c r="H767" s="52">
        <v>44683.3987037037</v>
      </c>
      <c r="I767" s="50"/>
      <c r="J767" s="50"/>
      <c r="K767" s="50"/>
      <c r="L767" s="50"/>
      <c r="M767" s="50" t="s">
        <v>4995</v>
      </c>
      <c r="N767" s="50"/>
      <c r="O767" s="53" t="s">
        <v>70</v>
      </c>
      <c r="P767" s="55" t="s">
        <v>4996</v>
      </c>
      <c r="Q767" s="50">
        <v>1008.0</v>
      </c>
      <c r="R767" s="50">
        <v>1212.0</v>
      </c>
      <c r="S767" s="50" t="s">
        <v>4359</v>
      </c>
      <c r="T767" s="56" t="s">
        <v>4997</v>
      </c>
      <c r="U767" s="53" t="s">
        <v>691</v>
      </c>
    </row>
    <row r="768">
      <c r="A768" s="54" t="s">
        <v>4998</v>
      </c>
      <c r="B768" s="50" t="s">
        <v>4999</v>
      </c>
      <c r="C768" s="51" t="s">
        <v>367</v>
      </c>
      <c r="D768" s="51"/>
      <c r="E768" s="51"/>
      <c r="F768" s="51"/>
      <c r="G768" s="50" t="s">
        <v>4994</v>
      </c>
      <c r="H768" s="52">
        <v>44683.3987037037</v>
      </c>
      <c r="I768" s="50"/>
      <c r="J768" s="50"/>
      <c r="K768" s="50"/>
      <c r="L768" s="50"/>
      <c r="M768" s="50" t="s">
        <v>5000</v>
      </c>
      <c r="N768" s="50"/>
      <c r="O768" s="53" t="s">
        <v>70</v>
      </c>
      <c r="P768" s="55" t="s">
        <v>5001</v>
      </c>
      <c r="Q768" s="50">
        <v>458.0</v>
      </c>
      <c r="R768" s="50">
        <v>387.0</v>
      </c>
      <c r="S768" s="50" t="s">
        <v>3176</v>
      </c>
      <c r="T768" s="56" t="s">
        <v>5002</v>
      </c>
      <c r="U768" s="53" t="s">
        <v>370</v>
      </c>
    </row>
    <row r="769">
      <c r="A769" s="54" t="s">
        <v>5003</v>
      </c>
      <c r="B769" s="50" t="s">
        <v>5004</v>
      </c>
      <c r="C769" s="51" t="s">
        <v>5005</v>
      </c>
      <c r="D769" s="51"/>
      <c r="E769" s="51"/>
      <c r="F769" s="51"/>
      <c r="G769" s="50" t="s">
        <v>5006</v>
      </c>
      <c r="H769" s="52">
        <v>44683.39869212963</v>
      </c>
      <c r="I769" s="50"/>
      <c r="J769" s="50"/>
      <c r="K769" s="50"/>
      <c r="L769" s="50"/>
      <c r="M769" s="50" t="s">
        <v>5007</v>
      </c>
      <c r="N769" s="50"/>
      <c r="O769" s="53" t="s">
        <v>70</v>
      </c>
      <c r="P769" s="55" t="s">
        <v>5008</v>
      </c>
      <c r="Q769" s="50">
        <v>6282.0</v>
      </c>
      <c r="R769" s="50">
        <v>6221.0</v>
      </c>
      <c r="S769" s="50" t="s">
        <v>5009</v>
      </c>
      <c r="T769" s="56" t="s">
        <v>5010</v>
      </c>
      <c r="U769" s="53" t="s">
        <v>5011</v>
      </c>
    </row>
    <row r="770">
      <c r="A770" s="54" t="s">
        <v>5012</v>
      </c>
      <c r="B770" s="50" t="s">
        <v>5013</v>
      </c>
      <c r="C770" s="51" t="s">
        <v>1402</v>
      </c>
      <c r="D770" s="51"/>
      <c r="E770" s="51"/>
      <c r="F770" s="51"/>
      <c r="G770" s="50" t="s">
        <v>5014</v>
      </c>
      <c r="H770" s="52">
        <v>44683.398518518516</v>
      </c>
      <c r="I770" s="50"/>
      <c r="J770" s="50"/>
      <c r="K770" s="50"/>
      <c r="L770" s="50"/>
      <c r="M770" s="50" t="s">
        <v>5015</v>
      </c>
      <c r="N770" s="50"/>
      <c r="O770" s="53" t="s">
        <v>60</v>
      </c>
      <c r="P770" s="55" t="s">
        <v>5016</v>
      </c>
      <c r="Q770" s="50">
        <v>3917.0</v>
      </c>
      <c r="R770" s="50">
        <v>4974.0</v>
      </c>
      <c r="S770" s="50" t="s">
        <v>1153</v>
      </c>
      <c r="T770" s="56" t="s">
        <v>5017</v>
      </c>
      <c r="U770" s="53" t="s">
        <v>1408</v>
      </c>
    </row>
    <row r="771">
      <c r="A771" s="54" t="s">
        <v>5018</v>
      </c>
      <c r="B771" s="50" t="s">
        <v>5019</v>
      </c>
      <c r="C771" s="51" t="s">
        <v>5020</v>
      </c>
      <c r="D771" s="51"/>
      <c r="E771" s="51"/>
      <c r="F771" s="51"/>
      <c r="G771" s="50" t="s">
        <v>5021</v>
      </c>
      <c r="H771" s="52">
        <v>44683.39848379629</v>
      </c>
      <c r="I771" s="50"/>
      <c r="J771" s="50"/>
      <c r="K771" s="50"/>
      <c r="L771" s="50"/>
      <c r="M771" s="50" t="s">
        <v>5022</v>
      </c>
      <c r="N771" s="50"/>
      <c r="O771" s="53" t="s">
        <v>70</v>
      </c>
      <c r="P771" s="55" t="s">
        <v>354</v>
      </c>
      <c r="Q771" s="50">
        <v>244.0</v>
      </c>
      <c r="R771" s="50">
        <v>1172.0</v>
      </c>
      <c r="S771" s="50"/>
      <c r="T771" s="56" t="s">
        <v>5023</v>
      </c>
      <c r="U771" s="53" t="s">
        <v>5024</v>
      </c>
    </row>
    <row r="772">
      <c r="A772" s="54" t="s">
        <v>5025</v>
      </c>
      <c r="B772" s="50" t="s">
        <v>5026</v>
      </c>
      <c r="C772" s="51" t="s">
        <v>687</v>
      </c>
      <c r="D772" s="51"/>
      <c r="E772" s="51"/>
      <c r="F772" s="51"/>
      <c r="G772" s="50" t="s">
        <v>5027</v>
      </c>
      <c r="H772" s="52">
        <v>44683.398356481484</v>
      </c>
      <c r="I772" s="50"/>
      <c r="J772" s="50"/>
      <c r="K772" s="50"/>
      <c r="L772" s="50"/>
      <c r="M772" s="50" t="s">
        <v>5028</v>
      </c>
      <c r="N772" s="50"/>
      <c r="O772" s="53" t="s">
        <v>70</v>
      </c>
      <c r="P772" s="55" t="s">
        <v>5029</v>
      </c>
      <c r="Q772" s="50">
        <v>2995.0</v>
      </c>
      <c r="R772" s="50">
        <v>2852.0</v>
      </c>
      <c r="S772" s="50"/>
      <c r="T772" s="56" t="s">
        <v>5030</v>
      </c>
      <c r="U772" s="53" t="s">
        <v>691</v>
      </c>
    </row>
    <row r="773">
      <c r="A773" s="54" t="s">
        <v>5031</v>
      </c>
      <c r="B773" s="50" t="s">
        <v>3112</v>
      </c>
      <c r="C773" s="51" t="s">
        <v>316</v>
      </c>
      <c r="D773" s="51"/>
      <c r="E773" s="51"/>
      <c r="F773" s="51"/>
      <c r="G773" s="50" t="s">
        <v>5027</v>
      </c>
      <c r="H773" s="52">
        <v>44683.398356481484</v>
      </c>
      <c r="I773" s="50"/>
      <c r="J773" s="50"/>
      <c r="K773" s="50"/>
      <c r="L773" s="50"/>
      <c r="M773" s="50" t="s">
        <v>3115</v>
      </c>
      <c r="N773" s="50"/>
      <c r="O773" s="53" t="s">
        <v>92</v>
      </c>
      <c r="P773" s="55" t="s">
        <v>3116</v>
      </c>
      <c r="Q773" s="50">
        <v>7097.0</v>
      </c>
      <c r="R773" s="50">
        <v>7355.0</v>
      </c>
      <c r="S773" s="50" t="s">
        <v>3117</v>
      </c>
      <c r="T773" s="56" t="s">
        <v>5032</v>
      </c>
      <c r="U773" s="53" t="s">
        <v>322</v>
      </c>
    </row>
    <row r="774">
      <c r="A774" s="54" t="s">
        <v>5033</v>
      </c>
      <c r="B774" s="50" t="s">
        <v>4912</v>
      </c>
      <c r="C774" s="51" t="s">
        <v>1402</v>
      </c>
      <c r="D774" s="51"/>
      <c r="E774" s="51"/>
      <c r="F774" s="51"/>
      <c r="G774" s="50" t="s">
        <v>5034</v>
      </c>
      <c r="H774" s="52">
        <v>44683.39829861111</v>
      </c>
      <c r="I774" s="50"/>
      <c r="J774" s="50"/>
      <c r="K774" s="50"/>
      <c r="L774" s="50"/>
      <c r="M774" s="50" t="s">
        <v>4914</v>
      </c>
      <c r="N774" s="50"/>
      <c r="O774" s="53" t="s">
        <v>60</v>
      </c>
      <c r="P774" s="55" t="s">
        <v>354</v>
      </c>
      <c r="Q774" s="50">
        <v>878.0</v>
      </c>
      <c r="R774" s="50">
        <v>708.0</v>
      </c>
      <c r="S774" s="50" t="s">
        <v>4915</v>
      </c>
      <c r="T774" s="56" t="s">
        <v>5035</v>
      </c>
      <c r="U774" s="53" t="s">
        <v>1408</v>
      </c>
    </row>
    <row r="775">
      <c r="A775" s="54" t="s">
        <v>5036</v>
      </c>
      <c r="B775" s="50" t="s">
        <v>5037</v>
      </c>
      <c r="C775" s="51" t="s">
        <v>2973</v>
      </c>
      <c r="D775" s="51"/>
      <c r="E775" s="51"/>
      <c r="F775" s="51"/>
      <c r="G775" s="50" t="s">
        <v>5038</v>
      </c>
      <c r="H775" s="52">
        <v>44683.39804398148</v>
      </c>
      <c r="I775" s="50"/>
      <c r="J775" s="50"/>
      <c r="K775" s="50"/>
      <c r="L775" s="50"/>
      <c r="M775" s="50" t="s">
        <v>5039</v>
      </c>
      <c r="N775" s="50"/>
      <c r="O775" s="53" t="s">
        <v>70</v>
      </c>
      <c r="P775" s="55" t="s">
        <v>354</v>
      </c>
      <c r="Q775" s="50">
        <v>103.0</v>
      </c>
      <c r="R775" s="50">
        <v>419.0</v>
      </c>
      <c r="S775" s="50" t="s">
        <v>3792</v>
      </c>
      <c r="T775" s="56" t="s">
        <v>5040</v>
      </c>
      <c r="U775" s="53" t="s">
        <v>2978</v>
      </c>
    </row>
    <row r="776">
      <c r="A776" s="54" t="s">
        <v>5041</v>
      </c>
      <c r="B776" s="50" t="s">
        <v>5042</v>
      </c>
      <c r="C776" s="51" t="s">
        <v>367</v>
      </c>
      <c r="D776" s="51"/>
      <c r="E776" s="51"/>
      <c r="F776" s="51"/>
      <c r="G776" s="50" t="s">
        <v>5043</v>
      </c>
      <c r="H776" s="52">
        <v>44683.3978125</v>
      </c>
      <c r="I776" s="50"/>
      <c r="J776" s="50"/>
      <c r="K776" s="50"/>
      <c r="L776" s="50"/>
      <c r="M776" s="50" t="s">
        <v>5044</v>
      </c>
      <c r="N776" s="50"/>
      <c r="O776" s="53" t="s">
        <v>70</v>
      </c>
      <c r="P776" s="55" t="s">
        <v>5045</v>
      </c>
      <c r="Q776" s="50">
        <v>215.0</v>
      </c>
      <c r="R776" s="50">
        <v>416.0</v>
      </c>
      <c r="S776" s="50"/>
      <c r="T776" s="56" t="s">
        <v>5046</v>
      </c>
      <c r="U776" s="53" t="s">
        <v>370</v>
      </c>
    </row>
    <row r="777">
      <c r="A777" s="54" t="s">
        <v>5047</v>
      </c>
      <c r="B777" s="50" t="s">
        <v>5048</v>
      </c>
      <c r="C777" s="51" t="s">
        <v>367</v>
      </c>
      <c r="D777" s="51"/>
      <c r="E777" s="51"/>
      <c r="F777" s="51"/>
      <c r="G777" s="50" t="s">
        <v>5049</v>
      </c>
      <c r="H777" s="52">
        <v>44683.39778935185</v>
      </c>
      <c r="I777" s="50"/>
      <c r="J777" s="50"/>
      <c r="K777" s="50"/>
      <c r="L777" s="50"/>
      <c r="M777" s="50" t="s">
        <v>5050</v>
      </c>
      <c r="N777" s="50"/>
      <c r="O777" s="53" t="s">
        <v>70</v>
      </c>
      <c r="P777" s="55" t="s">
        <v>5051</v>
      </c>
      <c r="Q777" s="50">
        <v>4326.0</v>
      </c>
      <c r="R777" s="50">
        <v>3998.0</v>
      </c>
      <c r="S777" s="50" t="s">
        <v>5052</v>
      </c>
      <c r="T777" s="56" t="s">
        <v>5053</v>
      </c>
      <c r="U777" s="53" t="s">
        <v>370</v>
      </c>
    </row>
    <row r="778">
      <c r="A778" s="54" t="s">
        <v>5054</v>
      </c>
      <c r="B778" s="50" t="s">
        <v>3112</v>
      </c>
      <c r="C778" s="51" t="s">
        <v>363</v>
      </c>
      <c r="D778" s="51"/>
      <c r="E778" s="51"/>
      <c r="F778" s="51"/>
      <c r="G778" s="50" t="s">
        <v>5055</v>
      </c>
      <c r="H778" s="52">
        <v>44683.39776620371</v>
      </c>
      <c r="I778" s="50"/>
      <c r="J778" s="50"/>
      <c r="K778" s="50"/>
      <c r="L778" s="50"/>
      <c r="M778" s="50" t="s">
        <v>3115</v>
      </c>
      <c r="N778" s="50"/>
      <c r="O778" s="53" t="s">
        <v>92</v>
      </c>
      <c r="P778" s="55" t="s">
        <v>3116</v>
      </c>
      <c r="Q778" s="50">
        <v>7097.0</v>
      </c>
      <c r="R778" s="50">
        <v>7355.0</v>
      </c>
      <c r="S778" s="50" t="s">
        <v>3117</v>
      </c>
      <c r="T778" s="56" t="s">
        <v>5056</v>
      </c>
      <c r="U778" s="53" t="s">
        <v>332</v>
      </c>
    </row>
    <row r="779">
      <c r="A779" s="54" t="s">
        <v>5057</v>
      </c>
      <c r="B779" s="50" t="s">
        <v>5058</v>
      </c>
      <c r="C779" s="51" t="s">
        <v>1402</v>
      </c>
      <c r="D779" s="51"/>
      <c r="E779" s="51"/>
      <c r="F779" s="51"/>
      <c r="G779" s="50" t="s">
        <v>5059</v>
      </c>
      <c r="H779" s="52">
        <v>44683.39770833333</v>
      </c>
      <c r="I779" s="50"/>
      <c r="J779" s="50"/>
      <c r="K779" s="50"/>
      <c r="L779" s="50"/>
      <c r="M779" s="50" t="s">
        <v>5060</v>
      </c>
      <c r="N779" s="50"/>
      <c r="O779" s="53" t="s">
        <v>92</v>
      </c>
      <c r="P779" s="55" t="s">
        <v>5061</v>
      </c>
      <c r="Q779" s="50">
        <v>4561.0</v>
      </c>
      <c r="R779" s="50">
        <v>5006.0</v>
      </c>
      <c r="S779" s="50" t="s">
        <v>219</v>
      </c>
      <c r="T779" s="56" t="s">
        <v>5062</v>
      </c>
      <c r="U779" s="53" t="s">
        <v>1408</v>
      </c>
    </row>
    <row r="780">
      <c r="A780" s="54" t="s">
        <v>5063</v>
      </c>
      <c r="B780" s="50" t="s">
        <v>5064</v>
      </c>
      <c r="C780" s="51" t="s">
        <v>5065</v>
      </c>
      <c r="D780" s="51"/>
      <c r="E780" s="51"/>
      <c r="F780" s="51"/>
      <c r="G780" s="50" t="s">
        <v>5066</v>
      </c>
      <c r="H780" s="52">
        <v>44683.39767361111</v>
      </c>
      <c r="I780" s="50"/>
      <c r="J780" s="50"/>
      <c r="K780" s="50"/>
      <c r="L780" s="50"/>
      <c r="M780" s="50" t="s">
        <v>5067</v>
      </c>
      <c r="N780" s="50"/>
      <c r="O780" s="53" t="s">
        <v>92</v>
      </c>
      <c r="P780" s="55" t="s">
        <v>5068</v>
      </c>
      <c r="Q780" s="50">
        <v>1279.0</v>
      </c>
      <c r="R780" s="50">
        <v>2793.0</v>
      </c>
      <c r="S780" s="50" t="s">
        <v>219</v>
      </c>
      <c r="T780" s="56" t="s">
        <v>5069</v>
      </c>
      <c r="U780" s="53" t="s">
        <v>5070</v>
      </c>
    </row>
    <row r="781">
      <c r="A781" s="54" t="s">
        <v>5071</v>
      </c>
      <c r="B781" s="50" t="s">
        <v>5072</v>
      </c>
      <c r="C781" s="51" t="s">
        <v>1913</v>
      </c>
      <c r="D781" s="51"/>
      <c r="E781" s="51"/>
      <c r="F781" s="51"/>
      <c r="G781" s="50" t="s">
        <v>5073</v>
      </c>
      <c r="H781" s="52">
        <v>44683.39765046297</v>
      </c>
      <c r="I781" s="50"/>
      <c r="J781" s="50"/>
      <c r="K781" s="50"/>
      <c r="L781" s="50"/>
      <c r="M781" s="50" t="s">
        <v>5074</v>
      </c>
      <c r="N781" s="50"/>
      <c r="O781" s="53" t="s">
        <v>92</v>
      </c>
      <c r="P781" s="55" t="s">
        <v>5075</v>
      </c>
      <c r="Q781" s="50">
        <v>7978.0</v>
      </c>
      <c r="R781" s="50">
        <v>7846.0</v>
      </c>
      <c r="S781" s="50" t="s">
        <v>5076</v>
      </c>
      <c r="T781" s="56" t="s">
        <v>5077</v>
      </c>
      <c r="U781" s="53" t="s">
        <v>1916</v>
      </c>
    </row>
    <row r="782">
      <c r="A782" s="54" t="s">
        <v>5078</v>
      </c>
      <c r="B782" s="50" t="s">
        <v>5079</v>
      </c>
      <c r="C782" s="51" t="s">
        <v>367</v>
      </c>
      <c r="D782" s="51"/>
      <c r="E782" s="51"/>
      <c r="F782" s="51"/>
      <c r="G782" s="50" t="s">
        <v>5080</v>
      </c>
      <c r="H782" s="52">
        <v>44683.397615740745</v>
      </c>
      <c r="I782" s="50"/>
      <c r="J782" s="50"/>
      <c r="K782" s="50"/>
      <c r="L782" s="50"/>
      <c r="M782" s="50" t="s">
        <v>5081</v>
      </c>
      <c r="N782" s="50"/>
      <c r="O782" s="53" t="s">
        <v>70</v>
      </c>
      <c r="P782" s="55" t="s">
        <v>5082</v>
      </c>
      <c r="Q782" s="50">
        <v>93.0</v>
      </c>
      <c r="R782" s="50">
        <v>171.0</v>
      </c>
      <c r="S782" s="50" t="s">
        <v>5083</v>
      </c>
      <c r="T782" s="56" t="s">
        <v>5084</v>
      </c>
      <c r="U782" s="53" t="s">
        <v>370</v>
      </c>
    </row>
    <row r="783">
      <c r="A783" s="54" t="s">
        <v>5085</v>
      </c>
      <c r="B783" s="50" t="s">
        <v>3112</v>
      </c>
      <c r="C783" s="51" t="s">
        <v>335</v>
      </c>
      <c r="D783" s="51"/>
      <c r="E783" s="51"/>
      <c r="F783" s="51"/>
      <c r="G783" s="50" t="s">
        <v>5086</v>
      </c>
      <c r="H783" s="52">
        <v>44683.39759259259</v>
      </c>
      <c r="I783" s="50"/>
      <c r="J783" s="50"/>
      <c r="K783" s="50"/>
      <c r="L783" s="50"/>
      <c r="M783" s="50" t="s">
        <v>3115</v>
      </c>
      <c r="N783" s="50"/>
      <c r="O783" s="53" t="s">
        <v>92</v>
      </c>
      <c r="P783" s="55" t="s">
        <v>3116</v>
      </c>
      <c r="Q783" s="50">
        <v>7097.0</v>
      </c>
      <c r="R783" s="50">
        <v>7355.0</v>
      </c>
      <c r="S783" s="50" t="s">
        <v>3117</v>
      </c>
      <c r="T783" s="56" t="s">
        <v>5087</v>
      </c>
      <c r="U783" s="53" t="s">
        <v>339</v>
      </c>
    </row>
    <row r="784">
      <c r="A784" s="54" t="s">
        <v>5088</v>
      </c>
      <c r="B784" s="50" t="s">
        <v>5089</v>
      </c>
      <c r="C784" s="51" t="s">
        <v>1913</v>
      </c>
      <c r="D784" s="51"/>
      <c r="E784" s="51"/>
      <c r="F784" s="51"/>
      <c r="G784" s="50" t="s">
        <v>5090</v>
      </c>
      <c r="H784" s="52">
        <v>44683.39753472222</v>
      </c>
      <c r="I784" s="50"/>
      <c r="J784" s="50"/>
      <c r="K784" s="50"/>
      <c r="L784" s="50"/>
      <c r="M784" s="50" t="s">
        <v>5091</v>
      </c>
      <c r="N784" s="50"/>
      <c r="O784" s="53" t="s">
        <v>70</v>
      </c>
      <c r="P784" s="55" t="s">
        <v>5092</v>
      </c>
      <c r="Q784" s="50">
        <v>1105.0</v>
      </c>
      <c r="R784" s="50">
        <v>508.0</v>
      </c>
      <c r="S784" s="50" t="s">
        <v>5093</v>
      </c>
      <c r="T784" s="56" t="s">
        <v>5094</v>
      </c>
      <c r="U784" s="53" t="s">
        <v>1916</v>
      </c>
    </row>
    <row r="785">
      <c r="A785" s="54" t="s">
        <v>5095</v>
      </c>
      <c r="B785" s="50" t="s">
        <v>5096</v>
      </c>
      <c r="C785" s="51" t="s">
        <v>5097</v>
      </c>
      <c r="D785" s="51"/>
      <c r="E785" s="51"/>
      <c r="F785" s="51"/>
      <c r="G785" s="50" t="s">
        <v>5098</v>
      </c>
      <c r="H785" s="52">
        <v>44683.397523148145</v>
      </c>
      <c r="I785" s="50"/>
      <c r="J785" s="50"/>
      <c r="K785" s="50"/>
      <c r="L785" s="50"/>
      <c r="M785" s="50" t="s">
        <v>5099</v>
      </c>
      <c r="N785" s="50"/>
      <c r="O785" s="53" t="s">
        <v>70</v>
      </c>
      <c r="P785" s="55" t="s">
        <v>5100</v>
      </c>
      <c r="Q785" s="50">
        <v>235.0</v>
      </c>
      <c r="R785" s="50">
        <v>354.0</v>
      </c>
      <c r="S785" s="50" t="s">
        <v>379</v>
      </c>
      <c r="T785" s="56" t="s">
        <v>5101</v>
      </c>
      <c r="U785" s="53" t="s">
        <v>5102</v>
      </c>
    </row>
    <row r="786">
      <c r="A786" s="54" t="s">
        <v>5103</v>
      </c>
      <c r="B786" s="50" t="s">
        <v>5104</v>
      </c>
      <c r="C786" s="51" t="s">
        <v>687</v>
      </c>
      <c r="D786" s="51"/>
      <c r="E786" s="51"/>
      <c r="F786" s="51"/>
      <c r="G786" s="50" t="s">
        <v>5105</v>
      </c>
      <c r="H786" s="52">
        <v>44683.39734953704</v>
      </c>
      <c r="I786" s="50"/>
      <c r="J786" s="50"/>
      <c r="K786" s="50"/>
      <c r="L786" s="50"/>
      <c r="M786" s="50" t="s">
        <v>5106</v>
      </c>
      <c r="N786" s="50"/>
      <c r="O786" s="53" t="s">
        <v>60</v>
      </c>
      <c r="P786" s="55" t="s">
        <v>5107</v>
      </c>
      <c r="Q786" s="50">
        <v>11159.0</v>
      </c>
      <c r="R786" s="50">
        <v>7463.0</v>
      </c>
      <c r="S786" s="50" t="s">
        <v>379</v>
      </c>
      <c r="T786" s="56" t="s">
        <v>5108</v>
      </c>
      <c r="U786" s="53" t="s">
        <v>691</v>
      </c>
    </row>
    <row r="787">
      <c r="A787" s="54" t="s">
        <v>5109</v>
      </c>
      <c r="B787" s="50" t="s">
        <v>5110</v>
      </c>
      <c r="C787" s="51" t="s">
        <v>1439</v>
      </c>
      <c r="D787" s="51"/>
      <c r="E787" s="51"/>
      <c r="F787" s="51"/>
      <c r="G787" s="50" t="s">
        <v>5111</v>
      </c>
      <c r="H787" s="52">
        <v>44683.397268518514</v>
      </c>
      <c r="I787" s="50"/>
      <c r="J787" s="50"/>
      <c r="K787" s="50"/>
      <c r="L787" s="50"/>
      <c r="M787" s="50" t="s">
        <v>5112</v>
      </c>
      <c r="N787" s="50"/>
      <c r="O787" s="53" t="s">
        <v>70</v>
      </c>
      <c r="P787" s="55" t="s">
        <v>5113</v>
      </c>
      <c r="Q787" s="50">
        <v>1820.0</v>
      </c>
      <c r="R787" s="50">
        <v>733.0</v>
      </c>
      <c r="S787" s="50" t="s">
        <v>5114</v>
      </c>
      <c r="T787" s="56" t="s">
        <v>5115</v>
      </c>
      <c r="U787" s="53" t="s">
        <v>1443</v>
      </c>
    </row>
    <row r="788">
      <c r="A788" s="54" t="s">
        <v>5116</v>
      </c>
      <c r="B788" s="50" t="s">
        <v>5117</v>
      </c>
      <c r="C788" s="51" t="s">
        <v>4949</v>
      </c>
      <c r="D788" s="51"/>
      <c r="E788" s="51"/>
      <c r="F788" s="51"/>
      <c r="G788" s="50" t="s">
        <v>5118</v>
      </c>
      <c r="H788" s="52">
        <v>44683.39703703704</v>
      </c>
      <c r="I788" s="50"/>
      <c r="J788" s="50"/>
      <c r="K788" s="50"/>
      <c r="L788" s="50"/>
      <c r="M788" s="50" t="s">
        <v>5119</v>
      </c>
      <c r="N788" s="50"/>
      <c r="O788" s="53" t="s">
        <v>217</v>
      </c>
      <c r="P788" s="55" t="s">
        <v>5120</v>
      </c>
      <c r="Q788" s="50">
        <v>5034.0</v>
      </c>
      <c r="R788" s="50">
        <v>4800.0</v>
      </c>
      <c r="S788" s="50" t="s">
        <v>5121</v>
      </c>
      <c r="T788" s="56" t="s">
        <v>5122</v>
      </c>
      <c r="U788" s="53" t="s">
        <v>4955</v>
      </c>
    </row>
    <row r="789">
      <c r="A789" s="54" t="s">
        <v>5123</v>
      </c>
      <c r="B789" s="50" t="s">
        <v>5124</v>
      </c>
      <c r="C789" s="51" t="s">
        <v>367</v>
      </c>
      <c r="D789" s="51"/>
      <c r="E789" s="51"/>
      <c r="F789" s="51"/>
      <c r="G789" s="50" t="s">
        <v>5118</v>
      </c>
      <c r="H789" s="52">
        <v>44683.39703703704</v>
      </c>
      <c r="I789" s="50"/>
      <c r="J789" s="50"/>
      <c r="K789" s="50"/>
      <c r="L789" s="50"/>
      <c r="M789" s="50" t="s">
        <v>5125</v>
      </c>
      <c r="N789" s="50"/>
      <c r="O789" s="53" t="s">
        <v>217</v>
      </c>
      <c r="P789" s="55" t="s">
        <v>5126</v>
      </c>
      <c r="Q789" s="50">
        <v>22.0</v>
      </c>
      <c r="R789" s="50">
        <v>223.0</v>
      </c>
      <c r="S789" s="50" t="s">
        <v>2833</v>
      </c>
      <c r="T789" s="56" t="s">
        <v>5127</v>
      </c>
      <c r="U789" s="53" t="s">
        <v>370</v>
      </c>
    </row>
    <row r="790">
      <c r="A790" s="54" t="s">
        <v>5128</v>
      </c>
      <c r="B790" s="50" t="s">
        <v>836</v>
      </c>
      <c r="C790" s="51" t="s">
        <v>1402</v>
      </c>
      <c r="D790" s="51"/>
      <c r="E790" s="51"/>
      <c r="F790" s="51"/>
      <c r="G790" s="50" t="s">
        <v>5129</v>
      </c>
      <c r="H790" s="52">
        <v>44683.39695601852</v>
      </c>
      <c r="I790" s="50"/>
      <c r="J790" s="50"/>
      <c r="K790" s="50"/>
      <c r="L790" s="50"/>
      <c r="M790" s="50" t="s">
        <v>838</v>
      </c>
      <c r="N790" s="50"/>
      <c r="O790" s="53" t="s">
        <v>60</v>
      </c>
      <c r="P790" s="55" t="s">
        <v>839</v>
      </c>
      <c r="Q790" s="50">
        <v>12689.0</v>
      </c>
      <c r="R790" s="50">
        <v>11901.0</v>
      </c>
      <c r="S790" s="50" t="s">
        <v>246</v>
      </c>
      <c r="T790" s="56" t="s">
        <v>5130</v>
      </c>
      <c r="U790" s="53" t="s">
        <v>1408</v>
      </c>
    </row>
    <row r="791">
      <c r="A791" s="54" t="s">
        <v>5131</v>
      </c>
      <c r="B791" s="50" t="s">
        <v>3112</v>
      </c>
      <c r="C791" s="51" t="s">
        <v>329</v>
      </c>
      <c r="D791" s="51"/>
      <c r="E791" s="51"/>
      <c r="F791" s="51"/>
      <c r="G791" s="50" t="s">
        <v>5132</v>
      </c>
      <c r="H791" s="52">
        <v>44683.396898148145</v>
      </c>
      <c r="I791" s="50"/>
      <c r="J791" s="50"/>
      <c r="K791" s="50"/>
      <c r="L791" s="50"/>
      <c r="M791" s="50" t="s">
        <v>3115</v>
      </c>
      <c r="N791" s="50"/>
      <c r="O791" s="53" t="s">
        <v>92</v>
      </c>
      <c r="P791" s="55" t="s">
        <v>3116</v>
      </c>
      <c r="Q791" s="50">
        <v>7097.0</v>
      </c>
      <c r="R791" s="50">
        <v>7355.0</v>
      </c>
      <c r="S791" s="50" t="s">
        <v>3117</v>
      </c>
      <c r="T791" s="56" t="s">
        <v>5133</v>
      </c>
      <c r="U791" s="53" t="s">
        <v>332</v>
      </c>
    </row>
    <row r="792">
      <c r="A792" s="54" t="s">
        <v>5134</v>
      </c>
      <c r="B792" s="50" t="s">
        <v>5135</v>
      </c>
      <c r="C792" s="51" t="s">
        <v>367</v>
      </c>
      <c r="D792" s="51"/>
      <c r="E792" s="51"/>
      <c r="F792" s="51"/>
      <c r="G792" s="50" t="s">
        <v>5136</v>
      </c>
      <c r="H792" s="52">
        <v>44683.396875</v>
      </c>
      <c r="I792" s="50"/>
      <c r="J792" s="50"/>
      <c r="K792" s="50"/>
      <c r="L792" s="50"/>
      <c r="M792" s="50" t="s">
        <v>5137</v>
      </c>
      <c r="N792" s="50"/>
      <c r="O792" s="53" t="s">
        <v>217</v>
      </c>
      <c r="P792" s="55" t="s">
        <v>5138</v>
      </c>
      <c r="Q792" s="50">
        <v>444.0</v>
      </c>
      <c r="R792" s="50">
        <v>644.0</v>
      </c>
      <c r="S792" s="50"/>
      <c r="T792" s="56" t="s">
        <v>5139</v>
      </c>
      <c r="U792" s="53" t="s">
        <v>370</v>
      </c>
    </row>
    <row r="793">
      <c r="A793" s="54" t="s">
        <v>5140</v>
      </c>
      <c r="B793" s="50" t="s">
        <v>3112</v>
      </c>
      <c r="C793" s="51" t="s">
        <v>367</v>
      </c>
      <c r="D793" s="51"/>
      <c r="E793" s="51"/>
      <c r="F793" s="51"/>
      <c r="G793" s="50" t="s">
        <v>5141</v>
      </c>
      <c r="H793" s="52">
        <v>44683.39671296296</v>
      </c>
      <c r="I793" s="50"/>
      <c r="J793" s="50"/>
      <c r="K793" s="50"/>
      <c r="L793" s="50"/>
      <c r="M793" s="50" t="s">
        <v>3115</v>
      </c>
      <c r="N793" s="50"/>
      <c r="O793" s="53" t="s">
        <v>92</v>
      </c>
      <c r="P793" s="55" t="s">
        <v>3116</v>
      </c>
      <c r="Q793" s="50">
        <v>7097.0</v>
      </c>
      <c r="R793" s="50">
        <v>7355.0</v>
      </c>
      <c r="S793" s="50" t="s">
        <v>3117</v>
      </c>
      <c r="T793" s="56" t="s">
        <v>5142</v>
      </c>
      <c r="U793" s="53" t="s">
        <v>370</v>
      </c>
    </row>
    <row r="794">
      <c r="A794" s="54" t="s">
        <v>5143</v>
      </c>
      <c r="B794" s="50" t="s">
        <v>5144</v>
      </c>
      <c r="C794" s="51" t="s">
        <v>5145</v>
      </c>
      <c r="D794" s="51"/>
      <c r="E794" s="51"/>
      <c r="F794" s="51"/>
      <c r="G794" s="50" t="s">
        <v>5146</v>
      </c>
      <c r="H794" s="52">
        <v>44683.39641203704</v>
      </c>
      <c r="I794" s="50"/>
      <c r="J794" s="50"/>
      <c r="K794" s="50" t="s">
        <v>1841</v>
      </c>
      <c r="L794" s="50" t="s">
        <v>1842</v>
      </c>
      <c r="M794" s="50" t="s">
        <v>5147</v>
      </c>
      <c r="N794" s="50" t="s">
        <v>1844</v>
      </c>
      <c r="O794" s="53" t="s">
        <v>70</v>
      </c>
      <c r="P794" s="55" t="s">
        <v>5148</v>
      </c>
      <c r="Q794" s="50">
        <v>1696.0</v>
      </c>
      <c r="R794" s="50">
        <v>1822.0</v>
      </c>
      <c r="S794" s="50" t="s">
        <v>5149</v>
      </c>
      <c r="T794" s="56" t="s">
        <v>5150</v>
      </c>
      <c r="U794" s="53" t="s">
        <v>5151</v>
      </c>
    </row>
    <row r="795">
      <c r="A795" s="54" t="s">
        <v>5152</v>
      </c>
      <c r="B795" s="50" t="s">
        <v>5153</v>
      </c>
      <c r="C795" s="51" t="s">
        <v>316</v>
      </c>
      <c r="D795" s="51"/>
      <c r="E795" s="51"/>
      <c r="F795" s="51"/>
      <c r="G795" s="50" t="s">
        <v>5154</v>
      </c>
      <c r="H795" s="52">
        <v>44683.39619212963</v>
      </c>
      <c r="I795" s="50"/>
      <c r="J795" s="50"/>
      <c r="K795" s="50"/>
      <c r="L795" s="50"/>
      <c r="M795" s="50" t="s">
        <v>5155</v>
      </c>
      <c r="N795" s="50"/>
      <c r="O795" s="53" t="s">
        <v>92</v>
      </c>
      <c r="P795" s="55" t="s">
        <v>5156</v>
      </c>
      <c r="Q795" s="50">
        <v>264.0</v>
      </c>
      <c r="R795" s="50">
        <v>1381.0</v>
      </c>
      <c r="S795" s="50" t="s">
        <v>5157</v>
      </c>
      <c r="T795" s="56" t="s">
        <v>5158</v>
      </c>
      <c r="U795" s="53" t="s">
        <v>322</v>
      </c>
    </row>
    <row r="796">
      <c r="A796" s="54" t="s">
        <v>5159</v>
      </c>
      <c r="B796" s="50" t="s">
        <v>5160</v>
      </c>
      <c r="C796" s="51" t="s">
        <v>329</v>
      </c>
      <c r="D796" s="51"/>
      <c r="E796" s="51"/>
      <c r="F796" s="51"/>
      <c r="G796" s="50" t="s">
        <v>5161</v>
      </c>
      <c r="H796" s="52">
        <v>44683.396157407406</v>
      </c>
      <c r="I796" s="50"/>
      <c r="J796" s="50"/>
      <c r="K796" s="50"/>
      <c r="L796" s="50"/>
      <c r="M796" s="50" t="s">
        <v>5162</v>
      </c>
      <c r="N796" s="50"/>
      <c r="O796" s="53" t="s">
        <v>217</v>
      </c>
      <c r="P796" s="55" t="s">
        <v>5163</v>
      </c>
      <c r="Q796" s="50">
        <v>333.0</v>
      </c>
      <c r="R796" s="50">
        <v>154.0</v>
      </c>
      <c r="S796" s="50"/>
      <c r="T796" s="56" t="s">
        <v>5164</v>
      </c>
      <c r="U796" s="53" t="s">
        <v>332</v>
      </c>
    </row>
    <row r="797">
      <c r="A797" s="54" t="s">
        <v>5165</v>
      </c>
      <c r="B797" s="50" t="s">
        <v>5166</v>
      </c>
      <c r="C797" s="51" t="s">
        <v>5167</v>
      </c>
      <c r="D797" s="51"/>
      <c r="E797" s="51"/>
      <c r="F797" s="51"/>
      <c r="G797" s="50" t="s">
        <v>5168</v>
      </c>
      <c r="H797" s="52">
        <v>44683.39613425926</v>
      </c>
      <c r="I797" s="50"/>
      <c r="J797" s="50"/>
      <c r="K797" s="50"/>
      <c r="L797" s="50"/>
      <c r="M797" s="50" t="s">
        <v>5169</v>
      </c>
      <c r="N797" s="50"/>
      <c r="O797" s="53" t="s">
        <v>60</v>
      </c>
      <c r="P797" s="55" t="s">
        <v>5170</v>
      </c>
      <c r="Q797" s="50">
        <v>2168.0</v>
      </c>
      <c r="R797" s="50">
        <v>99.0</v>
      </c>
      <c r="S797" s="50" t="s">
        <v>5171</v>
      </c>
      <c r="T797" s="56" t="s">
        <v>5172</v>
      </c>
      <c r="U797" s="53" t="s">
        <v>5173</v>
      </c>
    </row>
    <row r="798">
      <c r="A798" s="54" t="s">
        <v>5174</v>
      </c>
      <c r="B798" s="50" t="s">
        <v>5153</v>
      </c>
      <c r="C798" s="51" t="s">
        <v>329</v>
      </c>
      <c r="D798" s="51"/>
      <c r="E798" s="51"/>
      <c r="F798" s="51"/>
      <c r="G798" s="50" t="s">
        <v>5175</v>
      </c>
      <c r="H798" s="52">
        <v>44683.396099537036</v>
      </c>
      <c r="I798" s="50"/>
      <c r="J798" s="50"/>
      <c r="K798" s="50"/>
      <c r="L798" s="50"/>
      <c r="M798" s="50" t="s">
        <v>5155</v>
      </c>
      <c r="N798" s="50"/>
      <c r="O798" s="53" t="s">
        <v>92</v>
      </c>
      <c r="P798" s="55" t="s">
        <v>5156</v>
      </c>
      <c r="Q798" s="50">
        <v>264.0</v>
      </c>
      <c r="R798" s="50">
        <v>1381.0</v>
      </c>
      <c r="S798" s="50" t="s">
        <v>5157</v>
      </c>
      <c r="T798" s="56" t="s">
        <v>5176</v>
      </c>
      <c r="U798" s="53" t="s">
        <v>332</v>
      </c>
    </row>
    <row r="799">
      <c r="A799" s="54" t="s">
        <v>5177</v>
      </c>
      <c r="B799" s="50" t="s">
        <v>5178</v>
      </c>
      <c r="C799" s="51" t="s">
        <v>5179</v>
      </c>
      <c r="D799" s="51"/>
      <c r="E799" s="51"/>
      <c r="F799" s="51"/>
      <c r="G799" s="50" t="s">
        <v>5180</v>
      </c>
      <c r="H799" s="52">
        <v>44683.39608796296</v>
      </c>
      <c r="I799" s="50"/>
      <c r="J799" s="50"/>
      <c r="K799" s="50"/>
      <c r="L799" s="50"/>
      <c r="M799" s="50" t="s">
        <v>5181</v>
      </c>
      <c r="N799" s="50"/>
      <c r="O799" s="53" t="s">
        <v>92</v>
      </c>
      <c r="P799" s="55" t="s">
        <v>5182</v>
      </c>
      <c r="Q799" s="50">
        <v>3485.0</v>
      </c>
      <c r="R799" s="50">
        <v>4987.0</v>
      </c>
      <c r="S799" s="50" t="s">
        <v>5183</v>
      </c>
      <c r="T799" s="56" t="s">
        <v>5184</v>
      </c>
      <c r="U799" s="53" t="s">
        <v>5185</v>
      </c>
    </row>
    <row r="800">
      <c r="A800" s="54" t="s">
        <v>5186</v>
      </c>
      <c r="B800" s="50" t="s">
        <v>5153</v>
      </c>
      <c r="C800" s="51" t="s">
        <v>335</v>
      </c>
      <c r="D800" s="51"/>
      <c r="E800" s="51"/>
      <c r="F800" s="51"/>
      <c r="G800" s="50" t="s">
        <v>5187</v>
      </c>
      <c r="H800" s="52">
        <v>44683.3959375</v>
      </c>
      <c r="I800" s="50"/>
      <c r="J800" s="50"/>
      <c r="K800" s="50"/>
      <c r="L800" s="50"/>
      <c r="M800" s="50" t="s">
        <v>5155</v>
      </c>
      <c r="N800" s="50"/>
      <c r="O800" s="53" t="s">
        <v>92</v>
      </c>
      <c r="P800" s="55" t="s">
        <v>5156</v>
      </c>
      <c r="Q800" s="50">
        <v>264.0</v>
      </c>
      <c r="R800" s="50">
        <v>1381.0</v>
      </c>
      <c r="S800" s="50" t="s">
        <v>5157</v>
      </c>
      <c r="T800" s="56" t="s">
        <v>5188</v>
      </c>
      <c r="U800" s="53" t="s">
        <v>339</v>
      </c>
    </row>
    <row r="801">
      <c r="A801" s="54" t="s">
        <v>5189</v>
      </c>
      <c r="B801" s="50" t="s">
        <v>5190</v>
      </c>
      <c r="C801" s="51" t="s">
        <v>5191</v>
      </c>
      <c r="D801" s="51"/>
      <c r="E801" s="51"/>
      <c r="F801" s="51"/>
      <c r="G801" s="50" t="s">
        <v>5187</v>
      </c>
      <c r="H801" s="52">
        <v>44683.3959375</v>
      </c>
      <c r="I801" s="50"/>
      <c r="J801" s="50"/>
      <c r="K801" s="50"/>
      <c r="L801" s="50"/>
      <c r="M801" s="50" t="s">
        <v>5192</v>
      </c>
      <c r="N801" s="50"/>
      <c r="O801" s="53" t="s">
        <v>60</v>
      </c>
      <c r="P801" s="55" t="s">
        <v>5193</v>
      </c>
      <c r="Q801" s="50">
        <v>4973.0</v>
      </c>
      <c r="R801" s="50">
        <v>5351.0</v>
      </c>
      <c r="S801" s="50" t="s">
        <v>5194</v>
      </c>
      <c r="T801" s="56" t="s">
        <v>5195</v>
      </c>
      <c r="U801" s="53" t="s">
        <v>5196</v>
      </c>
    </row>
    <row r="802">
      <c r="A802" s="54" t="s">
        <v>5197</v>
      </c>
      <c r="B802" s="50" t="s">
        <v>4257</v>
      </c>
      <c r="C802" s="51" t="s">
        <v>5198</v>
      </c>
      <c r="D802" s="51"/>
      <c r="E802" s="51"/>
      <c r="F802" s="51"/>
      <c r="G802" s="50" t="s">
        <v>5199</v>
      </c>
      <c r="H802" s="52">
        <v>44683.395891203705</v>
      </c>
      <c r="I802" s="50"/>
      <c r="J802" s="50"/>
      <c r="K802" s="50"/>
      <c r="L802" s="50"/>
      <c r="M802" s="50" t="s">
        <v>4260</v>
      </c>
      <c r="N802" s="50"/>
      <c r="O802" s="53" t="s">
        <v>217</v>
      </c>
      <c r="P802" s="55" t="s">
        <v>4261</v>
      </c>
      <c r="Q802" s="50">
        <v>4734.0</v>
      </c>
      <c r="R802" s="50">
        <v>4443.0</v>
      </c>
      <c r="S802" s="50" t="s">
        <v>4262</v>
      </c>
      <c r="T802" s="56" t="s">
        <v>5200</v>
      </c>
      <c r="U802" s="53" t="s">
        <v>5201</v>
      </c>
    </row>
    <row r="803">
      <c r="A803" s="54" t="s">
        <v>5202</v>
      </c>
      <c r="B803" s="50" t="s">
        <v>5160</v>
      </c>
      <c r="C803" s="51" t="s">
        <v>363</v>
      </c>
      <c r="D803" s="51"/>
      <c r="E803" s="51"/>
      <c r="F803" s="51"/>
      <c r="G803" s="50" t="s">
        <v>5199</v>
      </c>
      <c r="H803" s="52">
        <v>44683.395891203705</v>
      </c>
      <c r="I803" s="50"/>
      <c r="J803" s="50"/>
      <c r="K803" s="50"/>
      <c r="L803" s="50"/>
      <c r="M803" s="50" t="s">
        <v>5162</v>
      </c>
      <c r="N803" s="50"/>
      <c r="O803" s="53" t="s">
        <v>217</v>
      </c>
      <c r="P803" s="55" t="s">
        <v>5163</v>
      </c>
      <c r="Q803" s="50">
        <v>333.0</v>
      </c>
      <c r="R803" s="50">
        <v>154.0</v>
      </c>
      <c r="S803" s="50"/>
      <c r="T803" s="56" t="s">
        <v>5203</v>
      </c>
      <c r="U803" s="53" t="s">
        <v>332</v>
      </c>
    </row>
    <row r="804">
      <c r="A804" s="54" t="s">
        <v>5204</v>
      </c>
      <c r="B804" s="50" t="s">
        <v>5205</v>
      </c>
      <c r="C804" s="51" t="s">
        <v>367</v>
      </c>
      <c r="D804" s="51"/>
      <c r="E804" s="51"/>
      <c r="F804" s="51"/>
      <c r="G804" s="50" t="s">
        <v>5206</v>
      </c>
      <c r="H804" s="52">
        <v>44683.39572916667</v>
      </c>
      <c r="I804" s="50"/>
      <c r="J804" s="50"/>
      <c r="K804" s="50"/>
      <c r="L804" s="50"/>
      <c r="M804" s="50" t="s">
        <v>5207</v>
      </c>
      <c r="N804" s="50"/>
      <c r="O804" s="53" t="s">
        <v>70</v>
      </c>
      <c r="P804" s="55" t="s">
        <v>5208</v>
      </c>
      <c r="Q804" s="50">
        <v>116.0</v>
      </c>
      <c r="R804" s="50">
        <v>174.0</v>
      </c>
      <c r="S804" s="50" t="s">
        <v>658</v>
      </c>
      <c r="T804" s="56" t="s">
        <v>5209</v>
      </c>
      <c r="U804" s="53" t="s">
        <v>370</v>
      </c>
    </row>
    <row r="805">
      <c r="A805" s="54" t="s">
        <v>5210</v>
      </c>
      <c r="B805" s="50" t="s">
        <v>5160</v>
      </c>
      <c r="C805" s="51" t="s">
        <v>367</v>
      </c>
      <c r="D805" s="51"/>
      <c r="E805" s="51"/>
      <c r="F805" s="51"/>
      <c r="G805" s="50" t="s">
        <v>5211</v>
      </c>
      <c r="H805" s="52">
        <v>44683.39571759259</v>
      </c>
      <c r="I805" s="50"/>
      <c r="J805" s="50"/>
      <c r="K805" s="50"/>
      <c r="L805" s="50"/>
      <c r="M805" s="50" t="s">
        <v>5162</v>
      </c>
      <c r="N805" s="50"/>
      <c r="O805" s="53" t="s">
        <v>217</v>
      </c>
      <c r="P805" s="55" t="s">
        <v>5163</v>
      </c>
      <c r="Q805" s="50">
        <v>333.0</v>
      </c>
      <c r="R805" s="50">
        <v>154.0</v>
      </c>
      <c r="S805" s="50"/>
      <c r="T805" s="56" t="s">
        <v>5212</v>
      </c>
      <c r="U805" s="53" t="s">
        <v>370</v>
      </c>
    </row>
    <row r="806">
      <c r="A806" s="54" t="s">
        <v>5213</v>
      </c>
      <c r="B806" s="50" t="s">
        <v>5214</v>
      </c>
      <c r="C806" s="51" t="s">
        <v>5215</v>
      </c>
      <c r="D806" s="51"/>
      <c r="E806" s="51"/>
      <c r="F806" s="51"/>
      <c r="G806" s="50" t="s">
        <v>5211</v>
      </c>
      <c r="H806" s="52">
        <v>44683.39571759259</v>
      </c>
      <c r="I806" s="50"/>
      <c r="J806" s="50"/>
      <c r="K806" s="50" t="s">
        <v>4073</v>
      </c>
      <c r="L806" s="50" t="s">
        <v>4074</v>
      </c>
      <c r="M806" s="50" t="s">
        <v>5216</v>
      </c>
      <c r="N806" s="50" t="s">
        <v>4076</v>
      </c>
      <c r="O806" s="53" t="s">
        <v>70</v>
      </c>
      <c r="P806" s="55" t="s">
        <v>5217</v>
      </c>
      <c r="Q806" s="50">
        <v>194.0</v>
      </c>
      <c r="R806" s="50">
        <v>557.0</v>
      </c>
      <c r="S806" s="50" t="s">
        <v>3176</v>
      </c>
      <c r="T806" s="56" t="s">
        <v>5218</v>
      </c>
      <c r="U806" s="53" t="s">
        <v>5219</v>
      </c>
    </row>
    <row r="807">
      <c r="A807" s="54" t="s">
        <v>5220</v>
      </c>
      <c r="B807" s="50" t="s">
        <v>5221</v>
      </c>
      <c r="C807" s="51" t="s">
        <v>687</v>
      </c>
      <c r="D807" s="51"/>
      <c r="E807" s="51"/>
      <c r="F807" s="51"/>
      <c r="G807" s="50" t="s">
        <v>5211</v>
      </c>
      <c r="H807" s="52">
        <v>44683.39571759259</v>
      </c>
      <c r="I807" s="50"/>
      <c r="J807" s="50"/>
      <c r="K807" s="50"/>
      <c r="L807" s="50"/>
      <c r="M807" s="50" t="s">
        <v>5222</v>
      </c>
      <c r="N807" s="50"/>
      <c r="O807" s="53" t="s">
        <v>92</v>
      </c>
      <c r="P807" s="55" t="s">
        <v>5223</v>
      </c>
      <c r="Q807" s="50">
        <v>401.0</v>
      </c>
      <c r="R807" s="50">
        <v>898.0</v>
      </c>
      <c r="S807" s="50" t="s">
        <v>5224</v>
      </c>
      <c r="T807" s="56" t="s">
        <v>5225</v>
      </c>
      <c r="U807" s="53" t="s">
        <v>691</v>
      </c>
    </row>
    <row r="808">
      <c r="A808" s="54" t="s">
        <v>5226</v>
      </c>
      <c r="B808" s="50" t="s">
        <v>5227</v>
      </c>
      <c r="C808" s="51" t="s">
        <v>5228</v>
      </c>
      <c r="D808" s="51"/>
      <c r="E808" s="51"/>
      <c r="F808" s="51"/>
      <c r="G808" s="50" t="s">
        <v>5229</v>
      </c>
      <c r="H808" s="52">
        <v>44683.39555555556</v>
      </c>
      <c r="I808" s="50"/>
      <c r="J808" s="50"/>
      <c r="K808" s="50"/>
      <c r="L808" s="50"/>
      <c r="M808" s="50" t="s">
        <v>5230</v>
      </c>
      <c r="N808" s="50"/>
      <c r="O808" s="53" t="s">
        <v>92</v>
      </c>
      <c r="P808" s="55" t="s">
        <v>5231</v>
      </c>
      <c r="Q808" s="50">
        <v>1030.0</v>
      </c>
      <c r="R808" s="50">
        <v>1001.0</v>
      </c>
      <c r="S808" s="50" t="s">
        <v>219</v>
      </c>
      <c r="T808" s="56" t="s">
        <v>5232</v>
      </c>
      <c r="U808" s="53" t="s">
        <v>5233</v>
      </c>
    </row>
    <row r="809">
      <c r="A809" s="54" t="s">
        <v>5234</v>
      </c>
      <c r="B809" s="50" t="s">
        <v>5235</v>
      </c>
      <c r="C809" s="51" t="s">
        <v>5236</v>
      </c>
      <c r="D809" s="51"/>
      <c r="E809" s="51"/>
      <c r="F809" s="51"/>
      <c r="G809" s="50" t="s">
        <v>5229</v>
      </c>
      <c r="H809" s="52">
        <v>44683.39555555556</v>
      </c>
      <c r="I809" s="50"/>
      <c r="J809" s="50"/>
      <c r="K809" s="50" t="s">
        <v>5237</v>
      </c>
      <c r="L809" s="50" t="s">
        <v>5238</v>
      </c>
      <c r="M809" s="50" t="s">
        <v>5239</v>
      </c>
      <c r="N809" s="50"/>
      <c r="O809" s="53" t="s">
        <v>60</v>
      </c>
      <c r="P809" s="55" t="s">
        <v>5240</v>
      </c>
      <c r="Q809" s="50">
        <v>9283.0</v>
      </c>
      <c r="R809" s="50">
        <v>9078.0</v>
      </c>
      <c r="S809" s="50" t="s">
        <v>219</v>
      </c>
      <c r="T809" s="56" t="s">
        <v>5241</v>
      </c>
      <c r="U809" s="53" t="s">
        <v>5242</v>
      </c>
    </row>
    <row r="810">
      <c r="A810" s="54" t="s">
        <v>5243</v>
      </c>
      <c r="B810" s="50" t="s">
        <v>5244</v>
      </c>
      <c r="C810" s="51" t="s">
        <v>1402</v>
      </c>
      <c r="D810" s="51"/>
      <c r="E810" s="51"/>
      <c r="F810" s="51"/>
      <c r="G810" s="50" t="s">
        <v>5245</v>
      </c>
      <c r="H810" s="52">
        <v>44683.395370370374</v>
      </c>
      <c r="I810" s="50"/>
      <c r="J810" s="50"/>
      <c r="K810" s="50"/>
      <c r="L810" s="50"/>
      <c r="M810" s="50" t="s">
        <v>5246</v>
      </c>
      <c r="N810" s="50"/>
      <c r="O810" s="53" t="s">
        <v>70</v>
      </c>
      <c r="P810" s="55" t="s">
        <v>5247</v>
      </c>
      <c r="Q810" s="50">
        <v>3282.0</v>
      </c>
      <c r="R810" s="50">
        <v>5000.0</v>
      </c>
      <c r="S810" s="50" t="s">
        <v>658</v>
      </c>
      <c r="T810" s="56" t="s">
        <v>5248</v>
      </c>
      <c r="U810" s="53" t="s">
        <v>1408</v>
      </c>
    </row>
    <row r="811">
      <c r="A811" s="54" t="s">
        <v>5249</v>
      </c>
      <c r="B811" s="50" t="s">
        <v>5250</v>
      </c>
      <c r="C811" s="51" t="s">
        <v>367</v>
      </c>
      <c r="D811" s="51"/>
      <c r="E811" s="51"/>
      <c r="F811" s="51"/>
      <c r="G811" s="50" t="s">
        <v>5251</v>
      </c>
      <c r="H811" s="52">
        <v>44683.39481481482</v>
      </c>
      <c r="I811" s="50"/>
      <c r="J811" s="50"/>
      <c r="K811" s="50"/>
      <c r="L811" s="50"/>
      <c r="M811" s="50" t="s">
        <v>5252</v>
      </c>
      <c r="N811" s="50"/>
      <c r="O811" s="53" t="s">
        <v>92</v>
      </c>
      <c r="P811" s="55" t="s">
        <v>5253</v>
      </c>
      <c r="Q811" s="50">
        <v>507.0</v>
      </c>
      <c r="R811" s="50">
        <v>1271.0</v>
      </c>
      <c r="S811" s="50" t="s">
        <v>5254</v>
      </c>
      <c r="T811" s="56" t="s">
        <v>5255</v>
      </c>
      <c r="U811" s="53" t="s">
        <v>370</v>
      </c>
    </row>
    <row r="812">
      <c r="A812" s="54" t="s">
        <v>5256</v>
      </c>
      <c r="B812" s="50" t="s">
        <v>5257</v>
      </c>
      <c r="C812" s="51" t="s">
        <v>367</v>
      </c>
      <c r="D812" s="51"/>
      <c r="E812" s="51"/>
      <c r="F812" s="51"/>
      <c r="G812" s="50" t="s">
        <v>5258</v>
      </c>
      <c r="H812" s="52">
        <v>44683.39465277777</v>
      </c>
      <c r="I812" s="50"/>
      <c r="J812" s="50"/>
      <c r="K812" s="50"/>
      <c r="L812" s="50"/>
      <c r="M812" s="50" t="s">
        <v>5259</v>
      </c>
      <c r="N812" s="50"/>
      <c r="O812" s="53" t="s">
        <v>92</v>
      </c>
      <c r="P812" s="55" t="s">
        <v>5260</v>
      </c>
      <c r="Q812" s="50">
        <v>2539.0</v>
      </c>
      <c r="R812" s="50">
        <v>2023.0</v>
      </c>
      <c r="S812" s="50"/>
      <c r="T812" s="56" t="s">
        <v>5261</v>
      </c>
      <c r="U812" s="53" t="s">
        <v>370</v>
      </c>
    </row>
    <row r="813">
      <c r="A813" s="54" t="s">
        <v>5262</v>
      </c>
      <c r="B813" s="50" t="s">
        <v>5263</v>
      </c>
      <c r="C813" s="51" t="s">
        <v>367</v>
      </c>
      <c r="D813" s="51"/>
      <c r="E813" s="51"/>
      <c r="F813" s="51"/>
      <c r="G813" s="50" t="s">
        <v>5264</v>
      </c>
      <c r="H813" s="52">
        <v>44683.39434027778</v>
      </c>
      <c r="I813" s="50"/>
      <c r="J813" s="50"/>
      <c r="K813" s="50"/>
      <c r="L813" s="50"/>
      <c r="M813" s="50" t="s">
        <v>5265</v>
      </c>
      <c r="N813" s="50"/>
      <c r="O813" s="53" t="s">
        <v>70</v>
      </c>
      <c r="P813" s="55" t="s">
        <v>5266</v>
      </c>
      <c r="Q813" s="50">
        <v>178.0</v>
      </c>
      <c r="R813" s="50">
        <v>90.0</v>
      </c>
      <c r="S813" s="50"/>
      <c r="T813" s="56" t="s">
        <v>5267</v>
      </c>
      <c r="U813" s="53" t="s">
        <v>370</v>
      </c>
    </row>
    <row r="814">
      <c r="A814" s="54" t="s">
        <v>5268</v>
      </c>
      <c r="B814" s="50" t="s">
        <v>5269</v>
      </c>
      <c r="C814" s="51" t="s">
        <v>5270</v>
      </c>
      <c r="D814" s="51"/>
      <c r="E814" s="51"/>
      <c r="F814" s="51"/>
      <c r="G814" s="50" t="s">
        <v>5271</v>
      </c>
      <c r="H814" s="52">
        <v>44683.39402777777</v>
      </c>
      <c r="I814" s="50"/>
      <c r="J814" s="50"/>
      <c r="K814" s="50" t="s">
        <v>5272</v>
      </c>
      <c r="L814" s="50" t="s">
        <v>5273</v>
      </c>
      <c r="M814" s="50" t="s">
        <v>5274</v>
      </c>
      <c r="N814" s="50" t="s">
        <v>5275</v>
      </c>
      <c r="O814" s="53" t="s">
        <v>70</v>
      </c>
      <c r="P814" s="55" t="s">
        <v>5276</v>
      </c>
      <c r="Q814" s="50">
        <v>1334.0</v>
      </c>
      <c r="R814" s="50">
        <v>1449.0</v>
      </c>
      <c r="S814" s="50" t="s">
        <v>379</v>
      </c>
      <c r="T814" s="56" t="s">
        <v>5277</v>
      </c>
      <c r="U814" s="53" t="s">
        <v>5278</v>
      </c>
    </row>
    <row r="815">
      <c r="A815" s="54" t="s">
        <v>5279</v>
      </c>
      <c r="B815" s="50" t="s">
        <v>5280</v>
      </c>
      <c r="C815" s="51" t="s">
        <v>687</v>
      </c>
      <c r="D815" s="51"/>
      <c r="E815" s="51"/>
      <c r="F815" s="51"/>
      <c r="G815" s="50" t="s">
        <v>5281</v>
      </c>
      <c r="H815" s="52">
        <v>44683.394004629634</v>
      </c>
      <c r="I815" s="50"/>
      <c r="J815" s="50"/>
      <c r="K815" s="50"/>
      <c r="L815" s="50"/>
      <c r="M815" s="50" t="s">
        <v>5282</v>
      </c>
      <c r="N815" s="50"/>
      <c r="O815" s="53" t="s">
        <v>70</v>
      </c>
      <c r="P815" s="55" t="s">
        <v>5283</v>
      </c>
      <c r="Q815" s="50">
        <v>323.0</v>
      </c>
      <c r="R815" s="50">
        <v>252.0</v>
      </c>
      <c r="S815" s="50" t="s">
        <v>5284</v>
      </c>
      <c r="T815" s="56" t="s">
        <v>5285</v>
      </c>
      <c r="U815" s="53" t="s">
        <v>691</v>
      </c>
    </row>
    <row r="816">
      <c r="A816" s="54" t="s">
        <v>5286</v>
      </c>
      <c r="B816" s="50" t="s">
        <v>5214</v>
      </c>
      <c r="C816" s="51" t="s">
        <v>5287</v>
      </c>
      <c r="D816" s="51"/>
      <c r="E816" s="51"/>
      <c r="F816" s="51"/>
      <c r="G816" s="50" t="s">
        <v>5288</v>
      </c>
      <c r="H816" s="52">
        <v>44683.39398148148</v>
      </c>
      <c r="I816" s="50"/>
      <c r="J816" s="50"/>
      <c r="K816" s="50" t="s">
        <v>3317</v>
      </c>
      <c r="L816" s="50" t="s">
        <v>3318</v>
      </c>
      <c r="M816" s="50" t="s">
        <v>5216</v>
      </c>
      <c r="N816" s="50" t="s">
        <v>3426</v>
      </c>
      <c r="O816" s="53" t="s">
        <v>70</v>
      </c>
      <c r="P816" s="55" t="s">
        <v>5217</v>
      </c>
      <c r="Q816" s="50">
        <v>194.0</v>
      </c>
      <c r="R816" s="50">
        <v>557.0</v>
      </c>
      <c r="S816" s="50" t="s">
        <v>3176</v>
      </c>
      <c r="T816" s="56" t="s">
        <v>5289</v>
      </c>
      <c r="U816" s="53" t="s">
        <v>5290</v>
      </c>
    </row>
    <row r="817">
      <c r="A817" s="54" t="s">
        <v>5291</v>
      </c>
      <c r="B817" s="50" t="s">
        <v>5292</v>
      </c>
      <c r="C817" s="51" t="s">
        <v>367</v>
      </c>
      <c r="D817" s="51"/>
      <c r="E817" s="51"/>
      <c r="F817" s="51"/>
      <c r="G817" s="50" t="s">
        <v>5293</v>
      </c>
      <c r="H817" s="52">
        <v>44683.393958333334</v>
      </c>
      <c r="I817" s="50"/>
      <c r="J817" s="50"/>
      <c r="K817" s="50"/>
      <c r="L817" s="50"/>
      <c r="M817" s="50" t="s">
        <v>5294</v>
      </c>
      <c r="N817" s="50"/>
      <c r="O817" s="53" t="s">
        <v>60</v>
      </c>
      <c r="P817" s="55" t="s">
        <v>5295</v>
      </c>
      <c r="Q817" s="50">
        <v>3889.0</v>
      </c>
      <c r="R817" s="50">
        <v>4655.0</v>
      </c>
      <c r="S817" s="50" t="s">
        <v>5296</v>
      </c>
      <c r="T817" s="56" t="s">
        <v>5297</v>
      </c>
      <c r="U817" s="53" t="s">
        <v>370</v>
      </c>
    </row>
    <row r="818">
      <c r="A818" s="54" t="s">
        <v>5298</v>
      </c>
      <c r="B818" s="50" t="s">
        <v>5299</v>
      </c>
      <c r="C818" s="51" t="s">
        <v>316</v>
      </c>
      <c r="D818" s="51"/>
      <c r="E818" s="51"/>
      <c r="F818" s="51"/>
      <c r="G818" s="50" t="s">
        <v>5300</v>
      </c>
      <c r="H818" s="52">
        <v>44683.39383101852</v>
      </c>
      <c r="I818" s="50"/>
      <c r="J818" s="50"/>
      <c r="K818" s="50"/>
      <c r="L818" s="50"/>
      <c r="M818" s="50" t="s">
        <v>5301</v>
      </c>
      <c r="N818" s="50"/>
      <c r="O818" s="53" t="s">
        <v>217</v>
      </c>
      <c r="P818" s="55" t="s">
        <v>5302</v>
      </c>
      <c r="Q818" s="50">
        <v>427.0</v>
      </c>
      <c r="R818" s="50">
        <v>580.0</v>
      </c>
      <c r="S818" s="50" t="s">
        <v>5303</v>
      </c>
      <c r="T818" s="56" t="s">
        <v>5304</v>
      </c>
      <c r="U818" s="53" t="s">
        <v>322</v>
      </c>
    </row>
    <row r="819">
      <c r="A819" s="54" t="s">
        <v>5305</v>
      </c>
      <c r="B819" s="50" t="s">
        <v>5306</v>
      </c>
      <c r="C819" s="51" t="s">
        <v>5307</v>
      </c>
      <c r="D819" s="51"/>
      <c r="E819" s="51"/>
      <c r="F819" s="51"/>
      <c r="G819" s="50" t="s">
        <v>5308</v>
      </c>
      <c r="H819" s="52">
        <v>44683.39377314815</v>
      </c>
      <c r="I819" s="50"/>
      <c r="J819" s="50"/>
      <c r="K819" s="50"/>
      <c r="L819" s="50"/>
      <c r="M819" s="50" t="s">
        <v>5309</v>
      </c>
      <c r="N819" s="50"/>
      <c r="O819" s="53" t="s">
        <v>70</v>
      </c>
      <c r="P819" s="55" t="s">
        <v>354</v>
      </c>
      <c r="Q819" s="50">
        <v>241.0</v>
      </c>
      <c r="R819" s="50">
        <v>320.0</v>
      </c>
      <c r="S819" s="50"/>
      <c r="T819" s="56" t="s">
        <v>5310</v>
      </c>
      <c r="U819" s="53" t="s">
        <v>5311</v>
      </c>
    </row>
    <row r="820">
      <c r="A820" s="54" t="s">
        <v>5312</v>
      </c>
      <c r="B820" s="50" t="s">
        <v>5313</v>
      </c>
      <c r="C820" s="51" t="s">
        <v>367</v>
      </c>
      <c r="D820" s="51"/>
      <c r="E820" s="51"/>
      <c r="F820" s="51"/>
      <c r="G820" s="50" t="s">
        <v>5314</v>
      </c>
      <c r="H820" s="52">
        <v>44683.39366898148</v>
      </c>
      <c r="I820" s="50"/>
      <c r="J820" s="50"/>
      <c r="K820" s="50"/>
      <c r="L820" s="50"/>
      <c r="M820" s="50" t="s">
        <v>5315</v>
      </c>
      <c r="N820" s="50"/>
      <c r="O820" s="53" t="s">
        <v>70</v>
      </c>
      <c r="P820" s="55" t="s">
        <v>354</v>
      </c>
      <c r="Q820" s="50">
        <v>6.0</v>
      </c>
      <c r="R820" s="50">
        <v>107.0</v>
      </c>
      <c r="S820" s="50"/>
      <c r="T820" s="56" t="s">
        <v>5316</v>
      </c>
      <c r="U820" s="53" t="s">
        <v>370</v>
      </c>
    </row>
    <row r="821">
      <c r="A821" s="54" t="s">
        <v>5317</v>
      </c>
      <c r="B821" s="50" t="s">
        <v>5318</v>
      </c>
      <c r="C821" s="51" t="s">
        <v>5319</v>
      </c>
      <c r="D821" s="51"/>
      <c r="E821" s="51"/>
      <c r="F821" s="51"/>
      <c r="G821" s="50" t="s">
        <v>5320</v>
      </c>
      <c r="H821" s="52">
        <v>44683.393634259264</v>
      </c>
      <c r="I821" s="50"/>
      <c r="J821" s="50"/>
      <c r="K821" s="50" t="s">
        <v>3317</v>
      </c>
      <c r="L821" s="50" t="s">
        <v>3318</v>
      </c>
      <c r="M821" s="50" t="s">
        <v>5321</v>
      </c>
      <c r="N821" s="50" t="s">
        <v>3426</v>
      </c>
      <c r="O821" s="53" t="s">
        <v>70</v>
      </c>
      <c r="P821" s="55" t="s">
        <v>5322</v>
      </c>
      <c r="Q821" s="50">
        <v>27516.0</v>
      </c>
      <c r="R821" s="50">
        <v>18719.0</v>
      </c>
      <c r="S821" s="50" t="s">
        <v>5323</v>
      </c>
      <c r="T821" s="56" t="s">
        <v>5324</v>
      </c>
      <c r="U821" s="53" t="s">
        <v>5325</v>
      </c>
    </row>
    <row r="822">
      <c r="A822" s="54" t="s">
        <v>5326</v>
      </c>
      <c r="B822" s="50" t="s">
        <v>5327</v>
      </c>
      <c r="C822" s="51" t="s">
        <v>5328</v>
      </c>
      <c r="D822" s="51"/>
      <c r="E822" s="51"/>
      <c r="F822" s="51"/>
      <c r="G822" s="50" t="s">
        <v>5329</v>
      </c>
      <c r="H822" s="52">
        <v>44683.39359953704</v>
      </c>
      <c r="I822" s="50"/>
      <c r="J822" s="50"/>
      <c r="K822" s="50"/>
      <c r="L822" s="50"/>
      <c r="M822" s="50" t="s">
        <v>5330</v>
      </c>
      <c r="N822" s="50"/>
      <c r="O822" s="53" t="s">
        <v>70</v>
      </c>
      <c r="P822" s="55" t="s">
        <v>5331</v>
      </c>
      <c r="Q822" s="50">
        <v>4623.0</v>
      </c>
      <c r="R822" s="50">
        <v>5069.0</v>
      </c>
      <c r="S822" s="50" t="s">
        <v>129</v>
      </c>
      <c r="T822" s="56" t="s">
        <v>5332</v>
      </c>
      <c r="U822" s="53" t="s">
        <v>5333</v>
      </c>
    </row>
    <row r="823">
      <c r="A823" s="54" t="s">
        <v>5334</v>
      </c>
      <c r="B823" s="50" t="s">
        <v>5335</v>
      </c>
      <c r="C823" s="51" t="s">
        <v>367</v>
      </c>
      <c r="D823" s="51"/>
      <c r="E823" s="51"/>
      <c r="F823" s="51"/>
      <c r="G823" s="50" t="s">
        <v>5336</v>
      </c>
      <c r="H823" s="52">
        <v>44683.393541666665</v>
      </c>
      <c r="I823" s="50"/>
      <c r="J823" s="50"/>
      <c r="K823" s="50"/>
      <c r="L823" s="50"/>
      <c r="M823" s="50" t="s">
        <v>5337</v>
      </c>
      <c r="N823" s="50"/>
      <c r="O823" s="53" t="s">
        <v>217</v>
      </c>
      <c r="P823" s="55" t="s">
        <v>5338</v>
      </c>
      <c r="Q823" s="50">
        <v>645.0</v>
      </c>
      <c r="R823" s="50">
        <v>509.0</v>
      </c>
      <c r="S823" s="50" t="s">
        <v>5339</v>
      </c>
      <c r="T823" s="56" t="s">
        <v>5340</v>
      </c>
      <c r="U823" s="53" t="s">
        <v>370</v>
      </c>
    </row>
    <row r="824">
      <c r="A824" s="54" t="s">
        <v>5341</v>
      </c>
      <c r="B824" s="50" t="s">
        <v>5342</v>
      </c>
      <c r="C824" s="51" t="s">
        <v>1439</v>
      </c>
      <c r="D824" s="51"/>
      <c r="E824" s="51"/>
      <c r="F824" s="51"/>
      <c r="G824" s="50" t="s">
        <v>5343</v>
      </c>
      <c r="H824" s="52">
        <v>44683.39340277778</v>
      </c>
      <c r="I824" s="50"/>
      <c r="J824" s="50"/>
      <c r="K824" s="50"/>
      <c r="L824" s="50"/>
      <c r="M824" s="50" t="s">
        <v>5344</v>
      </c>
      <c r="N824" s="50"/>
      <c r="O824" s="53" t="s">
        <v>92</v>
      </c>
      <c r="P824" s="55" t="s">
        <v>5345</v>
      </c>
      <c r="Q824" s="50">
        <v>7834.0</v>
      </c>
      <c r="R824" s="50">
        <v>240.0</v>
      </c>
      <c r="S824" s="50" t="s">
        <v>5346</v>
      </c>
      <c r="T824" s="56" t="s">
        <v>5347</v>
      </c>
      <c r="U824" s="53" t="s">
        <v>1443</v>
      </c>
    </row>
    <row r="825">
      <c r="A825" s="54" t="s">
        <v>5348</v>
      </c>
      <c r="B825" s="50" t="s">
        <v>2224</v>
      </c>
      <c r="C825" s="51" t="s">
        <v>5349</v>
      </c>
      <c r="D825" s="51"/>
      <c r="E825" s="51"/>
      <c r="F825" s="51"/>
      <c r="G825" s="50" t="s">
        <v>5350</v>
      </c>
      <c r="H825" s="52">
        <v>44683.39333333333</v>
      </c>
      <c r="I825" s="50"/>
      <c r="J825" s="50"/>
      <c r="K825" s="50" t="s">
        <v>2227</v>
      </c>
      <c r="L825" s="50" t="s">
        <v>2228</v>
      </c>
      <c r="M825" s="50" t="s">
        <v>2229</v>
      </c>
      <c r="N825" s="50" t="s">
        <v>5351</v>
      </c>
      <c r="O825" s="53" t="s">
        <v>92</v>
      </c>
      <c r="P825" s="55" t="s">
        <v>354</v>
      </c>
      <c r="Q825" s="50">
        <v>108.0</v>
      </c>
      <c r="R825" s="50">
        <v>82.0</v>
      </c>
      <c r="S825" s="50" t="s">
        <v>1153</v>
      </c>
      <c r="T825" s="56" t="s">
        <v>5352</v>
      </c>
      <c r="U825" s="53" t="s">
        <v>5353</v>
      </c>
    </row>
    <row r="826">
      <c r="A826" s="54" t="s">
        <v>5354</v>
      </c>
      <c r="B826" s="50" t="s">
        <v>5355</v>
      </c>
      <c r="C826" s="51" t="s">
        <v>367</v>
      </c>
      <c r="D826" s="51"/>
      <c r="E826" s="51"/>
      <c r="F826" s="51"/>
      <c r="G826" s="50" t="s">
        <v>5356</v>
      </c>
      <c r="H826" s="52">
        <v>44683.39328703703</v>
      </c>
      <c r="I826" s="50"/>
      <c r="J826" s="50"/>
      <c r="K826" s="50"/>
      <c r="L826" s="50"/>
      <c r="M826" s="50" t="s">
        <v>5357</v>
      </c>
      <c r="N826" s="50"/>
      <c r="O826" s="53" t="s">
        <v>70</v>
      </c>
      <c r="P826" s="55" t="s">
        <v>5358</v>
      </c>
      <c r="Q826" s="50">
        <v>31.0</v>
      </c>
      <c r="R826" s="50">
        <v>238.0</v>
      </c>
      <c r="S826" s="50" t="s">
        <v>246</v>
      </c>
      <c r="T826" s="56" t="s">
        <v>5359</v>
      </c>
      <c r="U826" s="53" t="s">
        <v>370</v>
      </c>
    </row>
    <row r="827">
      <c r="A827" s="54" t="s">
        <v>5360</v>
      </c>
      <c r="B827" s="50" t="s">
        <v>4257</v>
      </c>
      <c r="C827" s="51" t="s">
        <v>367</v>
      </c>
      <c r="D827" s="51"/>
      <c r="E827" s="51"/>
      <c r="F827" s="51"/>
      <c r="G827" s="50" t="s">
        <v>5361</v>
      </c>
      <c r="H827" s="52">
        <v>44683.39320601852</v>
      </c>
      <c r="I827" s="50"/>
      <c r="J827" s="50"/>
      <c r="K827" s="50"/>
      <c r="L827" s="50"/>
      <c r="M827" s="50" t="s">
        <v>4260</v>
      </c>
      <c r="N827" s="50"/>
      <c r="O827" s="53" t="s">
        <v>217</v>
      </c>
      <c r="P827" s="55" t="s">
        <v>4261</v>
      </c>
      <c r="Q827" s="50">
        <v>4734.0</v>
      </c>
      <c r="R827" s="50">
        <v>4443.0</v>
      </c>
      <c r="S827" s="50" t="s">
        <v>4262</v>
      </c>
      <c r="T827" s="56" t="s">
        <v>5362</v>
      </c>
      <c r="U827" s="53" t="s">
        <v>370</v>
      </c>
    </row>
    <row r="828">
      <c r="A828" s="54" t="s">
        <v>5363</v>
      </c>
      <c r="B828" s="50" t="s">
        <v>5364</v>
      </c>
      <c r="C828" s="51" t="s">
        <v>5365</v>
      </c>
      <c r="D828" s="51"/>
      <c r="E828" s="51"/>
      <c r="F828" s="51"/>
      <c r="G828" s="50" t="s">
        <v>5366</v>
      </c>
      <c r="H828" s="52">
        <v>44683.393171296295</v>
      </c>
      <c r="I828" s="50"/>
      <c r="J828" s="50"/>
      <c r="K828" s="50"/>
      <c r="L828" s="50"/>
      <c r="M828" s="50" t="s">
        <v>5367</v>
      </c>
      <c r="N828" s="50"/>
      <c r="O828" s="53" t="s">
        <v>60</v>
      </c>
      <c r="P828" s="55" t="s">
        <v>354</v>
      </c>
      <c r="Q828" s="50">
        <v>112.0</v>
      </c>
      <c r="R828" s="50">
        <v>682.0</v>
      </c>
      <c r="S828" s="50"/>
      <c r="T828" s="56" t="s">
        <v>5368</v>
      </c>
      <c r="U828" s="53" t="s">
        <v>5369</v>
      </c>
    </row>
    <row r="829">
      <c r="A829" s="54" t="s">
        <v>5370</v>
      </c>
      <c r="B829" s="50" t="s">
        <v>5371</v>
      </c>
      <c r="C829" s="51" t="s">
        <v>5372</v>
      </c>
      <c r="D829" s="51"/>
      <c r="E829" s="51"/>
      <c r="F829" s="51"/>
      <c r="G829" s="50" t="s">
        <v>5373</v>
      </c>
      <c r="H829" s="52">
        <v>44683.3927662037</v>
      </c>
      <c r="I829" s="50"/>
      <c r="J829" s="50"/>
      <c r="K829" s="50"/>
      <c r="L829" s="50"/>
      <c r="M829" s="50" t="s">
        <v>5374</v>
      </c>
      <c r="N829" s="50"/>
      <c r="O829" s="53" t="s">
        <v>92</v>
      </c>
      <c r="P829" s="55" t="s">
        <v>5375</v>
      </c>
      <c r="Q829" s="50">
        <v>1201.0</v>
      </c>
      <c r="R829" s="50">
        <v>288.0</v>
      </c>
      <c r="S829" s="50" t="s">
        <v>5376</v>
      </c>
      <c r="T829" s="56" t="s">
        <v>5377</v>
      </c>
      <c r="U829" s="53" t="s">
        <v>5378</v>
      </c>
    </row>
    <row r="830">
      <c r="A830" s="54" t="s">
        <v>5379</v>
      </c>
      <c r="B830" s="50" t="s">
        <v>5380</v>
      </c>
      <c r="C830" s="51" t="s">
        <v>5381</v>
      </c>
      <c r="D830" s="51"/>
      <c r="E830" s="51"/>
      <c r="F830" s="51"/>
      <c r="G830" s="50" t="s">
        <v>5382</v>
      </c>
      <c r="H830" s="52">
        <v>44683.392638888894</v>
      </c>
      <c r="I830" s="50"/>
      <c r="J830" s="50"/>
      <c r="K830" s="50"/>
      <c r="L830" s="50"/>
      <c r="M830" s="50" t="s">
        <v>5383</v>
      </c>
      <c r="N830" s="50"/>
      <c r="O830" s="53" t="s">
        <v>60</v>
      </c>
      <c r="P830" s="55" t="s">
        <v>5384</v>
      </c>
      <c r="Q830" s="50">
        <v>324.0</v>
      </c>
      <c r="R830" s="50">
        <v>116.0</v>
      </c>
      <c r="S830" s="50"/>
      <c r="T830" s="56" t="s">
        <v>5385</v>
      </c>
      <c r="U830" s="53" t="s">
        <v>5386</v>
      </c>
    </row>
    <row r="831">
      <c r="A831" s="54" t="s">
        <v>5387</v>
      </c>
      <c r="B831" s="50" t="s">
        <v>5388</v>
      </c>
      <c r="C831" s="51" t="s">
        <v>367</v>
      </c>
      <c r="D831" s="51"/>
      <c r="E831" s="51"/>
      <c r="F831" s="51"/>
      <c r="G831" s="50" t="s">
        <v>5389</v>
      </c>
      <c r="H831" s="52">
        <v>44683.3925</v>
      </c>
      <c r="I831" s="50"/>
      <c r="J831" s="50"/>
      <c r="K831" s="50"/>
      <c r="L831" s="50"/>
      <c r="M831" s="50" t="s">
        <v>5390</v>
      </c>
      <c r="N831" s="50"/>
      <c r="O831" s="53" t="s">
        <v>70</v>
      </c>
      <c r="P831" s="55" t="s">
        <v>5391</v>
      </c>
      <c r="Q831" s="50">
        <v>3457.0</v>
      </c>
      <c r="R831" s="50">
        <v>3273.0</v>
      </c>
      <c r="S831" s="50" t="s">
        <v>129</v>
      </c>
      <c r="T831" s="56" t="s">
        <v>5392</v>
      </c>
      <c r="U831" s="53" t="s">
        <v>370</v>
      </c>
    </row>
    <row r="832">
      <c r="A832" s="54" t="s">
        <v>5393</v>
      </c>
      <c r="B832" s="50" t="s">
        <v>5394</v>
      </c>
      <c r="C832" s="51" t="s">
        <v>367</v>
      </c>
      <c r="D832" s="51"/>
      <c r="E832" s="51"/>
      <c r="F832" s="51"/>
      <c r="G832" s="50" t="s">
        <v>5395</v>
      </c>
      <c r="H832" s="52">
        <v>44683.39247685185</v>
      </c>
      <c r="I832" s="50"/>
      <c r="J832" s="50"/>
      <c r="K832" s="50"/>
      <c r="L832" s="50"/>
      <c r="M832" s="50" t="s">
        <v>5396</v>
      </c>
      <c r="N832" s="50"/>
      <c r="O832" s="53" t="s">
        <v>70</v>
      </c>
      <c r="P832" s="55" t="s">
        <v>5397</v>
      </c>
      <c r="Q832" s="50">
        <v>2193.0</v>
      </c>
      <c r="R832" s="50">
        <v>3719.0</v>
      </c>
      <c r="S832" s="50"/>
      <c r="T832" s="56" t="s">
        <v>5398</v>
      </c>
      <c r="U832" s="53" t="s">
        <v>370</v>
      </c>
    </row>
    <row r="833">
      <c r="A833" s="54" t="s">
        <v>5399</v>
      </c>
      <c r="B833" s="50" t="s">
        <v>5400</v>
      </c>
      <c r="C833" s="51" t="s">
        <v>5401</v>
      </c>
      <c r="D833" s="51"/>
      <c r="E833" s="51"/>
      <c r="F833" s="51"/>
      <c r="G833" s="50" t="s">
        <v>5395</v>
      </c>
      <c r="H833" s="52">
        <v>44683.39247685185</v>
      </c>
      <c r="I833" s="50"/>
      <c r="J833" s="50"/>
      <c r="K833" s="50" t="s">
        <v>5402</v>
      </c>
      <c r="L833" s="50" t="s">
        <v>5403</v>
      </c>
      <c r="M833" s="50" t="s">
        <v>5404</v>
      </c>
      <c r="N833" s="50" t="s">
        <v>5405</v>
      </c>
      <c r="O833" s="53" t="s">
        <v>60</v>
      </c>
      <c r="P833" s="55" t="s">
        <v>5406</v>
      </c>
      <c r="Q833" s="50">
        <v>231.0</v>
      </c>
      <c r="R833" s="50">
        <v>625.0</v>
      </c>
      <c r="S833" s="50" t="s">
        <v>5407</v>
      </c>
      <c r="T833" s="56" t="s">
        <v>5408</v>
      </c>
      <c r="U833" s="53" t="s">
        <v>5409</v>
      </c>
    </row>
    <row r="834">
      <c r="A834" s="54" t="s">
        <v>5410</v>
      </c>
      <c r="B834" s="50" t="s">
        <v>5411</v>
      </c>
      <c r="C834" s="51" t="s">
        <v>1402</v>
      </c>
      <c r="D834" s="51"/>
      <c r="E834" s="51"/>
      <c r="F834" s="51"/>
      <c r="G834" s="50" t="s">
        <v>5412</v>
      </c>
      <c r="H834" s="52">
        <v>44683.392442129625</v>
      </c>
      <c r="I834" s="50"/>
      <c r="J834" s="50"/>
      <c r="K834" s="50"/>
      <c r="L834" s="50"/>
      <c r="M834" s="50" t="s">
        <v>5413</v>
      </c>
      <c r="N834" s="50"/>
      <c r="O834" s="53" t="s">
        <v>92</v>
      </c>
      <c r="P834" s="55" t="s">
        <v>5414</v>
      </c>
      <c r="Q834" s="50">
        <v>1054.0</v>
      </c>
      <c r="R834" s="50">
        <v>1510.0</v>
      </c>
      <c r="S834" s="50"/>
      <c r="T834" s="56" t="s">
        <v>5415</v>
      </c>
      <c r="U834" s="53" t="s">
        <v>1408</v>
      </c>
    </row>
    <row r="835">
      <c r="A835" s="54" t="s">
        <v>5416</v>
      </c>
      <c r="B835" s="50" t="s">
        <v>5026</v>
      </c>
      <c r="C835" s="51" t="s">
        <v>2630</v>
      </c>
      <c r="D835" s="51"/>
      <c r="E835" s="51"/>
      <c r="F835" s="51"/>
      <c r="G835" s="50" t="s">
        <v>5417</v>
      </c>
      <c r="H835" s="52">
        <v>44683.39233796296</v>
      </c>
      <c r="I835" s="50"/>
      <c r="J835" s="50"/>
      <c r="K835" s="50"/>
      <c r="L835" s="50"/>
      <c r="M835" s="50" t="s">
        <v>5028</v>
      </c>
      <c r="N835" s="50"/>
      <c r="O835" s="53" t="s">
        <v>70</v>
      </c>
      <c r="P835" s="55" t="s">
        <v>5029</v>
      </c>
      <c r="Q835" s="50">
        <v>2995.0</v>
      </c>
      <c r="R835" s="50">
        <v>2852.0</v>
      </c>
      <c r="S835" s="50"/>
      <c r="T835" s="56" t="s">
        <v>5418</v>
      </c>
      <c r="U835" s="53" t="s">
        <v>691</v>
      </c>
    </row>
    <row r="836">
      <c r="A836" s="54" t="s">
        <v>5419</v>
      </c>
      <c r="B836" s="50" t="s">
        <v>5420</v>
      </c>
      <c r="C836" s="51" t="s">
        <v>316</v>
      </c>
      <c r="D836" s="51"/>
      <c r="E836" s="51"/>
      <c r="F836" s="51"/>
      <c r="G836" s="50" t="s">
        <v>5421</v>
      </c>
      <c r="H836" s="52">
        <v>44683.39194444445</v>
      </c>
      <c r="I836" s="50"/>
      <c r="J836" s="50"/>
      <c r="K836" s="50"/>
      <c r="L836" s="50"/>
      <c r="M836" s="50" t="s">
        <v>5422</v>
      </c>
      <c r="N836" s="50"/>
      <c r="O836" s="53" t="s">
        <v>70</v>
      </c>
      <c r="P836" s="55" t="s">
        <v>5423</v>
      </c>
      <c r="Q836" s="50">
        <v>238.0</v>
      </c>
      <c r="R836" s="50">
        <v>494.0</v>
      </c>
      <c r="S836" s="50"/>
      <c r="T836" s="56" t="s">
        <v>5424</v>
      </c>
      <c r="U836" s="53" t="s">
        <v>322</v>
      </c>
    </row>
    <row r="837">
      <c r="A837" s="54" t="s">
        <v>5425</v>
      </c>
      <c r="B837" s="50" t="s">
        <v>5426</v>
      </c>
      <c r="C837" s="51" t="s">
        <v>367</v>
      </c>
      <c r="D837" s="51"/>
      <c r="E837" s="51"/>
      <c r="F837" s="51"/>
      <c r="G837" s="50" t="s">
        <v>5427</v>
      </c>
      <c r="H837" s="52">
        <v>44683.391921296294</v>
      </c>
      <c r="I837" s="50"/>
      <c r="J837" s="50"/>
      <c r="K837" s="50"/>
      <c r="L837" s="50"/>
      <c r="M837" s="50" t="s">
        <v>5428</v>
      </c>
      <c r="N837" s="50"/>
      <c r="O837" s="53" t="s">
        <v>217</v>
      </c>
      <c r="P837" s="55" t="s">
        <v>5429</v>
      </c>
      <c r="Q837" s="50">
        <v>547.0</v>
      </c>
      <c r="R837" s="50">
        <v>1020.0</v>
      </c>
      <c r="S837" s="50" t="s">
        <v>5430</v>
      </c>
      <c r="T837" s="56" t="s">
        <v>5431</v>
      </c>
      <c r="U837" s="53" t="s">
        <v>370</v>
      </c>
    </row>
    <row r="838">
      <c r="A838" s="54" t="s">
        <v>5432</v>
      </c>
      <c r="B838" s="50" t="s">
        <v>5420</v>
      </c>
      <c r="C838" s="51" t="s">
        <v>367</v>
      </c>
      <c r="D838" s="51"/>
      <c r="E838" s="51"/>
      <c r="F838" s="51"/>
      <c r="G838" s="50" t="s">
        <v>5433</v>
      </c>
      <c r="H838" s="52">
        <v>44683.39189814815</v>
      </c>
      <c r="I838" s="50"/>
      <c r="J838" s="50"/>
      <c r="K838" s="50"/>
      <c r="L838" s="50"/>
      <c r="M838" s="50" t="s">
        <v>5422</v>
      </c>
      <c r="N838" s="50"/>
      <c r="O838" s="53" t="s">
        <v>70</v>
      </c>
      <c r="P838" s="55" t="s">
        <v>5423</v>
      </c>
      <c r="Q838" s="50">
        <v>238.0</v>
      </c>
      <c r="R838" s="50">
        <v>494.0</v>
      </c>
      <c r="S838" s="50"/>
      <c r="T838" s="56" t="s">
        <v>5434</v>
      </c>
      <c r="U838" s="53" t="s">
        <v>370</v>
      </c>
    </row>
    <row r="839">
      <c r="A839" s="54" t="s">
        <v>5435</v>
      </c>
      <c r="B839" s="50" t="s">
        <v>5420</v>
      </c>
      <c r="C839" s="51" t="s">
        <v>329</v>
      </c>
      <c r="D839" s="51"/>
      <c r="E839" s="51"/>
      <c r="F839" s="51"/>
      <c r="G839" s="50" t="s">
        <v>5436</v>
      </c>
      <c r="H839" s="52">
        <v>44683.391875</v>
      </c>
      <c r="I839" s="50"/>
      <c r="J839" s="50"/>
      <c r="K839" s="50"/>
      <c r="L839" s="50"/>
      <c r="M839" s="50" t="s">
        <v>5422</v>
      </c>
      <c r="N839" s="50"/>
      <c r="O839" s="53" t="s">
        <v>70</v>
      </c>
      <c r="P839" s="55" t="s">
        <v>5423</v>
      </c>
      <c r="Q839" s="50">
        <v>238.0</v>
      </c>
      <c r="R839" s="50">
        <v>494.0</v>
      </c>
      <c r="S839" s="50"/>
      <c r="T839" s="56" t="s">
        <v>5437</v>
      </c>
      <c r="U839" s="53" t="s">
        <v>332</v>
      </c>
    </row>
    <row r="840">
      <c r="A840" s="54" t="s">
        <v>5438</v>
      </c>
      <c r="B840" s="50" t="s">
        <v>5439</v>
      </c>
      <c r="C840" s="51" t="s">
        <v>2456</v>
      </c>
      <c r="D840" s="51"/>
      <c r="E840" s="51"/>
      <c r="F840" s="51"/>
      <c r="G840" s="50" t="s">
        <v>5440</v>
      </c>
      <c r="H840" s="52">
        <v>44683.39172453704</v>
      </c>
      <c r="I840" s="50"/>
      <c r="J840" s="50"/>
      <c r="K840" s="50"/>
      <c r="L840" s="50"/>
      <c r="M840" s="50" t="s">
        <v>5441</v>
      </c>
      <c r="N840" s="50"/>
      <c r="O840" s="53" t="s">
        <v>70</v>
      </c>
      <c r="P840" s="55" t="s">
        <v>5442</v>
      </c>
      <c r="Q840" s="50">
        <v>4021.0</v>
      </c>
      <c r="R840" s="50">
        <v>200.0</v>
      </c>
      <c r="S840" s="50"/>
      <c r="T840" s="56" t="s">
        <v>5443</v>
      </c>
      <c r="U840" s="53" t="s">
        <v>2461</v>
      </c>
    </row>
    <row r="841">
      <c r="A841" s="54" t="s">
        <v>5444</v>
      </c>
      <c r="B841" s="50" t="s">
        <v>5445</v>
      </c>
      <c r="C841" s="51" t="s">
        <v>367</v>
      </c>
      <c r="D841" s="51"/>
      <c r="E841" s="51"/>
      <c r="F841" s="51"/>
      <c r="G841" s="50" t="s">
        <v>5446</v>
      </c>
      <c r="H841" s="52">
        <v>44683.39167824074</v>
      </c>
      <c r="I841" s="50"/>
      <c r="J841" s="50"/>
      <c r="K841" s="50"/>
      <c r="L841" s="50"/>
      <c r="M841" s="50" t="s">
        <v>5447</v>
      </c>
      <c r="N841" s="50"/>
      <c r="O841" s="53" t="s">
        <v>70</v>
      </c>
      <c r="P841" s="55" t="s">
        <v>5448</v>
      </c>
      <c r="Q841" s="50">
        <v>689.0</v>
      </c>
      <c r="R841" s="50">
        <v>7.0</v>
      </c>
      <c r="S841" s="50" t="s">
        <v>5449</v>
      </c>
      <c r="T841" s="56" t="s">
        <v>5450</v>
      </c>
      <c r="U841" s="53" t="s">
        <v>370</v>
      </c>
    </row>
    <row r="842">
      <c r="A842" s="54" t="s">
        <v>5451</v>
      </c>
      <c r="B842" s="50" t="s">
        <v>5452</v>
      </c>
      <c r="C842" s="51" t="s">
        <v>367</v>
      </c>
      <c r="D842" s="51"/>
      <c r="E842" s="51"/>
      <c r="F842" s="51"/>
      <c r="G842" s="50" t="s">
        <v>5453</v>
      </c>
      <c r="H842" s="52">
        <v>44683.39158564815</v>
      </c>
      <c r="I842" s="50"/>
      <c r="J842" s="50"/>
      <c r="K842" s="50"/>
      <c r="L842" s="50"/>
      <c r="M842" s="50" t="s">
        <v>5454</v>
      </c>
      <c r="N842" s="50"/>
      <c r="O842" s="53" t="s">
        <v>92</v>
      </c>
      <c r="P842" s="55" t="s">
        <v>354</v>
      </c>
      <c r="Q842" s="50">
        <v>5.0</v>
      </c>
      <c r="R842" s="50">
        <v>125.0</v>
      </c>
      <c r="S842" s="50"/>
      <c r="T842" s="56" t="s">
        <v>5455</v>
      </c>
      <c r="U842" s="53" t="s">
        <v>370</v>
      </c>
    </row>
    <row r="843">
      <c r="A843" s="54" t="s">
        <v>5456</v>
      </c>
      <c r="B843" s="50" t="s">
        <v>5457</v>
      </c>
      <c r="C843" s="51" t="s">
        <v>363</v>
      </c>
      <c r="D843" s="51"/>
      <c r="E843" s="51"/>
      <c r="F843" s="51"/>
      <c r="G843" s="50" t="s">
        <v>5458</v>
      </c>
      <c r="H843" s="52">
        <v>44683.39146990741</v>
      </c>
      <c r="I843" s="50"/>
      <c r="J843" s="50"/>
      <c r="K843" s="50"/>
      <c r="L843" s="50"/>
      <c r="M843" s="50" t="s">
        <v>5459</v>
      </c>
      <c r="N843" s="50"/>
      <c r="O843" s="53" t="s">
        <v>60</v>
      </c>
      <c r="P843" s="55" t="s">
        <v>5460</v>
      </c>
      <c r="Q843" s="50">
        <v>3576.0</v>
      </c>
      <c r="R843" s="50">
        <v>4255.0</v>
      </c>
      <c r="S843" s="50"/>
      <c r="T843" s="56" t="s">
        <v>5461</v>
      </c>
      <c r="U843" s="53" t="s">
        <v>332</v>
      </c>
    </row>
    <row r="844">
      <c r="A844" s="54" t="s">
        <v>5462</v>
      </c>
      <c r="B844" s="50" t="s">
        <v>5463</v>
      </c>
      <c r="C844" s="51" t="s">
        <v>5464</v>
      </c>
      <c r="D844" s="51"/>
      <c r="E844" s="51"/>
      <c r="F844" s="51"/>
      <c r="G844" s="50" t="s">
        <v>5465</v>
      </c>
      <c r="H844" s="52">
        <v>44683.39083333334</v>
      </c>
      <c r="I844" s="50"/>
      <c r="J844" s="50"/>
      <c r="K844" s="50" t="s">
        <v>5466</v>
      </c>
      <c r="L844" s="50" t="s">
        <v>5467</v>
      </c>
      <c r="M844" s="50" t="s">
        <v>5468</v>
      </c>
      <c r="N844" s="50" t="s">
        <v>5469</v>
      </c>
      <c r="O844" s="53" t="s">
        <v>92</v>
      </c>
      <c r="P844" s="55" t="s">
        <v>5470</v>
      </c>
      <c r="Q844" s="50">
        <v>670.0</v>
      </c>
      <c r="R844" s="50">
        <v>1041.0</v>
      </c>
      <c r="S844" s="50" t="s">
        <v>129</v>
      </c>
      <c r="T844" s="56" t="s">
        <v>5471</v>
      </c>
      <c r="U844" s="53" t="s">
        <v>5472</v>
      </c>
    </row>
    <row r="845">
      <c r="A845" s="54" t="s">
        <v>5473</v>
      </c>
      <c r="B845" s="50" t="s">
        <v>5474</v>
      </c>
      <c r="C845" s="51" t="s">
        <v>1307</v>
      </c>
      <c r="D845" s="51"/>
      <c r="E845" s="51"/>
      <c r="F845" s="51"/>
      <c r="G845" s="50" t="s">
        <v>5475</v>
      </c>
      <c r="H845" s="52">
        <v>44683.39074074074</v>
      </c>
      <c r="I845" s="50"/>
      <c r="J845" s="50"/>
      <c r="K845" s="50"/>
      <c r="L845" s="50"/>
      <c r="M845" s="50" t="s">
        <v>5476</v>
      </c>
      <c r="N845" s="50"/>
      <c r="O845" s="53" t="s">
        <v>60</v>
      </c>
      <c r="P845" s="55" t="s">
        <v>5477</v>
      </c>
      <c r="Q845" s="50">
        <v>40.0</v>
      </c>
      <c r="R845" s="50">
        <v>184.0</v>
      </c>
      <c r="S845" s="50"/>
      <c r="T845" s="56" t="s">
        <v>5478</v>
      </c>
      <c r="U845" s="53" t="s">
        <v>1313</v>
      </c>
    </row>
    <row r="846">
      <c r="A846" s="54" t="s">
        <v>5479</v>
      </c>
      <c r="B846" s="50" t="s">
        <v>5480</v>
      </c>
      <c r="C846" s="51" t="s">
        <v>367</v>
      </c>
      <c r="D846" s="51"/>
      <c r="E846" s="51"/>
      <c r="F846" s="51"/>
      <c r="G846" s="50" t="s">
        <v>5481</v>
      </c>
      <c r="H846" s="52">
        <v>44683.39071759259</v>
      </c>
      <c r="I846" s="50"/>
      <c r="J846" s="50"/>
      <c r="K846" s="50"/>
      <c r="L846" s="50"/>
      <c r="M846" s="50" t="s">
        <v>5482</v>
      </c>
      <c r="N846" s="50"/>
      <c r="O846" s="53" t="s">
        <v>60</v>
      </c>
      <c r="P846" s="55" t="s">
        <v>5483</v>
      </c>
      <c r="Q846" s="50">
        <v>227.0</v>
      </c>
      <c r="R846" s="50">
        <v>1983.0</v>
      </c>
      <c r="S846" s="50"/>
      <c r="T846" s="56" t="s">
        <v>5484</v>
      </c>
      <c r="U846" s="53" t="s">
        <v>370</v>
      </c>
    </row>
    <row r="847">
      <c r="A847" s="54" t="s">
        <v>5485</v>
      </c>
      <c r="B847" s="50" t="s">
        <v>5486</v>
      </c>
      <c r="C847" s="51" t="s">
        <v>2380</v>
      </c>
      <c r="D847" s="51"/>
      <c r="E847" s="51"/>
      <c r="F847" s="51"/>
      <c r="G847" s="50" t="s">
        <v>5487</v>
      </c>
      <c r="H847" s="52">
        <v>44683.39064814815</v>
      </c>
      <c r="I847" s="50"/>
      <c r="J847" s="50"/>
      <c r="K847" s="50"/>
      <c r="L847" s="50"/>
      <c r="M847" s="50" t="s">
        <v>5488</v>
      </c>
      <c r="N847" s="50"/>
      <c r="O847" s="53" t="s">
        <v>70</v>
      </c>
      <c r="P847" s="55" t="s">
        <v>5489</v>
      </c>
      <c r="Q847" s="50">
        <v>2020.0</v>
      </c>
      <c r="R847" s="50">
        <v>1734.0</v>
      </c>
      <c r="S847" s="50" t="s">
        <v>5490</v>
      </c>
      <c r="T847" s="56" t="s">
        <v>5491</v>
      </c>
      <c r="U847" s="53" t="s">
        <v>2385</v>
      </c>
    </row>
    <row r="848">
      <c r="A848" s="54" t="s">
        <v>5492</v>
      </c>
      <c r="B848" s="50" t="s">
        <v>5493</v>
      </c>
      <c r="C848" s="51" t="s">
        <v>367</v>
      </c>
      <c r="D848" s="51"/>
      <c r="E848" s="51"/>
      <c r="F848" s="51"/>
      <c r="G848" s="50" t="s">
        <v>5494</v>
      </c>
      <c r="H848" s="52">
        <v>44683.39056712963</v>
      </c>
      <c r="I848" s="50"/>
      <c r="J848" s="50"/>
      <c r="K848" s="50"/>
      <c r="L848" s="50"/>
      <c r="M848" s="50" t="s">
        <v>5495</v>
      </c>
      <c r="N848" s="50"/>
      <c r="O848" s="53" t="s">
        <v>92</v>
      </c>
      <c r="P848" s="55" t="s">
        <v>5496</v>
      </c>
      <c r="Q848" s="50">
        <v>361.0</v>
      </c>
      <c r="R848" s="50">
        <v>448.0</v>
      </c>
      <c r="S848" s="50" t="s">
        <v>5497</v>
      </c>
      <c r="T848" s="56" t="s">
        <v>5498</v>
      </c>
      <c r="U848" s="53" t="s">
        <v>370</v>
      </c>
    </row>
    <row r="849">
      <c r="A849" s="54" t="s">
        <v>5499</v>
      </c>
      <c r="B849" s="50" t="s">
        <v>5500</v>
      </c>
      <c r="C849" s="51" t="s">
        <v>367</v>
      </c>
      <c r="D849" s="51"/>
      <c r="E849" s="51"/>
      <c r="F849" s="51"/>
      <c r="G849" s="50" t="s">
        <v>5494</v>
      </c>
      <c r="H849" s="52">
        <v>44683.39056712963</v>
      </c>
      <c r="I849" s="50"/>
      <c r="J849" s="50"/>
      <c r="K849" s="50"/>
      <c r="L849" s="50"/>
      <c r="M849" s="50" t="s">
        <v>5501</v>
      </c>
      <c r="N849" s="50"/>
      <c r="O849" s="53" t="s">
        <v>60</v>
      </c>
      <c r="P849" s="55" t="s">
        <v>5502</v>
      </c>
      <c r="Q849" s="50">
        <v>651.0</v>
      </c>
      <c r="R849" s="50">
        <v>5000.0</v>
      </c>
      <c r="S849" s="50" t="s">
        <v>5503</v>
      </c>
      <c r="T849" s="56" t="s">
        <v>5504</v>
      </c>
      <c r="U849" s="53" t="s">
        <v>370</v>
      </c>
    </row>
    <row r="850">
      <c r="A850" s="54" t="s">
        <v>5505</v>
      </c>
      <c r="B850" s="50" t="s">
        <v>5506</v>
      </c>
      <c r="C850" s="51" t="s">
        <v>367</v>
      </c>
      <c r="D850" s="51"/>
      <c r="E850" s="51"/>
      <c r="F850" s="51"/>
      <c r="G850" s="50" t="s">
        <v>5507</v>
      </c>
      <c r="H850" s="52">
        <v>44683.390439814815</v>
      </c>
      <c r="I850" s="50"/>
      <c r="J850" s="50"/>
      <c r="K850" s="50"/>
      <c r="L850" s="50"/>
      <c r="M850" s="50" t="s">
        <v>5508</v>
      </c>
      <c r="N850" s="50"/>
      <c r="O850" s="53" t="s">
        <v>92</v>
      </c>
      <c r="P850" s="55" t="s">
        <v>5509</v>
      </c>
      <c r="Q850" s="50">
        <v>845.0</v>
      </c>
      <c r="R850" s="50">
        <v>978.0</v>
      </c>
      <c r="S850" s="50" t="s">
        <v>5510</v>
      </c>
      <c r="T850" s="56" t="s">
        <v>5511</v>
      </c>
      <c r="U850" s="53" t="s">
        <v>370</v>
      </c>
    </row>
    <row r="851">
      <c r="A851" s="54" t="s">
        <v>5512</v>
      </c>
      <c r="B851" s="50" t="s">
        <v>5513</v>
      </c>
      <c r="C851" s="51" t="s">
        <v>5514</v>
      </c>
      <c r="D851" s="51"/>
      <c r="E851" s="51"/>
      <c r="F851" s="51"/>
      <c r="G851" s="50" t="s">
        <v>5507</v>
      </c>
      <c r="H851" s="52">
        <v>44683.390439814815</v>
      </c>
      <c r="I851" s="50"/>
      <c r="J851" s="50"/>
      <c r="K851" s="50"/>
      <c r="L851" s="50"/>
      <c r="M851" s="50" t="s">
        <v>5515</v>
      </c>
      <c r="N851" s="50"/>
      <c r="O851" s="53" t="s">
        <v>70</v>
      </c>
      <c r="P851" s="55" t="s">
        <v>5516</v>
      </c>
      <c r="Q851" s="50">
        <v>7796.0</v>
      </c>
      <c r="R851" s="50">
        <v>7912.0</v>
      </c>
      <c r="S851" s="50" t="s">
        <v>5517</v>
      </c>
      <c r="T851" s="56" t="s">
        <v>5518</v>
      </c>
      <c r="U851" s="53" t="s">
        <v>5519</v>
      </c>
    </row>
    <row r="852">
      <c r="A852" s="54" t="s">
        <v>5520</v>
      </c>
      <c r="B852" s="50" t="s">
        <v>5521</v>
      </c>
      <c r="C852" s="51" t="s">
        <v>5522</v>
      </c>
      <c r="D852" s="51"/>
      <c r="E852" s="51"/>
      <c r="F852" s="51"/>
      <c r="G852" s="50" t="s">
        <v>5523</v>
      </c>
      <c r="H852" s="52">
        <v>44683.39028935185</v>
      </c>
      <c r="I852" s="50"/>
      <c r="J852" s="50"/>
      <c r="K852" s="50"/>
      <c r="L852" s="50"/>
      <c r="M852" s="50" t="s">
        <v>5524</v>
      </c>
      <c r="N852" s="50"/>
      <c r="O852" s="53" t="s">
        <v>60</v>
      </c>
      <c r="P852" s="55" t="s">
        <v>5525</v>
      </c>
      <c r="Q852" s="50">
        <v>169.0</v>
      </c>
      <c r="R852" s="50">
        <v>390.0</v>
      </c>
      <c r="S852" s="50" t="s">
        <v>5526</v>
      </c>
      <c r="T852" s="56" t="s">
        <v>5527</v>
      </c>
      <c r="U852" s="53" t="s">
        <v>5528</v>
      </c>
    </row>
    <row r="853">
      <c r="A853" s="54" t="s">
        <v>5529</v>
      </c>
      <c r="B853" s="50" t="s">
        <v>5530</v>
      </c>
      <c r="C853" s="51" t="s">
        <v>363</v>
      </c>
      <c r="D853" s="51"/>
      <c r="E853" s="51"/>
      <c r="F853" s="51"/>
      <c r="G853" s="50" t="s">
        <v>5531</v>
      </c>
      <c r="H853" s="52">
        <v>44683.39027777778</v>
      </c>
      <c r="I853" s="50"/>
      <c r="J853" s="50"/>
      <c r="K853" s="50"/>
      <c r="L853" s="50"/>
      <c r="M853" s="50" t="s">
        <v>5532</v>
      </c>
      <c r="N853" s="50"/>
      <c r="O853" s="53" t="s">
        <v>70</v>
      </c>
      <c r="P853" s="55" t="s">
        <v>5533</v>
      </c>
      <c r="Q853" s="50">
        <v>1060.0</v>
      </c>
      <c r="R853" s="50">
        <v>1085.0</v>
      </c>
      <c r="S853" s="50" t="s">
        <v>5534</v>
      </c>
      <c r="T853" s="56" t="s">
        <v>5535</v>
      </c>
      <c r="U853" s="53" t="s">
        <v>332</v>
      </c>
    </row>
    <row r="854">
      <c r="A854" s="54" t="s">
        <v>5536</v>
      </c>
      <c r="B854" s="50" t="s">
        <v>5537</v>
      </c>
      <c r="C854" s="51" t="s">
        <v>5538</v>
      </c>
      <c r="D854" s="51"/>
      <c r="E854" s="51"/>
      <c r="F854" s="51"/>
      <c r="G854" s="50" t="s">
        <v>5531</v>
      </c>
      <c r="H854" s="52">
        <v>44683.39027777778</v>
      </c>
      <c r="I854" s="50"/>
      <c r="J854" s="50"/>
      <c r="K854" s="50"/>
      <c r="L854" s="50"/>
      <c r="M854" s="50" t="s">
        <v>5539</v>
      </c>
      <c r="N854" s="50"/>
      <c r="O854" s="53" t="s">
        <v>60</v>
      </c>
      <c r="P854" s="55" t="s">
        <v>5540</v>
      </c>
      <c r="Q854" s="50">
        <v>10778.0</v>
      </c>
      <c r="R854" s="50">
        <v>10947.0</v>
      </c>
      <c r="S854" s="50" t="s">
        <v>5541</v>
      </c>
      <c r="T854" s="56" t="s">
        <v>5542</v>
      </c>
      <c r="U854" s="53" t="s">
        <v>5543</v>
      </c>
    </row>
    <row r="855">
      <c r="A855" s="54" t="s">
        <v>5544</v>
      </c>
      <c r="B855" s="50" t="s">
        <v>5545</v>
      </c>
      <c r="C855" s="51" t="s">
        <v>1307</v>
      </c>
      <c r="D855" s="51"/>
      <c r="E855" s="51"/>
      <c r="F855" s="51"/>
      <c r="G855" s="50" t="s">
        <v>5546</v>
      </c>
      <c r="H855" s="52">
        <v>44683.390127314815</v>
      </c>
      <c r="I855" s="50"/>
      <c r="J855" s="50"/>
      <c r="K855" s="50"/>
      <c r="L855" s="50"/>
      <c r="M855" s="50" t="s">
        <v>5547</v>
      </c>
      <c r="N855" s="50"/>
      <c r="O855" s="53" t="s">
        <v>217</v>
      </c>
      <c r="P855" s="55" t="s">
        <v>5548</v>
      </c>
      <c r="Q855" s="50">
        <v>321.0</v>
      </c>
      <c r="R855" s="50">
        <v>662.0</v>
      </c>
      <c r="S855" s="50"/>
      <c r="T855" s="56" t="s">
        <v>5549</v>
      </c>
      <c r="U855" s="53" t="s">
        <v>1313</v>
      </c>
    </row>
    <row r="856">
      <c r="A856" s="54" t="s">
        <v>5550</v>
      </c>
      <c r="B856" s="50" t="s">
        <v>5551</v>
      </c>
      <c r="C856" s="51" t="s">
        <v>367</v>
      </c>
      <c r="D856" s="51"/>
      <c r="E856" s="51"/>
      <c r="F856" s="51"/>
      <c r="G856" s="50" t="s">
        <v>5552</v>
      </c>
      <c r="H856" s="52">
        <v>44683.39009259259</v>
      </c>
      <c r="I856" s="50"/>
      <c r="J856" s="50"/>
      <c r="K856" s="50"/>
      <c r="L856" s="50"/>
      <c r="M856" s="50" t="s">
        <v>5553</v>
      </c>
      <c r="N856" s="50"/>
      <c r="O856" s="53" t="s">
        <v>70</v>
      </c>
      <c r="P856" s="55" t="s">
        <v>5554</v>
      </c>
      <c r="Q856" s="50">
        <v>2629.0</v>
      </c>
      <c r="R856" s="50">
        <v>3839.0</v>
      </c>
      <c r="S856" s="50" t="s">
        <v>5555</v>
      </c>
      <c r="T856" s="56" t="s">
        <v>5556</v>
      </c>
      <c r="U856" s="53" t="s">
        <v>370</v>
      </c>
    </row>
    <row r="857">
      <c r="A857" s="54" t="s">
        <v>5557</v>
      </c>
      <c r="B857" s="50" t="s">
        <v>5558</v>
      </c>
      <c r="C857" s="51" t="s">
        <v>5559</v>
      </c>
      <c r="D857" s="51"/>
      <c r="E857" s="51"/>
      <c r="F857" s="51"/>
      <c r="G857" s="50" t="s">
        <v>5560</v>
      </c>
      <c r="H857" s="52">
        <v>44683.38995370371</v>
      </c>
      <c r="I857" s="50"/>
      <c r="J857" s="50"/>
      <c r="K857" s="50"/>
      <c r="L857" s="50"/>
      <c r="M857" s="50" t="s">
        <v>5561</v>
      </c>
      <c r="N857" s="50"/>
      <c r="O857" s="53" t="s">
        <v>70</v>
      </c>
      <c r="P857" s="55" t="s">
        <v>5562</v>
      </c>
      <c r="Q857" s="50">
        <v>4955.0</v>
      </c>
      <c r="R857" s="50">
        <v>4918.0</v>
      </c>
      <c r="S857" s="50" t="s">
        <v>501</v>
      </c>
      <c r="T857" s="56" t="s">
        <v>5563</v>
      </c>
      <c r="U857" s="53" t="s">
        <v>5564</v>
      </c>
    </row>
    <row r="858">
      <c r="A858" s="54" t="s">
        <v>5565</v>
      </c>
      <c r="B858" s="50" t="s">
        <v>5566</v>
      </c>
      <c r="C858" s="51" t="s">
        <v>5228</v>
      </c>
      <c r="D858" s="51"/>
      <c r="E858" s="51"/>
      <c r="F858" s="51"/>
      <c r="G858" s="50" t="s">
        <v>5567</v>
      </c>
      <c r="H858" s="52">
        <v>44683.38990740741</v>
      </c>
      <c r="I858" s="50"/>
      <c r="J858" s="50"/>
      <c r="K858" s="50"/>
      <c r="L858" s="50"/>
      <c r="M858" s="50" t="s">
        <v>5568</v>
      </c>
      <c r="N858" s="50"/>
      <c r="O858" s="53" t="s">
        <v>217</v>
      </c>
      <c r="P858" s="55" t="s">
        <v>5569</v>
      </c>
      <c r="Q858" s="50">
        <v>2764.0</v>
      </c>
      <c r="R858" s="50">
        <v>1946.0</v>
      </c>
      <c r="S858" s="50" t="s">
        <v>5570</v>
      </c>
      <c r="T858" s="56" t="s">
        <v>5571</v>
      </c>
      <c r="U858" s="53" t="s">
        <v>5233</v>
      </c>
    </row>
    <row r="859">
      <c r="A859" s="54" t="s">
        <v>5572</v>
      </c>
      <c r="B859" s="50" t="s">
        <v>5573</v>
      </c>
      <c r="C859" s="51" t="s">
        <v>367</v>
      </c>
      <c r="D859" s="51"/>
      <c r="E859" s="51"/>
      <c r="F859" s="51"/>
      <c r="G859" s="50" t="s">
        <v>5574</v>
      </c>
      <c r="H859" s="52">
        <v>44683.389872685184</v>
      </c>
      <c r="I859" s="50"/>
      <c r="J859" s="50"/>
      <c r="K859" s="50"/>
      <c r="L859" s="50"/>
      <c r="M859" s="50" t="s">
        <v>5575</v>
      </c>
      <c r="N859" s="50"/>
      <c r="O859" s="53" t="s">
        <v>70</v>
      </c>
      <c r="P859" s="55" t="s">
        <v>5576</v>
      </c>
      <c r="Q859" s="50">
        <v>356.0</v>
      </c>
      <c r="R859" s="50">
        <v>749.0</v>
      </c>
      <c r="S859" s="50" t="s">
        <v>1311</v>
      </c>
      <c r="T859" s="56" t="s">
        <v>5577</v>
      </c>
      <c r="U859" s="53" t="s">
        <v>370</v>
      </c>
    </row>
    <row r="860">
      <c r="A860" s="54" t="s">
        <v>5578</v>
      </c>
      <c r="B860" s="50" t="s">
        <v>5579</v>
      </c>
      <c r="C860" s="51" t="s">
        <v>367</v>
      </c>
      <c r="D860" s="51"/>
      <c r="E860" s="51"/>
      <c r="F860" s="51"/>
      <c r="G860" s="50" t="s">
        <v>5580</v>
      </c>
      <c r="H860" s="52">
        <v>44683.38979166667</v>
      </c>
      <c r="I860" s="50"/>
      <c r="J860" s="50"/>
      <c r="K860" s="50"/>
      <c r="L860" s="50"/>
      <c r="M860" s="50" t="s">
        <v>5581</v>
      </c>
      <c r="N860" s="50"/>
      <c r="O860" s="53" t="s">
        <v>70</v>
      </c>
      <c r="P860" s="55" t="s">
        <v>5582</v>
      </c>
      <c r="Q860" s="50">
        <v>5978.0</v>
      </c>
      <c r="R860" s="50">
        <v>6572.0</v>
      </c>
      <c r="S860" s="50"/>
      <c r="T860" s="56" t="s">
        <v>5583</v>
      </c>
      <c r="U860" s="53" t="s">
        <v>370</v>
      </c>
    </row>
    <row r="861">
      <c r="A861" s="54" t="s">
        <v>5584</v>
      </c>
      <c r="B861" s="50" t="s">
        <v>5585</v>
      </c>
      <c r="C861" s="51" t="s">
        <v>5586</v>
      </c>
      <c r="D861" s="51"/>
      <c r="E861" s="51"/>
      <c r="F861" s="51"/>
      <c r="G861" s="50" t="s">
        <v>5587</v>
      </c>
      <c r="H861" s="52">
        <v>44683.38976851852</v>
      </c>
      <c r="I861" s="50"/>
      <c r="J861" s="50"/>
      <c r="K861" s="50"/>
      <c r="L861" s="50"/>
      <c r="M861" s="50" t="s">
        <v>5588</v>
      </c>
      <c r="N861" s="50"/>
      <c r="O861" s="53" t="s">
        <v>217</v>
      </c>
      <c r="P861" s="55" t="s">
        <v>5589</v>
      </c>
      <c r="Q861" s="50">
        <v>197.0</v>
      </c>
      <c r="R861" s="50">
        <v>41.0</v>
      </c>
      <c r="S861" s="50"/>
      <c r="T861" s="56" t="s">
        <v>5590</v>
      </c>
      <c r="U861" s="53" t="s">
        <v>5591</v>
      </c>
    </row>
    <row r="862">
      <c r="A862" s="54" t="s">
        <v>5592</v>
      </c>
      <c r="B862" s="50" t="s">
        <v>5593</v>
      </c>
      <c r="C862" s="51" t="s">
        <v>367</v>
      </c>
      <c r="D862" s="51"/>
      <c r="E862" s="51"/>
      <c r="F862" s="51"/>
      <c r="G862" s="50" t="s">
        <v>5594</v>
      </c>
      <c r="H862" s="52">
        <v>44683.38951388889</v>
      </c>
      <c r="I862" s="50"/>
      <c r="J862" s="50"/>
      <c r="K862" s="50"/>
      <c r="L862" s="50"/>
      <c r="M862" s="50" t="s">
        <v>5595</v>
      </c>
      <c r="N862" s="50"/>
      <c r="O862" s="53" t="s">
        <v>1070</v>
      </c>
      <c r="P862" s="55" t="s">
        <v>5596</v>
      </c>
      <c r="Q862" s="50">
        <v>2418.0</v>
      </c>
      <c r="R862" s="50">
        <v>1971.0</v>
      </c>
      <c r="S862" s="50"/>
      <c r="T862" s="56" t="s">
        <v>5597</v>
      </c>
      <c r="U862" s="53" t="s">
        <v>370</v>
      </c>
    </row>
    <row r="863">
      <c r="A863" s="54" t="s">
        <v>5598</v>
      </c>
      <c r="B863" s="50" t="s">
        <v>5585</v>
      </c>
      <c r="C863" s="51" t="s">
        <v>3122</v>
      </c>
      <c r="D863" s="51"/>
      <c r="E863" s="51"/>
      <c r="F863" s="51"/>
      <c r="G863" s="50" t="s">
        <v>5599</v>
      </c>
      <c r="H863" s="52">
        <v>44683.38935185185</v>
      </c>
      <c r="I863" s="50"/>
      <c r="J863" s="50"/>
      <c r="K863" s="50"/>
      <c r="L863" s="50"/>
      <c r="M863" s="50" t="s">
        <v>5588</v>
      </c>
      <c r="N863" s="50"/>
      <c r="O863" s="53" t="s">
        <v>217</v>
      </c>
      <c r="P863" s="55" t="s">
        <v>5589</v>
      </c>
      <c r="Q863" s="50">
        <v>197.0</v>
      </c>
      <c r="R863" s="50">
        <v>41.0</v>
      </c>
      <c r="S863" s="50"/>
      <c r="T863" s="56" t="s">
        <v>5600</v>
      </c>
      <c r="U863" s="53" t="s">
        <v>3126</v>
      </c>
    </row>
    <row r="864">
      <c r="A864" s="54" t="s">
        <v>5601</v>
      </c>
      <c r="B864" s="50" t="s">
        <v>5602</v>
      </c>
      <c r="C864" s="51" t="s">
        <v>5603</v>
      </c>
      <c r="D864" s="51"/>
      <c r="E864" s="51"/>
      <c r="F864" s="51"/>
      <c r="G864" s="50" t="s">
        <v>5604</v>
      </c>
      <c r="H864" s="52">
        <v>44683.38895833334</v>
      </c>
      <c r="I864" s="50"/>
      <c r="J864" s="50"/>
      <c r="K864" s="50"/>
      <c r="L864" s="50"/>
      <c r="M864" s="50" t="s">
        <v>5605</v>
      </c>
      <c r="N864" s="50"/>
      <c r="O864" s="53" t="s">
        <v>70</v>
      </c>
      <c r="P864" s="55" t="s">
        <v>5606</v>
      </c>
      <c r="Q864" s="50">
        <v>48.0</v>
      </c>
      <c r="R864" s="50">
        <v>97.0</v>
      </c>
      <c r="S864" s="50" t="s">
        <v>5607</v>
      </c>
      <c r="T864" s="56" t="s">
        <v>5608</v>
      </c>
      <c r="U864" s="53" t="s">
        <v>5609</v>
      </c>
    </row>
    <row r="865">
      <c r="A865" s="54" t="s">
        <v>5610</v>
      </c>
      <c r="B865" s="50" t="s">
        <v>5611</v>
      </c>
      <c r="C865" s="51" t="s">
        <v>1913</v>
      </c>
      <c r="D865" s="51"/>
      <c r="E865" s="51"/>
      <c r="F865" s="51"/>
      <c r="G865" s="50" t="s">
        <v>5612</v>
      </c>
      <c r="H865" s="52">
        <v>44683.38890046296</v>
      </c>
      <c r="I865" s="50"/>
      <c r="J865" s="50"/>
      <c r="K865" s="50"/>
      <c r="L865" s="50"/>
      <c r="M865" s="50" t="s">
        <v>5613</v>
      </c>
      <c r="N865" s="50"/>
      <c r="O865" s="53" t="s">
        <v>92</v>
      </c>
      <c r="P865" s="55" t="s">
        <v>5614</v>
      </c>
      <c r="Q865" s="50">
        <v>18.0</v>
      </c>
      <c r="R865" s="50">
        <v>241.0</v>
      </c>
      <c r="S865" s="50"/>
      <c r="T865" s="56" t="s">
        <v>5615</v>
      </c>
      <c r="U865" s="53" t="s">
        <v>1916</v>
      </c>
    </row>
    <row r="866">
      <c r="A866" s="54" t="s">
        <v>5616</v>
      </c>
      <c r="B866" s="50" t="s">
        <v>5617</v>
      </c>
      <c r="C866" s="51" t="s">
        <v>367</v>
      </c>
      <c r="D866" s="51"/>
      <c r="E866" s="51"/>
      <c r="F866" s="51"/>
      <c r="G866" s="50" t="s">
        <v>5618</v>
      </c>
      <c r="H866" s="52">
        <v>44683.38858796297</v>
      </c>
      <c r="I866" s="50"/>
      <c r="J866" s="50"/>
      <c r="K866" s="50"/>
      <c r="L866" s="50"/>
      <c r="M866" s="50" t="s">
        <v>5619</v>
      </c>
      <c r="N866" s="50"/>
      <c r="O866" s="53" t="s">
        <v>70</v>
      </c>
      <c r="P866" s="55" t="s">
        <v>5620</v>
      </c>
      <c r="Q866" s="50">
        <v>1751.0</v>
      </c>
      <c r="R866" s="50">
        <v>4998.0</v>
      </c>
      <c r="S866" s="50"/>
      <c r="T866" s="56" t="s">
        <v>5621</v>
      </c>
      <c r="U866" s="53" t="s">
        <v>370</v>
      </c>
    </row>
    <row r="867">
      <c r="A867" s="54" t="s">
        <v>5622</v>
      </c>
      <c r="B867" s="50" t="s">
        <v>5611</v>
      </c>
      <c r="C867" s="51" t="s">
        <v>367</v>
      </c>
      <c r="D867" s="51"/>
      <c r="E867" s="51"/>
      <c r="F867" s="51"/>
      <c r="G867" s="50" t="s">
        <v>5623</v>
      </c>
      <c r="H867" s="52">
        <v>44683.38847222222</v>
      </c>
      <c r="I867" s="50"/>
      <c r="J867" s="50"/>
      <c r="K867" s="50"/>
      <c r="L867" s="50"/>
      <c r="M867" s="50" t="s">
        <v>5613</v>
      </c>
      <c r="N867" s="50"/>
      <c r="O867" s="53" t="s">
        <v>92</v>
      </c>
      <c r="P867" s="55" t="s">
        <v>5614</v>
      </c>
      <c r="Q867" s="50">
        <v>18.0</v>
      </c>
      <c r="R867" s="50">
        <v>241.0</v>
      </c>
      <c r="S867" s="50"/>
      <c r="T867" s="56" t="s">
        <v>5624</v>
      </c>
      <c r="U867" s="53" t="s">
        <v>370</v>
      </c>
    </row>
    <row r="868">
      <c r="A868" s="54" t="s">
        <v>5625</v>
      </c>
      <c r="B868" s="50" t="s">
        <v>5626</v>
      </c>
      <c r="C868" s="51" t="s">
        <v>367</v>
      </c>
      <c r="D868" s="51"/>
      <c r="E868" s="51"/>
      <c r="F868" s="51"/>
      <c r="G868" s="50" t="s">
        <v>5627</v>
      </c>
      <c r="H868" s="52">
        <v>44683.38822916667</v>
      </c>
      <c r="I868" s="50"/>
      <c r="J868" s="50"/>
      <c r="K868" s="50"/>
      <c r="L868" s="50"/>
      <c r="M868" s="50" t="s">
        <v>5628</v>
      </c>
      <c r="N868" s="50"/>
      <c r="O868" s="53" t="s">
        <v>92</v>
      </c>
      <c r="P868" s="55" t="s">
        <v>5629</v>
      </c>
      <c r="Q868" s="50">
        <v>866.0</v>
      </c>
      <c r="R868" s="50">
        <v>904.0</v>
      </c>
      <c r="S868" s="50" t="s">
        <v>1607</v>
      </c>
      <c r="T868" s="56" t="s">
        <v>5630</v>
      </c>
      <c r="U868" s="53" t="s">
        <v>370</v>
      </c>
    </row>
    <row r="869">
      <c r="A869" s="54" t="s">
        <v>5631</v>
      </c>
      <c r="B869" s="50" t="s">
        <v>5632</v>
      </c>
      <c r="C869" s="51" t="s">
        <v>5633</v>
      </c>
      <c r="D869" s="51"/>
      <c r="E869" s="51"/>
      <c r="F869" s="51"/>
      <c r="G869" s="50" t="s">
        <v>5634</v>
      </c>
      <c r="H869" s="52">
        <v>44683.3882175926</v>
      </c>
      <c r="I869" s="50"/>
      <c r="J869" s="50"/>
      <c r="K869" s="50"/>
      <c r="L869" s="50"/>
      <c r="M869" s="50" t="s">
        <v>5635</v>
      </c>
      <c r="N869" s="50"/>
      <c r="O869" s="53" t="s">
        <v>70</v>
      </c>
      <c r="P869" s="55" t="s">
        <v>5636</v>
      </c>
      <c r="Q869" s="50">
        <v>134.0</v>
      </c>
      <c r="R869" s="50">
        <v>51.0</v>
      </c>
      <c r="S869" s="50"/>
      <c r="T869" s="56" t="s">
        <v>5637</v>
      </c>
      <c r="U869" s="53" t="s">
        <v>5638</v>
      </c>
    </row>
    <row r="870">
      <c r="A870" s="54" t="s">
        <v>5639</v>
      </c>
      <c r="B870" s="50" t="s">
        <v>5640</v>
      </c>
      <c r="C870" s="51" t="s">
        <v>687</v>
      </c>
      <c r="D870" s="51"/>
      <c r="E870" s="51"/>
      <c r="F870" s="51"/>
      <c r="G870" s="50" t="s">
        <v>5641</v>
      </c>
      <c r="H870" s="52">
        <v>44683.38778935185</v>
      </c>
      <c r="I870" s="50"/>
      <c r="J870" s="50"/>
      <c r="K870" s="50"/>
      <c r="L870" s="50"/>
      <c r="M870" s="50" t="s">
        <v>5642</v>
      </c>
      <c r="N870" s="50"/>
      <c r="O870" s="53" t="s">
        <v>60</v>
      </c>
      <c r="P870" s="55" t="s">
        <v>5643</v>
      </c>
      <c r="Q870" s="50">
        <v>875.0</v>
      </c>
      <c r="R870" s="50">
        <v>316.0</v>
      </c>
      <c r="S870" s="50" t="s">
        <v>5644</v>
      </c>
      <c r="T870" s="56" t="s">
        <v>5645</v>
      </c>
      <c r="U870" s="53" t="s">
        <v>691</v>
      </c>
    </row>
    <row r="871">
      <c r="A871" s="54" t="s">
        <v>5646</v>
      </c>
      <c r="B871" s="50" t="s">
        <v>5647</v>
      </c>
      <c r="C871" s="51" t="s">
        <v>367</v>
      </c>
      <c r="D871" s="51"/>
      <c r="E871" s="51"/>
      <c r="F871" s="51"/>
      <c r="G871" s="50" t="s">
        <v>5648</v>
      </c>
      <c r="H871" s="52">
        <v>44683.38769675926</v>
      </c>
      <c r="I871" s="50"/>
      <c r="J871" s="50"/>
      <c r="K871" s="50"/>
      <c r="L871" s="50"/>
      <c r="M871" s="50" t="s">
        <v>5649</v>
      </c>
      <c r="N871" s="50"/>
      <c r="O871" s="53" t="s">
        <v>70</v>
      </c>
      <c r="P871" s="55" t="s">
        <v>5650</v>
      </c>
      <c r="Q871" s="50">
        <v>14.0</v>
      </c>
      <c r="R871" s="50">
        <v>69.0</v>
      </c>
      <c r="S871" s="50"/>
      <c r="T871" s="56" t="s">
        <v>5651</v>
      </c>
      <c r="U871" s="53" t="s">
        <v>370</v>
      </c>
    </row>
    <row r="872">
      <c r="A872" s="54" t="s">
        <v>5652</v>
      </c>
      <c r="B872" s="50" t="s">
        <v>5632</v>
      </c>
      <c r="C872" s="51" t="s">
        <v>367</v>
      </c>
      <c r="D872" s="51"/>
      <c r="E872" s="51"/>
      <c r="F872" s="51"/>
      <c r="G872" s="50" t="s">
        <v>5648</v>
      </c>
      <c r="H872" s="52">
        <v>44683.38769675926</v>
      </c>
      <c r="I872" s="50"/>
      <c r="J872" s="50"/>
      <c r="K872" s="50"/>
      <c r="L872" s="50"/>
      <c r="M872" s="50" t="s">
        <v>5635</v>
      </c>
      <c r="N872" s="50"/>
      <c r="O872" s="53" t="s">
        <v>70</v>
      </c>
      <c r="P872" s="55" t="s">
        <v>5636</v>
      </c>
      <c r="Q872" s="50">
        <v>134.0</v>
      </c>
      <c r="R872" s="50">
        <v>51.0</v>
      </c>
      <c r="S872" s="50"/>
      <c r="T872" s="56" t="s">
        <v>5653</v>
      </c>
      <c r="U872" s="53" t="s">
        <v>370</v>
      </c>
    </row>
    <row r="873">
      <c r="A873" s="54" t="s">
        <v>5654</v>
      </c>
      <c r="B873" s="50" t="s">
        <v>5655</v>
      </c>
      <c r="C873" s="51" t="s">
        <v>2973</v>
      </c>
      <c r="D873" s="51"/>
      <c r="E873" s="51"/>
      <c r="F873" s="51"/>
      <c r="G873" s="50" t="s">
        <v>5656</v>
      </c>
      <c r="H873" s="52">
        <v>44683.38756944444</v>
      </c>
      <c r="I873" s="50"/>
      <c r="J873" s="50"/>
      <c r="K873" s="50"/>
      <c r="L873" s="50"/>
      <c r="M873" s="50" t="s">
        <v>5657</v>
      </c>
      <c r="N873" s="50"/>
      <c r="O873" s="53" t="s">
        <v>1042</v>
      </c>
      <c r="P873" s="55" t="s">
        <v>354</v>
      </c>
      <c r="Q873" s="50">
        <v>254.0</v>
      </c>
      <c r="R873" s="50">
        <v>17.0</v>
      </c>
      <c r="S873" s="50"/>
      <c r="T873" s="56" t="s">
        <v>5658</v>
      </c>
      <c r="U873" s="53" t="s">
        <v>2978</v>
      </c>
    </row>
    <row r="874">
      <c r="A874" s="54" t="s">
        <v>5659</v>
      </c>
      <c r="B874" s="50" t="s">
        <v>5660</v>
      </c>
      <c r="C874" s="51" t="s">
        <v>5661</v>
      </c>
      <c r="D874" s="51"/>
      <c r="E874" s="51"/>
      <c r="F874" s="51"/>
      <c r="G874" s="50" t="s">
        <v>5662</v>
      </c>
      <c r="H874" s="52">
        <v>44683.38732638889</v>
      </c>
      <c r="I874" s="50"/>
      <c r="J874" s="50"/>
      <c r="K874" s="50"/>
      <c r="L874" s="50"/>
      <c r="M874" s="50" t="s">
        <v>5663</v>
      </c>
      <c r="N874" s="50"/>
      <c r="O874" s="53" t="s">
        <v>5664</v>
      </c>
      <c r="P874" s="55" t="s">
        <v>5665</v>
      </c>
      <c r="Q874" s="50">
        <v>31.0</v>
      </c>
      <c r="R874" s="50">
        <v>77.0</v>
      </c>
      <c r="S874" s="50"/>
      <c r="T874" s="56" t="s">
        <v>5666</v>
      </c>
      <c r="U874" s="53" t="s">
        <v>5667</v>
      </c>
    </row>
    <row r="875">
      <c r="A875" s="54" t="s">
        <v>5668</v>
      </c>
      <c r="B875" s="50" t="s">
        <v>5669</v>
      </c>
      <c r="C875" s="51" t="s">
        <v>367</v>
      </c>
      <c r="D875" s="51"/>
      <c r="E875" s="51"/>
      <c r="F875" s="51"/>
      <c r="G875" s="50" t="s">
        <v>5670</v>
      </c>
      <c r="H875" s="52">
        <v>44683.38717592593</v>
      </c>
      <c r="I875" s="50"/>
      <c r="J875" s="50"/>
      <c r="K875" s="50"/>
      <c r="L875" s="50"/>
      <c r="M875" s="50" t="s">
        <v>5671</v>
      </c>
      <c r="N875" s="50"/>
      <c r="O875" s="53" t="s">
        <v>92</v>
      </c>
      <c r="P875" s="55" t="s">
        <v>5672</v>
      </c>
      <c r="Q875" s="50">
        <v>1413.0</v>
      </c>
      <c r="R875" s="50">
        <v>1312.0</v>
      </c>
      <c r="S875" s="50" t="s">
        <v>658</v>
      </c>
      <c r="T875" s="56" t="s">
        <v>5673</v>
      </c>
      <c r="U875" s="53" t="s">
        <v>370</v>
      </c>
    </row>
    <row r="876">
      <c r="A876" s="54" t="s">
        <v>5674</v>
      </c>
      <c r="B876" s="50" t="s">
        <v>5675</v>
      </c>
      <c r="C876" s="51" t="s">
        <v>5676</v>
      </c>
      <c r="D876" s="51"/>
      <c r="E876" s="51"/>
      <c r="F876" s="51"/>
      <c r="G876" s="50" t="s">
        <v>5677</v>
      </c>
      <c r="H876" s="52">
        <v>44683.38715277778</v>
      </c>
      <c r="I876" s="50"/>
      <c r="J876" s="50"/>
      <c r="K876" s="50"/>
      <c r="L876" s="50"/>
      <c r="M876" s="50" t="s">
        <v>5678</v>
      </c>
      <c r="N876" s="50"/>
      <c r="O876" s="53" t="s">
        <v>5679</v>
      </c>
      <c r="P876" s="55" t="s">
        <v>5680</v>
      </c>
      <c r="Q876" s="50">
        <v>1349.0</v>
      </c>
      <c r="R876" s="50">
        <v>1888.0</v>
      </c>
      <c r="S876" s="50"/>
      <c r="T876" s="56" t="s">
        <v>5681</v>
      </c>
      <c r="U876" s="53" t="s">
        <v>5682</v>
      </c>
    </row>
    <row r="877">
      <c r="A877" s="54" t="s">
        <v>5683</v>
      </c>
      <c r="B877" s="50" t="s">
        <v>5684</v>
      </c>
      <c r="C877" s="51" t="s">
        <v>335</v>
      </c>
      <c r="D877" s="51"/>
      <c r="E877" s="51"/>
      <c r="F877" s="51"/>
      <c r="G877" s="50" t="s">
        <v>5685</v>
      </c>
      <c r="H877" s="52">
        <v>44683.38703703704</v>
      </c>
      <c r="I877" s="50"/>
      <c r="J877" s="50"/>
      <c r="K877" s="50"/>
      <c r="L877" s="50"/>
      <c r="M877" s="50" t="s">
        <v>5686</v>
      </c>
      <c r="N877" s="50"/>
      <c r="O877" s="53" t="s">
        <v>60</v>
      </c>
      <c r="P877" s="55" t="s">
        <v>5687</v>
      </c>
      <c r="Q877" s="50">
        <v>7458.0</v>
      </c>
      <c r="R877" s="50">
        <v>4878.0</v>
      </c>
      <c r="S877" s="50" t="s">
        <v>5688</v>
      </c>
      <c r="T877" s="56" t="s">
        <v>5689</v>
      </c>
      <c r="U877" s="53" t="s">
        <v>339</v>
      </c>
    </row>
    <row r="878">
      <c r="A878" s="54" t="s">
        <v>5690</v>
      </c>
      <c r="B878" s="50" t="s">
        <v>5691</v>
      </c>
      <c r="C878" s="51" t="s">
        <v>367</v>
      </c>
      <c r="D878" s="51"/>
      <c r="E878" s="51"/>
      <c r="F878" s="51"/>
      <c r="G878" s="50" t="s">
        <v>5692</v>
      </c>
      <c r="H878" s="52">
        <v>44683.38701388889</v>
      </c>
      <c r="I878" s="50"/>
      <c r="J878" s="50"/>
      <c r="K878" s="50"/>
      <c r="L878" s="50"/>
      <c r="M878" s="50" t="s">
        <v>5693</v>
      </c>
      <c r="N878" s="50"/>
      <c r="O878" s="53" t="s">
        <v>92</v>
      </c>
      <c r="P878" s="55" t="s">
        <v>354</v>
      </c>
      <c r="Q878" s="50">
        <v>94.0</v>
      </c>
      <c r="R878" s="50">
        <v>98.0</v>
      </c>
      <c r="S878" s="50"/>
      <c r="T878" s="56" t="s">
        <v>5694</v>
      </c>
      <c r="U878" s="53" t="s">
        <v>370</v>
      </c>
    </row>
    <row r="879">
      <c r="A879" s="54" t="s">
        <v>5695</v>
      </c>
      <c r="B879" s="50" t="s">
        <v>5696</v>
      </c>
      <c r="C879" s="51" t="s">
        <v>5697</v>
      </c>
      <c r="D879" s="51"/>
      <c r="E879" s="51"/>
      <c r="F879" s="51"/>
      <c r="G879" s="50" t="s">
        <v>5698</v>
      </c>
      <c r="H879" s="52">
        <v>44683.386921296296</v>
      </c>
      <c r="I879" s="50"/>
      <c r="J879" s="50"/>
      <c r="K879" s="50" t="s">
        <v>1947</v>
      </c>
      <c r="L879" s="50" t="s">
        <v>1948</v>
      </c>
      <c r="M879" s="50" t="s">
        <v>5699</v>
      </c>
      <c r="N879" s="50" t="s">
        <v>1950</v>
      </c>
      <c r="O879" s="53" t="s">
        <v>92</v>
      </c>
      <c r="P879" s="55" t="s">
        <v>5700</v>
      </c>
      <c r="Q879" s="50">
        <v>1163.0</v>
      </c>
      <c r="R879" s="50">
        <v>3096.0</v>
      </c>
      <c r="S879" s="50"/>
      <c r="T879" s="56" t="s">
        <v>5701</v>
      </c>
      <c r="U879" s="53" t="s">
        <v>5702</v>
      </c>
    </row>
    <row r="880">
      <c r="A880" s="54" t="s">
        <v>5275</v>
      </c>
      <c r="B880" s="50" t="s">
        <v>5273</v>
      </c>
      <c r="C880" s="51" t="s">
        <v>5703</v>
      </c>
      <c r="D880" s="51"/>
      <c r="E880" s="51"/>
      <c r="F880" s="51"/>
      <c r="G880" s="50" t="s">
        <v>5704</v>
      </c>
      <c r="H880" s="52">
        <v>44683.38686342593</v>
      </c>
      <c r="I880" s="50"/>
      <c r="J880" s="50"/>
      <c r="K880" s="50"/>
      <c r="L880" s="50"/>
      <c r="M880" s="50" t="s">
        <v>5272</v>
      </c>
      <c r="N880" s="50"/>
      <c r="O880" s="53" t="s">
        <v>217</v>
      </c>
      <c r="P880" s="55" t="s">
        <v>5705</v>
      </c>
      <c r="Q880" s="50">
        <v>994.0</v>
      </c>
      <c r="R880" s="50">
        <v>1336.0</v>
      </c>
      <c r="S880" s="50"/>
      <c r="T880" s="56" t="s">
        <v>5706</v>
      </c>
      <c r="U880" s="53" t="s">
        <v>5707</v>
      </c>
    </row>
    <row r="881">
      <c r="A881" s="54" t="s">
        <v>5708</v>
      </c>
      <c r="B881" s="50" t="s">
        <v>5709</v>
      </c>
      <c r="C881" s="51" t="s">
        <v>5710</v>
      </c>
      <c r="D881" s="51"/>
      <c r="E881" s="51"/>
      <c r="F881" s="51"/>
      <c r="G881" s="50" t="s">
        <v>5711</v>
      </c>
      <c r="H881" s="52">
        <v>44683.38679398148</v>
      </c>
      <c r="I881" s="50"/>
      <c r="J881" s="50"/>
      <c r="K881" s="50"/>
      <c r="L881" s="50"/>
      <c r="M881" s="50" t="s">
        <v>5712</v>
      </c>
      <c r="N881" s="50"/>
      <c r="O881" s="53" t="s">
        <v>5713</v>
      </c>
      <c r="P881" s="55" t="s">
        <v>5714</v>
      </c>
      <c r="Q881" s="50">
        <v>265.0</v>
      </c>
      <c r="R881" s="50">
        <v>305.0</v>
      </c>
      <c r="S881" s="50"/>
      <c r="T881" s="56" t="s">
        <v>5715</v>
      </c>
      <c r="U881" s="53" t="s">
        <v>5716</v>
      </c>
    </row>
    <row r="882">
      <c r="A882" s="54" t="s">
        <v>5717</v>
      </c>
      <c r="B882" s="50" t="s">
        <v>5718</v>
      </c>
      <c r="C882" s="51" t="s">
        <v>5719</v>
      </c>
      <c r="D882" s="51"/>
      <c r="E882" s="51"/>
      <c r="F882" s="51"/>
      <c r="G882" s="50" t="s">
        <v>5720</v>
      </c>
      <c r="H882" s="52">
        <v>44683.38674768519</v>
      </c>
      <c r="I882" s="50"/>
      <c r="J882" s="50"/>
      <c r="K882" s="50"/>
      <c r="L882" s="50"/>
      <c r="M882" s="50" t="s">
        <v>5721</v>
      </c>
      <c r="N882" s="50"/>
      <c r="O882" s="53" t="s">
        <v>217</v>
      </c>
      <c r="P882" s="55" t="s">
        <v>5722</v>
      </c>
      <c r="Q882" s="50">
        <v>862.0</v>
      </c>
      <c r="R882" s="50">
        <v>861.0</v>
      </c>
      <c r="S882" s="50" t="s">
        <v>379</v>
      </c>
      <c r="T882" s="56" t="s">
        <v>5723</v>
      </c>
      <c r="U882" s="53" t="s">
        <v>5724</v>
      </c>
    </row>
    <row r="883">
      <c r="A883" s="54" t="s">
        <v>5725</v>
      </c>
      <c r="B883" s="50" t="s">
        <v>5726</v>
      </c>
      <c r="C883" s="51" t="s">
        <v>363</v>
      </c>
      <c r="D883" s="51"/>
      <c r="E883" s="51"/>
      <c r="F883" s="51"/>
      <c r="G883" s="50" t="s">
        <v>5727</v>
      </c>
      <c r="H883" s="52">
        <v>44683.386666666665</v>
      </c>
      <c r="I883" s="50"/>
      <c r="J883" s="50"/>
      <c r="K883" s="50"/>
      <c r="L883" s="50"/>
      <c r="M883" s="50" t="s">
        <v>5728</v>
      </c>
      <c r="N883" s="50"/>
      <c r="O883" s="53" t="s">
        <v>217</v>
      </c>
      <c r="P883" s="55" t="s">
        <v>354</v>
      </c>
      <c r="Q883" s="50">
        <v>341.0</v>
      </c>
      <c r="R883" s="50">
        <v>603.0</v>
      </c>
      <c r="S883" s="50"/>
      <c r="T883" s="56" t="s">
        <v>5729</v>
      </c>
      <c r="U883" s="53" t="s">
        <v>332</v>
      </c>
    </row>
    <row r="884">
      <c r="A884" s="54" t="s">
        <v>5730</v>
      </c>
      <c r="B884" s="50" t="s">
        <v>5731</v>
      </c>
      <c r="C884" s="51" t="s">
        <v>2869</v>
      </c>
      <c r="D884" s="51"/>
      <c r="E884" s="51"/>
      <c r="F884" s="51"/>
      <c r="G884" s="50" t="s">
        <v>5732</v>
      </c>
      <c r="H884" s="52">
        <v>44683.38657407407</v>
      </c>
      <c r="I884" s="50"/>
      <c r="J884" s="50"/>
      <c r="K884" s="50"/>
      <c r="L884" s="50"/>
      <c r="M884" s="50" t="s">
        <v>5733</v>
      </c>
      <c r="N884" s="50"/>
      <c r="O884" s="53" t="s">
        <v>70</v>
      </c>
      <c r="P884" s="55" t="s">
        <v>5734</v>
      </c>
      <c r="Q884" s="50">
        <v>569.0</v>
      </c>
      <c r="R884" s="50">
        <v>1085.0</v>
      </c>
      <c r="S884" s="50"/>
      <c r="T884" s="56" t="s">
        <v>5735</v>
      </c>
      <c r="U884" s="53" t="s">
        <v>2874</v>
      </c>
    </row>
    <row r="885">
      <c r="A885" s="54" t="s">
        <v>5736</v>
      </c>
      <c r="B885" s="50" t="s">
        <v>5737</v>
      </c>
      <c r="C885" s="51" t="s">
        <v>335</v>
      </c>
      <c r="D885" s="51"/>
      <c r="E885" s="51"/>
      <c r="F885" s="51"/>
      <c r="G885" s="50" t="s">
        <v>5738</v>
      </c>
      <c r="H885" s="52">
        <v>44683.3865625</v>
      </c>
      <c r="I885" s="50"/>
      <c r="J885" s="50"/>
      <c r="K885" s="50"/>
      <c r="L885" s="50"/>
      <c r="M885" s="50" t="s">
        <v>5739</v>
      </c>
      <c r="N885" s="50"/>
      <c r="O885" s="53" t="s">
        <v>70</v>
      </c>
      <c r="P885" s="55" t="s">
        <v>354</v>
      </c>
      <c r="Q885" s="50">
        <v>433.0</v>
      </c>
      <c r="R885" s="50">
        <v>1114.0</v>
      </c>
      <c r="S885" s="50"/>
      <c r="T885" s="56" t="s">
        <v>5740</v>
      </c>
      <c r="U885" s="53" t="s">
        <v>339</v>
      </c>
    </row>
    <row r="886">
      <c r="A886" s="54" t="s">
        <v>5741</v>
      </c>
      <c r="B886" s="50" t="s">
        <v>5742</v>
      </c>
      <c r="C886" s="51" t="s">
        <v>5743</v>
      </c>
      <c r="D886" s="51"/>
      <c r="E886" s="51"/>
      <c r="F886" s="51"/>
      <c r="G886" s="50" t="s">
        <v>5744</v>
      </c>
      <c r="H886" s="52">
        <v>44683.386469907404</v>
      </c>
      <c r="I886" s="50"/>
      <c r="J886" s="50"/>
      <c r="K886" s="50" t="s">
        <v>5402</v>
      </c>
      <c r="L886" s="50" t="s">
        <v>5403</v>
      </c>
      <c r="M886" s="50" t="s">
        <v>5745</v>
      </c>
      <c r="N886" s="50" t="s">
        <v>5405</v>
      </c>
      <c r="O886" s="53" t="s">
        <v>92</v>
      </c>
      <c r="P886" s="55" t="s">
        <v>5746</v>
      </c>
      <c r="Q886" s="50">
        <v>1024.0</v>
      </c>
      <c r="R886" s="50">
        <v>1057.0</v>
      </c>
      <c r="S886" s="50"/>
      <c r="T886" s="56" t="s">
        <v>5747</v>
      </c>
      <c r="U886" s="53" t="s">
        <v>5748</v>
      </c>
    </row>
    <row r="887">
      <c r="A887" s="54" t="s">
        <v>5749</v>
      </c>
      <c r="B887" s="50" t="s">
        <v>5750</v>
      </c>
      <c r="C887" s="51" t="s">
        <v>367</v>
      </c>
      <c r="D887" s="51"/>
      <c r="E887" s="51"/>
      <c r="F887" s="51"/>
      <c r="G887" s="50" t="s">
        <v>5751</v>
      </c>
      <c r="H887" s="52">
        <v>44683.38644675926</v>
      </c>
      <c r="I887" s="50"/>
      <c r="J887" s="50"/>
      <c r="K887" s="50"/>
      <c r="L887" s="50"/>
      <c r="M887" s="50" t="s">
        <v>5752</v>
      </c>
      <c r="N887" s="50"/>
      <c r="O887" s="53" t="s">
        <v>217</v>
      </c>
      <c r="P887" s="55" t="s">
        <v>5753</v>
      </c>
      <c r="Q887" s="50">
        <v>214.0</v>
      </c>
      <c r="R887" s="50">
        <v>31.0</v>
      </c>
      <c r="S887" s="50"/>
      <c r="T887" s="56" t="s">
        <v>5754</v>
      </c>
      <c r="U887" s="53" t="s">
        <v>370</v>
      </c>
    </row>
    <row r="888">
      <c r="A888" s="54" t="s">
        <v>5755</v>
      </c>
      <c r="B888" s="50" t="s">
        <v>5756</v>
      </c>
      <c r="C888" s="51" t="s">
        <v>367</v>
      </c>
      <c r="D888" s="51"/>
      <c r="E888" s="51"/>
      <c r="F888" s="51"/>
      <c r="G888" s="50" t="s">
        <v>5757</v>
      </c>
      <c r="H888" s="52">
        <v>44683.38628472222</v>
      </c>
      <c r="I888" s="50"/>
      <c r="J888" s="50"/>
      <c r="K888" s="50"/>
      <c r="L888" s="50"/>
      <c r="M888" s="50" t="s">
        <v>5758</v>
      </c>
      <c r="N888" s="50"/>
      <c r="O888" s="53" t="s">
        <v>92</v>
      </c>
      <c r="P888" s="55" t="s">
        <v>5759</v>
      </c>
      <c r="Q888" s="50">
        <v>2777.0</v>
      </c>
      <c r="R888" s="50">
        <v>4923.0</v>
      </c>
      <c r="S888" s="50"/>
      <c r="T888" s="56" t="s">
        <v>5760</v>
      </c>
      <c r="U888" s="53" t="s">
        <v>370</v>
      </c>
    </row>
    <row r="889">
      <c r="A889" s="54" t="s">
        <v>5761</v>
      </c>
      <c r="B889" s="50" t="s">
        <v>5762</v>
      </c>
      <c r="C889" s="51" t="s">
        <v>316</v>
      </c>
      <c r="D889" s="51"/>
      <c r="E889" s="51"/>
      <c r="F889" s="51"/>
      <c r="G889" s="50" t="s">
        <v>5763</v>
      </c>
      <c r="H889" s="52">
        <v>44683.38611111111</v>
      </c>
      <c r="I889" s="50"/>
      <c r="J889" s="50"/>
      <c r="K889" s="50"/>
      <c r="L889" s="50"/>
      <c r="M889" s="50" t="s">
        <v>5764</v>
      </c>
      <c r="N889" s="50"/>
      <c r="O889" s="53" t="s">
        <v>70</v>
      </c>
      <c r="P889" s="55" t="s">
        <v>5765</v>
      </c>
      <c r="Q889" s="50">
        <v>150.0</v>
      </c>
      <c r="R889" s="50">
        <v>124.0</v>
      </c>
      <c r="S889" s="50"/>
      <c r="T889" s="56" t="s">
        <v>5766</v>
      </c>
      <c r="U889" s="53" t="s">
        <v>322</v>
      </c>
    </row>
    <row r="890">
      <c r="A890" s="54" t="s">
        <v>5767</v>
      </c>
      <c r="B890" s="50" t="s">
        <v>2118</v>
      </c>
      <c r="C890" s="51" t="s">
        <v>5768</v>
      </c>
      <c r="D890" s="51"/>
      <c r="E890" s="51"/>
      <c r="F890" s="51"/>
      <c r="G890" s="50" t="s">
        <v>5769</v>
      </c>
      <c r="H890" s="52">
        <v>44683.386099537034</v>
      </c>
      <c r="I890" s="50"/>
      <c r="J890" s="50"/>
      <c r="K890" s="50" t="s">
        <v>5770</v>
      </c>
      <c r="L890" s="50" t="s">
        <v>5771</v>
      </c>
      <c r="M890" s="50" t="s">
        <v>2123</v>
      </c>
      <c r="N890" s="50" t="s">
        <v>5772</v>
      </c>
      <c r="O890" s="53" t="s">
        <v>70</v>
      </c>
      <c r="P890" s="55" t="s">
        <v>2125</v>
      </c>
      <c r="Q890" s="50">
        <v>1818.0</v>
      </c>
      <c r="R890" s="50">
        <v>1497.0</v>
      </c>
      <c r="S890" s="50" t="s">
        <v>2126</v>
      </c>
      <c r="T890" s="56" t="s">
        <v>5773</v>
      </c>
      <c r="U890" s="53" t="s">
        <v>5774</v>
      </c>
    </row>
    <row r="891">
      <c r="A891" s="54" t="s">
        <v>5775</v>
      </c>
      <c r="B891" s="50" t="s">
        <v>5776</v>
      </c>
      <c r="C891" s="51" t="s">
        <v>2033</v>
      </c>
      <c r="D891" s="51"/>
      <c r="E891" s="51"/>
      <c r="F891" s="51"/>
      <c r="G891" s="50" t="s">
        <v>5777</v>
      </c>
      <c r="H891" s="52">
        <v>44683.385995370365</v>
      </c>
      <c r="I891" s="50"/>
      <c r="J891" s="50"/>
      <c r="K891" s="50"/>
      <c r="L891" s="50"/>
      <c r="M891" s="50" t="s">
        <v>5778</v>
      </c>
      <c r="N891" s="50"/>
      <c r="O891" s="53" t="s">
        <v>70</v>
      </c>
      <c r="P891" s="55" t="s">
        <v>354</v>
      </c>
      <c r="Q891" s="50">
        <v>628.0</v>
      </c>
      <c r="R891" s="50">
        <v>520.0</v>
      </c>
      <c r="S891" s="50"/>
      <c r="T891" s="56" t="s">
        <v>5779</v>
      </c>
      <c r="U891" s="53" t="s">
        <v>2037</v>
      </c>
    </row>
    <row r="892">
      <c r="A892" s="54" t="s">
        <v>5780</v>
      </c>
      <c r="B892" s="50" t="s">
        <v>5781</v>
      </c>
      <c r="C892" s="51" t="s">
        <v>367</v>
      </c>
      <c r="D892" s="51"/>
      <c r="E892" s="51"/>
      <c r="F892" s="51"/>
      <c r="G892" s="50" t="s">
        <v>5782</v>
      </c>
      <c r="H892" s="52">
        <v>44683.3858912037</v>
      </c>
      <c r="I892" s="50"/>
      <c r="J892" s="50"/>
      <c r="K892" s="50"/>
      <c r="L892" s="50"/>
      <c r="M892" s="50" t="s">
        <v>5783</v>
      </c>
      <c r="N892" s="50"/>
      <c r="O892" s="53" t="s">
        <v>92</v>
      </c>
      <c r="P892" s="55" t="s">
        <v>5784</v>
      </c>
      <c r="Q892" s="50">
        <v>1104.0</v>
      </c>
      <c r="R892" s="50">
        <v>2113.0</v>
      </c>
      <c r="S892" s="50" t="s">
        <v>1311</v>
      </c>
      <c r="T892" s="56" t="s">
        <v>5785</v>
      </c>
      <c r="U892" s="53" t="s">
        <v>370</v>
      </c>
    </row>
    <row r="893">
      <c r="A893" s="54" t="s">
        <v>5786</v>
      </c>
      <c r="B893" s="50" t="s">
        <v>5787</v>
      </c>
      <c r="C893" s="51" t="s">
        <v>367</v>
      </c>
      <c r="D893" s="51"/>
      <c r="E893" s="51"/>
      <c r="F893" s="51"/>
      <c r="G893" s="50" t="s">
        <v>5788</v>
      </c>
      <c r="H893" s="52">
        <v>44683.385729166665</v>
      </c>
      <c r="I893" s="50"/>
      <c r="J893" s="50"/>
      <c r="K893" s="50"/>
      <c r="L893" s="50"/>
      <c r="M893" s="50" t="s">
        <v>5789</v>
      </c>
      <c r="N893" s="50"/>
      <c r="O893" s="53" t="s">
        <v>70</v>
      </c>
      <c r="P893" s="55" t="s">
        <v>5790</v>
      </c>
      <c r="Q893" s="50">
        <v>355.0</v>
      </c>
      <c r="R893" s="50">
        <v>1314.0</v>
      </c>
      <c r="S893" s="50" t="s">
        <v>5791</v>
      </c>
      <c r="T893" s="56" t="s">
        <v>5792</v>
      </c>
      <c r="U893" s="53" t="s">
        <v>370</v>
      </c>
    </row>
    <row r="894">
      <c r="A894" s="54" t="s">
        <v>5793</v>
      </c>
      <c r="B894" s="50" t="s">
        <v>5794</v>
      </c>
      <c r="C894" s="51" t="s">
        <v>367</v>
      </c>
      <c r="D894" s="51"/>
      <c r="E894" s="51"/>
      <c r="F894" s="51"/>
      <c r="G894" s="50" t="s">
        <v>5795</v>
      </c>
      <c r="H894" s="52">
        <v>44683.385613425926</v>
      </c>
      <c r="I894" s="50"/>
      <c r="J894" s="50"/>
      <c r="K894" s="50"/>
      <c r="L894" s="50"/>
      <c r="M894" s="50" t="s">
        <v>5796</v>
      </c>
      <c r="N894" s="50"/>
      <c r="O894" s="53" t="s">
        <v>60</v>
      </c>
      <c r="P894" s="55" t="s">
        <v>5797</v>
      </c>
      <c r="Q894" s="50">
        <v>5159.0</v>
      </c>
      <c r="R894" s="50">
        <v>5675.0</v>
      </c>
      <c r="S894" s="50" t="s">
        <v>5798</v>
      </c>
      <c r="T894" s="56" t="s">
        <v>5799</v>
      </c>
      <c r="U894" s="53" t="s">
        <v>370</v>
      </c>
    </row>
    <row r="895">
      <c r="A895" s="54" t="s">
        <v>5800</v>
      </c>
      <c r="B895" s="50" t="s">
        <v>5801</v>
      </c>
      <c r="C895" s="51" t="s">
        <v>687</v>
      </c>
      <c r="D895" s="51"/>
      <c r="E895" s="51"/>
      <c r="F895" s="51"/>
      <c r="G895" s="50" t="s">
        <v>5802</v>
      </c>
      <c r="H895" s="52">
        <v>44683.38550925926</v>
      </c>
      <c r="I895" s="50"/>
      <c r="J895" s="50"/>
      <c r="K895" s="50"/>
      <c r="L895" s="50"/>
      <c r="M895" s="50" t="s">
        <v>5803</v>
      </c>
      <c r="N895" s="50"/>
      <c r="O895" s="53" t="s">
        <v>60</v>
      </c>
      <c r="P895" s="55" t="s">
        <v>5804</v>
      </c>
      <c r="Q895" s="50">
        <v>1447.0</v>
      </c>
      <c r="R895" s="50">
        <v>2298.0</v>
      </c>
      <c r="S895" s="50" t="s">
        <v>3176</v>
      </c>
      <c r="T895" s="56" t="s">
        <v>5805</v>
      </c>
      <c r="U895" s="53" t="s">
        <v>691</v>
      </c>
    </row>
    <row r="896">
      <c r="A896" s="54" t="s">
        <v>5806</v>
      </c>
      <c r="B896" s="50" t="s">
        <v>5807</v>
      </c>
      <c r="C896" s="51" t="s">
        <v>5808</v>
      </c>
      <c r="D896" s="51"/>
      <c r="E896" s="51"/>
      <c r="F896" s="51"/>
      <c r="G896" s="50" t="s">
        <v>5809</v>
      </c>
      <c r="H896" s="52">
        <v>44683.38545138889</v>
      </c>
      <c r="I896" s="50"/>
      <c r="J896" s="50"/>
      <c r="K896" s="50"/>
      <c r="L896" s="50"/>
      <c r="M896" s="50" t="s">
        <v>5810</v>
      </c>
      <c r="N896" s="50"/>
      <c r="O896" s="53" t="s">
        <v>60</v>
      </c>
      <c r="P896" s="55" t="s">
        <v>5811</v>
      </c>
      <c r="Q896" s="50">
        <v>6.0</v>
      </c>
      <c r="R896" s="50">
        <v>7.0</v>
      </c>
      <c r="S896" s="50"/>
      <c r="T896" s="56" t="s">
        <v>5812</v>
      </c>
      <c r="U896" s="53" t="s">
        <v>5813</v>
      </c>
    </row>
    <row r="897">
      <c r="A897" s="54" t="s">
        <v>5814</v>
      </c>
      <c r="B897" s="50" t="s">
        <v>5815</v>
      </c>
      <c r="C897" s="51" t="s">
        <v>367</v>
      </c>
      <c r="D897" s="51"/>
      <c r="E897" s="51"/>
      <c r="F897" s="51"/>
      <c r="G897" s="50" t="s">
        <v>5816</v>
      </c>
      <c r="H897" s="52">
        <v>44683.38543981481</v>
      </c>
      <c r="I897" s="50"/>
      <c r="J897" s="50"/>
      <c r="K897" s="50"/>
      <c r="L897" s="50"/>
      <c r="M897" s="50" t="s">
        <v>5817</v>
      </c>
      <c r="N897" s="50"/>
      <c r="O897" s="53" t="s">
        <v>92</v>
      </c>
      <c r="P897" s="55" t="s">
        <v>5818</v>
      </c>
      <c r="Q897" s="50">
        <v>1017.0</v>
      </c>
      <c r="R897" s="50">
        <v>387.0</v>
      </c>
      <c r="S897" s="50" t="s">
        <v>5819</v>
      </c>
      <c r="T897" s="56" t="s">
        <v>5820</v>
      </c>
      <c r="U897" s="53" t="s">
        <v>370</v>
      </c>
    </row>
    <row r="898">
      <c r="A898" s="54" t="s">
        <v>5821</v>
      </c>
      <c r="B898" s="50" t="s">
        <v>5684</v>
      </c>
      <c r="C898" s="51" t="s">
        <v>367</v>
      </c>
      <c r="D898" s="51"/>
      <c r="E898" s="51"/>
      <c r="F898" s="51"/>
      <c r="G898" s="50" t="s">
        <v>5822</v>
      </c>
      <c r="H898" s="52">
        <v>44683.38539351852</v>
      </c>
      <c r="I898" s="50"/>
      <c r="J898" s="50"/>
      <c r="K898" s="50"/>
      <c r="L898" s="50"/>
      <c r="M898" s="50" t="s">
        <v>5686</v>
      </c>
      <c r="N898" s="50"/>
      <c r="O898" s="53" t="s">
        <v>60</v>
      </c>
      <c r="P898" s="55" t="s">
        <v>5687</v>
      </c>
      <c r="Q898" s="50">
        <v>7458.0</v>
      </c>
      <c r="R898" s="50">
        <v>4878.0</v>
      </c>
      <c r="S898" s="50" t="s">
        <v>5688</v>
      </c>
      <c r="T898" s="56" t="s">
        <v>5823</v>
      </c>
      <c r="U898" s="53" t="s">
        <v>370</v>
      </c>
    </row>
    <row r="899">
      <c r="A899" s="54" t="s">
        <v>5824</v>
      </c>
      <c r="B899" s="50" t="s">
        <v>5825</v>
      </c>
      <c r="C899" s="51" t="s">
        <v>367</v>
      </c>
      <c r="D899" s="51"/>
      <c r="E899" s="51"/>
      <c r="F899" s="51"/>
      <c r="G899" s="50" t="s">
        <v>5826</v>
      </c>
      <c r="H899" s="52">
        <v>44683.385300925926</v>
      </c>
      <c r="I899" s="50"/>
      <c r="J899" s="50"/>
      <c r="K899" s="50"/>
      <c r="L899" s="50"/>
      <c r="M899" s="50" t="s">
        <v>5827</v>
      </c>
      <c r="N899" s="50"/>
      <c r="O899" s="53" t="s">
        <v>92</v>
      </c>
      <c r="P899" s="55" t="s">
        <v>354</v>
      </c>
      <c r="Q899" s="50">
        <v>16.0</v>
      </c>
      <c r="R899" s="50">
        <v>12.0</v>
      </c>
      <c r="S899" s="50"/>
      <c r="T899" s="56" t="s">
        <v>5828</v>
      </c>
      <c r="U899" s="53" t="s">
        <v>370</v>
      </c>
    </row>
    <row r="900">
      <c r="A900" s="54" t="s">
        <v>5829</v>
      </c>
      <c r="B900" s="50" t="s">
        <v>5830</v>
      </c>
      <c r="C900" s="51" t="s">
        <v>367</v>
      </c>
      <c r="D900" s="51"/>
      <c r="E900" s="51"/>
      <c r="F900" s="51"/>
      <c r="G900" s="50" t="s">
        <v>5831</v>
      </c>
      <c r="H900" s="52">
        <v>44683.38483796296</v>
      </c>
      <c r="I900" s="50"/>
      <c r="J900" s="50"/>
      <c r="K900" s="50"/>
      <c r="L900" s="50"/>
      <c r="M900" s="50" t="s">
        <v>5832</v>
      </c>
      <c r="N900" s="50"/>
      <c r="O900" s="53" t="s">
        <v>60</v>
      </c>
      <c r="P900" s="55" t="s">
        <v>5833</v>
      </c>
      <c r="Q900" s="50">
        <v>23.0</v>
      </c>
      <c r="R900" s="50">
        <v>29.0</v>
      </c>
      <c r="S900" s="50"/>
      <c r="T900" s="56" t="s">
        <v>5834</v>
      </c>
      <c r="U900" s="53" t="s">
        <v>370</v>
      </c>
    </row>
    <row r="901">
      <c r="A901" s="54" t="s">
        <v>5835</v>
      </c>
      <c r="B901" s="50" t="s">
        <v>5836</v>
      </c>
      <c r="C901" s="51" t="s">
        <v>367</v>
      </c>
      <c r="D901" s="51"/>
      <c r="E901" s="51"/>
      <c r="F901" s="51"/>
      <c r="G901" s="50" t="s">
        <v>5837</v>
      </c>
      <c r="H901" s="52">
        <v>44683.38481481481</v>
      </c>
      <c r="I901" s="50"/>
      <c r="J901" s="50"/>
      <c r="K901" s="50"/>
      <c r="L901" s="50"/>
      <c r="M901" s="50" t="s">
        <v>5838</v>
      </c>
      <c r="N901" s="50"/>
      <c r="O901" s="53" t="s">
        <v>217</v>
      </c>
      <c r="P901" s="55" t="s">
        <v>5839</v>
      </c>
      <c r="Q901" s="50">
        <v>341.0</v>
      </c>
      <c r="R901" s="50">
        <v>1252.0</v>
      </c>
      <c r="S901" s="50" t="s">
        <v>5840</v>
      </c>
      <c r="T901" s="56" t="s">
        <v>5841</v>
      </c>
      <c r="U901" s="53" t="s">
        <v>370</v>
      </c>
    </row>
    <row r="902">
      <c r="A902" s="54" t="s">
        <v>5842</v>
      </c>
      <c r="B902" s="50" t="s">
        <v>5611</v>
      </c>
      <c r="C902" s="51" t="s">
        <v>1307</v>
      </c>
      <c r="D902" s="51"/>
      <c r="E902" s="51"/>
      <c r="F902" s="51"/>
      <c r="G902" s="50" t="s">
        <v>5843</v>
      </c>
      <c r="H902" s="52">
        <v>44683.38480324074</v>
      </c>
      <c r="I902" s="50"/>
      <c r="J902" s="50"/>
      <c r="K902" s="50"/>
      <c r="L902" s="50"/>
      <c r="M902" s="50" t="s">
        <v>5613</v>
      </c>
      <c r="N902" s="50"/>
      <c r="O902" s="53" t="s">
        <v>92</v>
      </c>
      <c r="P902" s="55" t="s">
        <v>5614</v>
      </c>
      <c r="Q902" s="50">
        <v>18.0</v>
      </c>
      <c r="R902" s="50">
        <v>241.0</v>
      </c>
      <c r="S902" s="50"/>
      <c r="T902" s="56" t="s">
        <v>5844</v>
      </c>
      <c r="U902" s="53" t="s">
        <v>1313</v>
      </c>
    </row>
    <row r="903">
      <c r="A903" s="54" t="s">
        <v>5845</v>
      </c>
      <c r="B903" s="50" t="s">
        <v>5846</v>
      </c>
      <c r="C903" s="51" t="s">
        <v>5847</v>
      </c>
      <c r="D903" s="51"/>
      <c r="E903" s="51"/>
      <c r="F903" s="51"/>
      <c r="G903" s="50" t="s">
        <v>5848</v>
      </c>
      <c r="H903" s="52">
        <v>44683.384780092594</v>
      </c>
      <c r="I903" s="50"/>
      <c r="J903" s="50"/>
      <c r="K903" s="50"/>
      <c r="L903" s="50"/>
      <c r="M903" s="50" t="s">
        <v>5849</v>
      </c>
      <c r="N903" s="50"/>
      <c r="O903" s="53" t="s">
        <v>70</v>
      </c>
      <c r="P903" s="55" t="s">
        <v>5850</v>
      </c>
      <c r="Q903" s="50">
        <v>1494.0</v>
      </c>
      <c r="R903" s="50">
        <v>1719.0</v>
      </c>
      <c r="S903" s="50" t="s">
        <v>5851</v>
      </c>
      <c r="T903" s="56" t="s">
        <v>5852</v>
      </c>
      <c r="U903" s="53" t="s">
        <v>5853</v>
      </c>
    </row>
    <row r="904">
      <c r="A904" s="54" t="s">
        <v>5854</v>
      </c>
      <c r="B904" s="50" t="s">
        <v>5855</v>
      </c>
      <c r="C904" s="51" t="s">
        <v>5856</v>
      </c>
      <c r="D904" s="51"/>
      <c r="E904" s="51"/>
      <c r="F904" s="51"/>
      <c r="G904" s="50" t="s">
        <v>5857</v>
      </c>
      <c r="H904" s="52">
        <v>44683.38474537037</v>
      </c>
      <c r="I904" s="50"/>
      <c r="J904" s="50"/>
      <c r="K904" s="50"/>
      <c r="L904" s="50"/>
      <c r="M904" s="50" t="s">
        <v>5858</v>
      </c>
      <c r="N904" s="50"/>
      <c r="O904" s="53" t="s">
        <v>70</v>
      </c>
      <c r="P904" s="55" t="s">
        <v>5859</v>
      </c>
      <c r="Q904" s="50">
        <v>2707.0</v>
      </c>
      <c r="R904" s="50">
        <v>4441.0</v>
      </c>
      <c r="S904" s="50" t="s">
        <v>5860</v>
      </c>
      <c r="T904" s="56" t="s">
        <v>5861</v>
      </c>
      <c r="U904" s="53" t="s">
        <v>5862</v>
      </c>
    </row>
    <row r="905">
      <c r="A905" s="54" t="s">
        <v>5863</v>
      </c>
      <c r="B905" s="50" t="s">
        <v>5864</v>
      </c>
      <c r="C905" s="51" t="s">
        <v>367</v>
      </c>
      <c r="D905" s="51"/>
      <c r="E905" s="51"/>
      <c r="F905" s="51"/>
      <c r="G905" s="50" t="s">
        <v>5865</v>
      </c>
      <c r="H905" s="52">
        <v>44683.3846875</v>
      </c>
      <c r="I905" s="50"/>
      <c r="J905" s="50"/>
      <c r="K905" s="50"/>
      <c r="L905" s="50"/>
      <c r="M905" s="50" t="s">
        <v>5866</v>
      </c>
      <c r="N905" s="50"/>
      <c r="O905" s="53" t="s">
        <v>70</v>
      </c>
      <c r="P905" s="55" t="s">
        <v>5867</v>
      </c>
      <c r="Q905" s="50">
        <v>790.0</v>
      </c>
      <c r="R905" s="50">
        <v>878.0</v>
      </c>
      <c r="S905" s="50" t="s">
        <v>5517</v>
      </c>
      <c r="T905" s="56" t="s">
        <v>5868</v>
      </c>
      <c r="U905" s="53" t="s">
        <v>370</v>
      </c>
    </row>
    <row r="906">
      <c r="A906" s="54" t="s">
        <v>5869</v>
      </c>
      <c r="B906" s="50" t="s">
        <v>5870</v>
      </c>
      <c r="C906" s="51" t="s">
        <v>5871</v>
      </c>
      <c r="D906" s="51"/>
      <c r="E906" s="51"/>
      <c r="F906" s="51"/>
      <c r="G906" s="50" t="s">
        <v>5872</v>
      </c>
      <c r="H906" s="52">
        <v>44683.384629629625</v>
      </c>
      <c r="I906" s="50"/>
      <c r="J906" s="50"/>
      <c r="K906" s="50"/>
      <c r="L906" s="50"/>
      <c r="M906" s="50" t="s">
        <v>5873</v>
      </c>
      <c r="N906" s="50"/>
      <c r="O906" s="53" t="s">
        <v>70</v>
      </c>
      <c r="P906" s="55" t="s">
        <v>5874</v>
      </c>
      <c r="Q906" s="50">
        <v>148.0</v>
      </c>
      <c r="R906" s="50">
        <v>318.0</v>
      </c>
      <c r="S906" s="50" t="s">
        <v>129</v>
      </c>
      <c r="T906" s="56" t="s">
        <v>5875</v>
      </c>
      <c r="U906" s="53" t="s">
        <v>5876</v>
      </c>
    </row>
    <row r="907">
      <c r="A907" s="54" t="s">
        <v>5877</v>
      </c>
      <c r="B907" s="50" t="s">
        <v>5878</v>
      </c>
      <c r="C907" s="51" t="s">
        <v>329</v>
      </c>
      <c r="D907" s="51"/>
      <c r="E907" s="51"/>
      <c r="F907" s="51"/>
      <c r="G907" s="50" t="s">
        <v>5879</v>
      </c>
      <c r="H907" s="52">
        <v>44683.38445601852</v>
      </c>
      <c r="I907" s="50"/>
      <c r="J907" s="50"/>
      <c r="K907" s="50"/>
      <c r="L907" s="50"/>
      <c r="M907" s="50" t="s">
        <v>5880</v>
      </c>
      <c r="N907" s="50"/>
      <c r="O907" s="53" t="s">
        <v>70</v>
      </c>
      <c r="P907" s="55" t="s">
        <v>5881</v>
      </c>
      <c r="Q907" s="50">
        <v>524.0</v>
      </c>
      <c r="R907" s="50">
        <v>1030.0</v>
      </c>
      <c r="S907" s="50" t="s">
        <v>5882</v>
      </c>
      <c r="T907" s="56" t="s">
        <v>5883</v>
      </c>
      <c r="U907" s="53" t="s">
        <v>332</v>
      </c>
    </row>
    <row r="908">
      <c r="A908" s="54" t="s">
        <v>5884</v>
      </c>
      <c r="B908" s="50" t="s">
        <v>5885</v>
      </c>
      <c r="C908" s="51" t="s">
        <v>367</v>
      </c>
      <c r="D908" s="51"/>
      <c r="E908" s="51"/>
      <c r="F908" s="51"/>
      <c r="G908" s="50" t="s">
        <v>5886</v>
      </c>
      <c r="H908" s="52">
        <v>44683.38443287037</v>
      </c>
      <c r="I908" s="50"/>
      <c r="J908" s="50"/>
      <c r="K908" s="50"/>
      <c r="L908" s="50"/>
      <c r="M908" s="50" t="s">
        <v>5887</v>
      </c>
      <c r="N908" s="50"/>
      <c r="O908" s="53" t="s">
        <v>92</v>
      </c>
      <c r="P908" s="55" t="s">
        <v>5888</v>
      </c>
      <c r="Q908" s="50">
        <v>6708.0</v>
      </c>
      <c r="R908" s="50">
        <v>6332.0</v>
      </c>
      <c r="S908" s="50" t="s">
        <v>5889</v>
      </c>
      <c r="T908" s="56" t="s">
        <v>5890</v>
      </c>
      <c r="U908" s="53" t="s">
        <v>370</v>
      </c>
    </row>
    <row r="909">
      <c r="A909" s="54" t="s">
        <v>5891</v>
      </c>
      <c r="B909" s="50" t="s">
        <v>5892</v>
      </c>
      <c r="C909" s="51" t="s">
        <v>5893</v>
      </c>
      <c r="D909" s="51"/>
      <c r="E909" s="51"/>
      <c r="F909" s="51"/>
      <c r="G909" s="50" t="s">
        <v>5894</v>
      </c>
      <c r="H909" s="52">
        <v>44683.3844212963</v>
      </c>
      <c r="I909" s="50"/>
      <c r="J909" s="50"/>
      <c r="K909" s="50"/>
      <c r="L909" s="50"/>
      <c r="M909" s="50" t="s">
        <v>5895</v>
      </c>
      <c r="N909" s="50"/>
      <c r="O909" s="53" t="s">
        <v>70</v>
      </c>
      <c r="P909" s="55" t="s">
        <v>5896</v>
      </c>
      <c r="Q909" s="50">
        <v>14070.0</v>
      </c>
      <c r="R909" s="50">
        <v>13104.0</v>
      </c>
      <c r="S909" s="50" t="s">
        <v>5897</v>
      </c>
      <c r="T909" s="56" t="s">
        <v>5898</v>
      </c>
      <c r="U909" s="53" t="s">
        <v>5899</v>
      </c>
    </row>
    <row r="910">
      <c r="A910" s="54" t="s">
        <v>5900</v>
      </c>
      <c r="B910" s="50" t="s">
        <v>5901</v>
      </c>
      <c r="C910" s="51" t="s">
        <v>367</v>
      </c>
      <c r="D910" s="51"/>
      <c r="E910" s="51"/>
      <c r="F910" s="51"/>
      <c r="G910" s="50" t="s">
        <v>5902</v>
      </c>
      <c r="H910" s="52">
        <v>44683.384363425925</v>
      </c>
      <c r="I910" s="50"/>
      <c r="J910" s="50"/>
      <c r="K910" s="50"/>
      <c r="L910" s="50"/>
      <c r="M910" s="50" t="s">
        <v>5903</v>
      </c>
      <c r="N910" s="50"/>
      <c r="O910" s="53" t="s">
        <v>70</v>
      </c>
      <c r="P910" s="55" t="s">
        <v>5904</v>
      </c>
      <c r="Q910" s="50">
        <v>2720.0</v>
      </c>
      <c r="R910" s="50">
        <v>1611.0</v>
      </c>
      <c r="S910" s="50" t="s">
        <v>5905</v>
      </c>
      <c r="T910" s="56" t="s">
        <v>5906</v>
      </c>
      <c r="U910" s="53" t="s">
        <v>370</v>
      </c>
    </row>
    <row r="911">
      <c r="A911" s="54" t="s">
        <v>5907</v>
      </c>
      <c r="B911" s="50" t="s">
        <v>5908</v>
      </c>
      <c r="C911" s="51" t="s">
        <v>367</v>
      </c>
      <c r="D911" s="51"/>
      <c r="E911" s="51"/>
      <c r="F911" s="51"/>
      <c r="G911" s="50" t="s">
        <v>5909</v>
      </c>
      <c r="H911" s="52">
        <v>44683.38428240741</v>
      </c>
      <c r="I911" s="50"/>
      <c r="J911" s="50"/>
      <c r="K911" s="50"/>
      <c r="L911" s="50"/>
      <c r="M911" s="50" t="s">
        <v>5910</v>
      </c>
      <c r="N911" s="50"/>
      <c r="O911" s="53" t="s">
        <v>92</v>
      </c>
      <c r="P911" s="55" t="s">
        <v>5911</v>
      </c>
      <c r="Q911" s="50">
        <v>3153.0</v>
      </c>
      <c r="R911" s="50">
        <v>3431.0</v>
      </c>
      <c r="S911" s="50" t="s">
        <v>246</v>
      </c>
      <c r="T911" s="56" t="s">
        <v>5912</v>
      </c>
      <c r="U911" s="53" t="s">
        <v>370</v>
      </c>
    </row>
    <row r="912">
      <c r="A912" s="54" t="s">
        <v>5913</v>
      </c>
      <c r="B912" s="50" t="s">
        <v>5914</v>
      </c>
      <c r="C912" s="51" t="s">
        <v>316</v>
      </c>
      <c r="D912" s="51"/>
      <c r="E912" s="51"/>
      <c r="F912" s="51"/>
      <c r="G912" s="50" t="s">
        <v>5915</v>
      </c>
      <c r="H912" s="52">
        <v>44683.38415509259</v>
      </c>
      <c r="I912" s="50"/>
      <c r="J912" s="50"/>
      <c r="K912" s="50"/>
      <c r="L912" s="50"/>
      <c r="M912" s="50" t="s">
        <v>5916</v>
      </c>
      <c r="N912" s="50"/>
      <c r="O912" s="53" t="s">
        <v>92</v>
      </c>
      <c r="P912" s="55" t="s">
        <v>5917</v>
      </c>
      <c r="Q912" s="50">
        <v>878.0</v>
      </c>
      <c r="R912" s="50">
        <v>2275.0</v>
      </c>
      <c r="S912" s="50" t="s">
        <v>5918</v>
      </c>
      <c r="T912" s="56" t="s">
        <v>5919</v>
      </c>
      <c r="U912" s="53" t="s">
        <v>322</v>
      </c>
    </row>
    <row r="913">
      <c r="A913" s="54" t="s">
        <v>5920</v>
      </c>
      <c r="B913" s="50" t="s">
        <v>5921</v>
      </c>
      <c r="C913" s="51" t="s">
        <v>367</v>
      </c>
      <c r="D913" s="51"/>
      <c r="E913" s="51"/>
      <c r="F913" s="51"/>
      <c r="G913" s="50" t="s">
        <v>5922</v>
      </c>
      <c r="H913" s="52">
        <v>44683.38395833333</v>
      </c>
      <c r="I913" s="50"/>
      <c r="J913" s="50"/>
      <c r="K913" s="50"/>
      <c r="L913" s="50"/>
      <c r="M913" s="50" t="s">
        <v>5923</v>
      </c>
      <c r="N913" s="50"/>
      <c r="O913" s="53" t="s">
        <v>92</v>
      </c>
      <c r="P913" s="55" t="s">
        <v>5924</v>
      </c>
      <c r="Q913" s="50">
        <v>786.0</v>
      </c>
      <c r="R913" s="50">
        <v>1009.0</v>
      </c>
      <c r="S913" s="50" t="s">
        <v>5925</v>
      </c>
      <c r="T913" s="56" t="s">
        <v>5926</v>
      </c>
      <c r="U913" s="53" t="s">
        <v>370</v>
      </c>
    </row>
    <row r="914">
      <c r="A914" s="54" t="s">
        <v>5927</v>
      </c>
      <c r="B914" s="50" t="s">
        <v>298</v>
      </c>
      <c r="C914" s="51" t="s">
        <v>5928</v>
      </c>
      <c r="D914" s="51"/>
      <c r="E914" s="51"/>
      <c r="F914" s="51"/>
      <c r="G914" s="50" t="s">
        <v>5929</v>
      </c>
      <c r="H914" s="52">
        <v>44683.38375</v>
      </c>
      <c r="I914" s="50"/>
      <c r="J914" s="50"/>
      <c r="K914" s="50" t="s">
        <v>181</v>
      </c>
      <c r="L914" s="50" t="s">
        <v>182</v>
      </c>
      <c r="M914" s="50" t="s">
        <v>302</v>
      </c>
      <c r="N914" s="50" t="s">
        <v>5930</v>
      </c>
      <c r="O914" s="53" t="s">
        <v>92</v>
      </c>
      <c r="P914" s="55" t="s">
        <v>303</v>
      </c>
      <c r="Q914" s="50">
        <v>4136.0</v>
      </c>
      <c r="R914" s="50">
        <v>4374.0</v>
      </c>
      <c r="S914" s="50" t="s">
        <v>304</v>
      </c>
      <c r="T914" s="56" t="s">
        <v>5931</v>
      </c>
      <c r="U914" s="53" t="s">
        <v>5932</v>
      </c>
    </row>
    <row r="915">
      <c r="A915" s="54" t="s">
        <v>5933</v>
      </c>
      <c r="B915" s="50" t="s">
        <v>5934</v>
      </c>
      <c r="C915" s="51" t="s">
        <v>5935</v>
      </c>
      <c r="D915" s="51"/>
      <c r="E915" s="51"/>
      <c r="F915" s="51"/>
      <c r="G915" s="50" t="s">
        <v>5936</v>
      </c>
      <c r="H915" s="52">
        <v>44683.38371527778</v>
      </c>
      <c r="I915" s="50"/>
      <c r="J915" s="50"/>
      <c r="K915" s="50" t="s">
        <v>5937</v>
      </c>
      <c r="L915" s="50" t="s">
        <v>5938</v>
      </c>
      <c r="M915" s="50" t="s">
        <v>5939</v>
      </c>
      <c r="N915" s="50" t="s">
        <v>5940</v>
      </c>
      <c r="O915" s="53" t="s">
        <v>70</v>
      </c>
      <c r="P915" s="55" t="s">
        <v>5941</v>
      </c>
      <c r="Q915" s="50">
        <v>170.0</v>
      </c>
      <c r="R915" s="50">
        <v>716.0</v>
      </c>
      <c r="S915" s="50"/>
      <c r="T915" s="56" t="s">
        <v>5942</v>
      </c>
      <c r="U915" s="53" t="s">
        <v>5943</v>
      </c>
    </row>
    <row r="916">
      <c r="A916" s="54" t="s">
        <v>5944</v>
      </c>
      <c r="B916" s="50" t="s">
        <v>5945</v>
      </c>
      <c r="C916" s="51" t="s">
        <v>367</v>
      </c>
      <c r="D916" s="51"/>
      <c r="E916" s="51"/>
      <c r="F916" s="51"/>
      <c r="G916" s="50" t="s">
        <v>5946</v>
      </c>
      <c r="H916" s="52">
        <v>44683.38339120371</v>
      </c>
      <c r="I916" s="50"/>
      <c r="J916" s="50"/>
      <c r="K916" s="50"/>
      <c r="L916" s="50"/>
      <c r="M916" s="50" t="s">
        <v>5947</v>
      </c>
      <c r="N916" s="50"/>
      <c r="O916" s="53" t="s">
        <v>217</v>
      </c>
      <c r="P916" s="55" t="s">
        <v>5948</v>
      </c>
      <c r="Q916" s="50">
        <v>98.0</v>
      </c>
      <c r="R916" s="50">
        <v>677.0</v>
      </c>
      <c r="S916" s="50" t="s">
        <v>5949</v>
      </c>
      <c r="T916" s="56" t="s">
        <v>5950</v>
      </c>
      <c r="U916" s="53" t="s">
        <v>370</v>
      </c>
    </row>
    <row r="917">
      <c r="A917" s="54" t="s">
        <v>5951</v>
      </c>
      <c r="B917" s="50" t="s">
        <v>3511</v>
      </c>
      <c r="C917" s="51" t="s">
        <v>5952</v>
      </c>
      <c r="D917" s="51"/>
      <c r="E917" s="51"/>
      <c r="F917" s="51"/>
      <c r="G917" s="50" t="s">
        <v>5953</v>
      </c>
      <c r="H917" s="52">
        <v>44683.383310185185</v>
      </c>
      <c r="I917" s="50"/>
      <c r="J917" s="50"/>
      <c r="K917" s="50" t="s">
        <v>5954</v>
      </c>
      <c r="L917" s="50" t="s">
        <v>5955</v>
      </c>
      <c r="M917" s="50" t="s">
        <v>3516</v>
      </c>
      <c r="N917" s="50" t="s">
        <v>5956</v>
      </c>
      <c r="O917" s="53" t="s">
        <v>60</v>
      </c>
      <c r="P917" s="55" t="s">
        <v>3518</v>
      </c>
      <c r="Q917" s="50">
        <v>871.0</v>
      </c>
      <c r="R917" s="50">
        <v>329.0</v>
      </c>
      <c r="S917" s="50" t="s">
        <v>3519</v>
      </c>
      <c r="T917" s="56" t="s">
        <v>5957</v>
      </c>
      <c r="U917" s="53" t="s">
        <v>5958</v>
      </c>
    </row>
    <row r="918">
      <c r="A918" s="54" t="s">
        <v>5959</v>
      </c>
      <c r="B918" s="50" t="s">
        <v>5960</v>
      </c>
      <c r="C918" s="51" t="s">
        <v>5961</v>
      </c>
      <c r="D918" s="51"/>
      <c r="E918" s="51"/>
      <c r="F918" s="51"/>
      <c r="G918" s="50" t="s">
        <v>5962</v>
      </c>
      <c r="H918" s="52">
        <v>44683.383263888885</v>
      </c>
      <c r="I918" s="50"/>
      <c r="J918" s="50"/>
      <c r="K918" s="50"/>
      <c r="L918" s="50"/>
      <c r="M918" s="50" t="s">
        <v>5963</v>
      </c>
      <c r="N918" s="50"/>
      <c r="O918" s="53" t="s">
        <v>217</v>
      </c>
      <c r="P918" s="55" t="s">
        <v>5964</v>
      </c>
      <c r="Q918" s="50">
        <v>425.0</v>
      </c>
      <c r="R918" s="50">
        <v>716.0</v>
      </c>
      <c r="S918" s="50" t="s">
        <v>5965</v>
      </c>
      <c r="T918" s="56" t="s">
        <v>5966</v>
      </c>
      <c r="U918" s="53" t="s">
        <v>5967</v>
      </c>
    </row>
    <row r="919">
      <c r="A919" s="54" t="s">
        <v>5968</v>
      </c>
      <c r="B919" s="50" t="s">
        <v>5969</v>
      </c>
      <c r="C919" s="51" t="s">
        <v>5970</v>
      </c>
      <c r="D919" s="51"/>
      <c r="E919" s="51"/>
      <c r="F919" s="51"/>
      <c r="G919" s="50" t="s">
        <v>5971</v>
      </c>
      <c r="H919" s="52">
        <v>44683.383252314816</v>
      </c>
      <c r="I919" s="50"/>
      <c r="J919" s="50"/>
      <c r="K919" s="50"/>
      <c r="L919" s="50"/>
      <c r="M919" s="50" t="s">
        <v>5972</v>
      </c>
      <c r="N919" s="50"/>
      <c r="O919" s="53" t="s">
        <v>70</v>
      </c>
      <c r="P919" s="55" t="s">
        <v>5973</v>
      </c>
      <c r="Q919" s="50">
        <v>2776.0</v>
      </c>
      <c r="R919" s="50">
        <v>2030.0</v>
      </c>
      <c r="S919" s="50" t="s">
        <v>5974</v>
      </c>
      <c r="T919" s="56" t="s">
        <v>5975</v>
      </c>
      <c r="U919" s="53" t="s">
        <v>5976</v>
      </c>
    </row>
    <row r="920">
      <c r="A920" s="54" t="s">
        <v>5977</v>
      </c>
      <c r="B920" s="50" t="s">
        <v>5978</v>
      </c>
      <c r="C920" s="51" t="s">
        <v>367</v>
      </c>
      <c r="D920" s="51"/>
      <c r="E920" s="51"/>
      <c r="F920" s="51"/>
      <c r="G920" s="50" t="s">
        <v>5979</v>
      </c>
      <c r="H920" s="52">
        <v>44683.38324074074</v>
      </c>
      <c r="I920" s="50"/>
      <c r="J920" s="50"/>
      <c r="K920" s="50"/>
      <c r="L920" s="50"/>
      <c r="M920" s="50" t="s">
        <v>5980</v>
      </c>
      <c r="N920" s="50"/>
      <c r="O920" s="53" t="s">
        <v>217</v>
      </c>
      <c r="P920" s="55" t="s">
        <v>5981</v>
      </c>
      <c r="Q920" s="50">
        <v>1422.0</v>
      </c>
      <c r="R920" s="50">
        <v>338.0</v>
      </c>
      <c r="S920" s="50" t="s">
        <v>246</v>
      </c>
      <c r="T920" s="56" t="s">
        <v>5982</v>
      </c>
      <c r="U920" s="53" t="s">
        <v>370</v>
      </c>
    </row>
    <row r="921">
      <c r="A921" s="54" t="s">
        <v>5983</v>
      </c>
      <c r="B921" s="50" t="s">
        <v>5984</v>
      </c>
      <c r="C921" s="51" t="s">
        <v>367</v>
      </c>
      <c r="D921" s="51"/>
      <c r="E921" s="51"/>
      <c r="F921" s="51"/>
      <c r="G921" s="50" t="s">
        <v>5985</v>
      </c>
      <c r="H921" s="52">
        <v>44683.382997685185</v>
      </c>
      <c r="I921" s="50"/>
      <c r="J921" s="50"/>
      <c r="K921" s="50"/>
      <c r="L921" s="50"/>
      <c r="M921" s="50" t="s">
        <v>5986</v>
      </c>
      <c r="N921" s="50"/>
      <c r="O921" s="53" t="s">
        <v>92</v>
      </c>
      <c r="P921" s="55" t="s">
        <v>5987</v>
      </c>
      <c r="Q921" s="50">
        <v>660.0</v>
      </c>
      <c r="R921" s="50">
        <v>1263.0</v>
      </c>
      <c r="S921" s="50" t="s">
        <v>5988</v>
      </c>
      <c r="T921" s="56" t="s">
        <v>5989</v>
      </c>
      <c r="U921" s="53" t="s">
        <v>370</v>
      </c>
    </row>
    <row r="922">
      <c r="A922" s="54" t="s">
        <v>5990</v>
      </c>
      <c r="B922" s="50" t="s">
        <v>5991</v>
      </c>
      <c r="C922" s="51" t="s">
        <v>329</v>
      </c>
      <c r="D922" s="51"/>
      <c r="E922" s="51"/>
      <c r="F922" s="51"/>
      <c r="G922" s="50" t="s">
        <v>5992</v>
      </c>
      <c r="H922" s="52">
        <v>44683.38290509259</v>
      </c>
      <c r="I922" s="50"/>
      <c r="J922" s="50"/>
      <c r="K922" s="50"/>
      <c r="L922" s="50"/>
      <c r="M922" s="50" t="s">
        <v>5993</v>
      </c>
      <c r="N922" s="50"/>
      <c r="O922" s="53" t="s">
        <v>60</v>
      </c>
      <c r="P922" s="55" t="s">
        <v>5994</v>
      </c>
      <c r="Q922" s="50">
        <v>1595.0</v>
      </c>
      <c r="R922" s="50">
        <v>1626.0</v>
      </c>
      <c r="S922" s="50"/>
      <c r="T922" s="56" t="s">
        <v>5995</v>
      </c>
      <c r="U922" s="53" t="s">
        <v>332</v>
      </c>
    </row>
    <row r="923">
      <c r="A923" s="54" t="s">
        <v>5996</v>
      </c>
      <c r="B923" s="50" t="s">
        <v>5997</v>
      </c>
      <c r="C923" s="51" t="s">
        <v>367</v>
      </c>
      <c r="D923" s="51"/>
      <c r="E923" s="51"/>
      <c r="F923" s="51"/>
      <c r="G923" s="50" t="s">
        <v>5998</v>
      </c>
      <c r="H923" s="52">
        <v>44683.38283564815</v>
      </c>
      <c r="I923" s="50"/>
      <c r="J923" s="50"/>
      <c r="K923" s="50"/>
      <c r="L923" s="50"/>
      <c r="M923" s="50" t="s">
        <v>5999</v>
      </c>
      <c r="N923" s="50"/>
      <c r="O923" s="53" t="s">
        <v>70</v>
      </c>
      <c r="P923" s="55" t="s">
        <v>354</v>
      </c>
      <c r="Q923" s="50">
        <v>23.0</v>
      </c>
      <c r="R923" s="50">
        <v>119.0</v>
      </c>
      <c r="S923" s="50"/>
      <c r="T923" s="56" t="s">
        <v>6000</v>
      </c>
      <c r="U923" s="53" t="s">
        <v>370</v>
      </c>
    </row>
    <row r="924">
      <c r="A924" s="54" t="s">
        <v>6001</v>
      </c>
      <c r="B924" s="50" t="s">
        <v>6002</v>
      </c>
      <c r="C924" s="51" t="s">
        <v>1402</v>
      </c>
      <c r="D924" s="51"/>
      <c r="E924" s="51"/>
      <c r="F924" s="51"/>
      <c r="G924" s="50" t="s">
        <v>6003</v>
      </c>
      <c r="H924" s="52">
        <v>44683.382615740746</v>
      </c>
      <c r="I924" s="50"/>
      <c r="J924" s="50"/>
      <c r="K924" s="50"/>
      <c r="L924" s="50"/>
      <c r="M924" s="50" t="s">
        <v>6004</v>
      </c>
      <c r="N924" s="50"/>
      <c r="O924" s="53" t="s">
        <v>92</v>
      </c>
      <c r="P924" s="55" t="s">
        <v>6005</v>
      </c>
      <c r="Q924" s="50">
        <v>319.0</v>
      </c>
      <c r="R924" s="50">
        <v>745.0</v>
      </c>
      <c r="S924" s="50"/>
      <c r="T924" s="56" t="s">
        <v>6006</v>
      </c>
      <c r="U924" s="53" t="s">
        <v>1408</v>
      </c>
    </row>
    <row r="925">
      <c r="A925" s="54" t="s">
        <v>6007</v>
      </c>
      <c r="B925" s="50" t="s">
        <v>6008</v>
      </c>
      <c r="C925" s="51" t="s">
        <v>367</v>
      </c>
      <c r="D925" s="51"/>
      <c r="E925" s="51"/>
      <c r="F925" s="51"/>
      <c r="G925" s="50" t="s">
        <v>6009</v>
      </c>
      <c r="H925" s="52">
        <v>44683.38229166667</v>
      </c>
      <c r="I925" s="50"/>
      <c r="J925" s="50"/>
      <c r="K925" s="50"/>
      <c r="L925" s="50"/>
      <c r="M925" s="50" t="s">
        <v>6010</v>
      </c>
      <c r="N925" s="50"/>
      <c r="O925" s="53" t="s">
        <v>60</v>
      </c>
      <c r="P925" s="55" t="s">
        <v>6011</v>
      </c>
      <c r="Q925" s="50">
        <v>6.0</v>
      </c>
      <c r="R925" s="50">
        <v>31.0</v>
      </c>
      <c r="S925" s="50"/>
      <c r="T925" s="56" t="s">
        <v>6012</v>
      </c>
      <c r="U925" s="53" t="s">
        <v>370</v>
      </c>
    </row>
    <row r="926">
      <c r="A926" s="54" t="s">
        <v>6013</v>
      </c>
      <c r="B926" s="50" t="s">
        <v>6014</v>
      </c>
      <c r="C926" s="51" t="s">
        <v>6015</v>
      </c>
      <c r="D926" s="51"/>
      <c r="E926" s="51"/>
      <c r="F926" s="51"/>
      <c r="G926" s="50" t="s">
        <v>6016</v>
      </c>
      <c r="H926" s="52">
        <v>44683.38211805555</v>
      </c>
      <c r="I926" s="50"/>
      <c r="J926" s="50"/>
      <c r="K926" s="50"/>
      <c r="L926" s="50"/>
      <c r="M926" s="50" t="s">
        <v>6017</v>
      </c>
      <c r="N926" s="50"/>
      <c r="O926" s="53" t="s">
        <v>70</v>
      </c>
      <c r="P926" s="55" t="s">
        <v>6018</v>
      </c>
      <c r="Q926" s="50">
        <v>148.0</v>
      </c>
      <c r="R926" s="50">
        <v>492.0</v>
      </c>
      <c r="S926" s="50" t="s">
        <v>2044</v>
      </c>
      <c r="T926" s="56" t="s">
        <v>6019</v>
      </c>
      <c r="U926" s="53" t="s">
        <v>6020</v>
      </c>
    </row>
    <row r="927">
      <c r="A927" s="54" t="s">
        <v>6021</v>
      </c>
      <c r="B927" s="50" t="s">
        <v>6014</v>
      </c>
      <c r="C927" s="51" t="s">
        <v>6022</v>
      </c>
      <c r="D927" s="51"/>
      <c r="E927" s="51"/>
      <c r="F927" s="51"/>
      <c r="G927" s="50" t="s">
        <v>6023</v>
      </c>
      <c r="H927" s="52">
        <v>44683.38209490741</v>
      </c>
      <c r="I927" s="50"/>
      <c r="J927" s="50"/>
      <c r="K927" s="50"/>
      <c r="L927" s="50"/>
      <c r="M927" s="50" t="s">
        <v>6017</v>
      </c>
      <c r="N927" s="50"/>
      <c r="O927" s="53" t="s">
        <v>70</v>
      </c>
      <c r="P927" s="55" t="s">
        <v>6018</v>
      </c>
      <c r="Q927" s="50">
        <v>148.0</v>
      </c>
      <c r="R927" s="50">
        <v>492.0</v>
      </c>
      <c r="S927" s="50" t="s">
        <v>2044</v>
      </c>
      <c r="T927" s="56" t="s">
        <v>6024</v>
      </c>
      <c r="U927" s="53" t="s">
        <v>6025</v>
      </c>
    </row>
    <row r="928">
      <c r="A928" s="54" t="s">
        <v>6026</v>
      </c>
      <c r="B928" s="50" t="s">
        <v>6014</v>
      </c>
      <c r="C928" s="51" t="s">
        <v>6027</v>
      </c>
      <c r="D928" s="51"/>
      <c r="E928" s="51"/>
      <c r="F928" s="51"/>
      <c r="G928" s="50" t="s">
        <v>6028</v>
      </c>
      <c r="H928" s="52">
        <v>44683.38207175926</v>
      </c>
      <c r="I928" s="50"/>
      <c r="J928" s="50"/>
      <c r="K928" s="50"/>
      <c r="L928" s="50"/>
      <c r="M928" s="50" t="s">
        <v>6017</v>
      </c>
      <c r="N928" s="50"/>
      <c r="O928" s="53" t="s">
        <v>70</v>
      </c>
      <c r="P928" s="55" t="s">
        <v>6018</v>
      </c>
      <c r="Q928" s="50">
        <v>148.0</v>
      </c>
      <c r="R928" s="50">
        <v>492.0</v>
      </c>
      <c r="S928" s="50" t="s">
        <v>2044</v>
      </c>
      <c r="T928" s="56" t="s">
        <v>6029</v>
      </c>
      <c r="U928" s="53" t="s">
        <v>6030</v>
      </c>
    </row>
    <row r="929">
      <c r="A929" s="54" t="s">
        <v>6031</v>
      </c>
      <c r="B929" s="50" t="s">
        <v>6032</v>
      </c>
      <c r="C929" s="51" t="s">
        <v>367</v>
      </c>
      <c r="D929" s="51"/>
      <c r="E929" s="51"/>
      <c r="F929" s="51"/>
      <c r="G929" s="50" t="s">
        <v>6033</v>
      </c>
      <c r="H929" s="52">
        <v>44683.382060185184</v>
      </c>
      <c r="I929" s="50"/>
      <c r="J929" s="50"/>
      <c r="K929" s="50"/>
      <c r="L929" s="50"/>
      <c r="M929" s="50" t="s">
        <v>6034</v>
      </c>
      <c r="N929" s="50"/>
      <c r="O929" s="53" t="s">
        <v>70</v>
      </c>
      <c r="P929" s="55" t="s">
        <v>6035</v>
      </c>
      <c r="Q929" s="50">
        <v>2566.0</v>
      </c>
      <c r="R929" s="50">
        <v>4698.0</v>
      </c>
      <c r="S929" s="50" t="s">
        <v>6036</v>
      </c>
      <c r="T929" s="56" t="s">
        <v>6037</v>
      </c>
      <c r="U929" s="53" t="s">
        <v>370</v>
      </c>
    </row>
    <row r="930">
      <c r="A930" s="54" t="s">
        <v>6038</v>
      </c>
      <c r="B930" s="50" t="s">
        <v>6039</v>
      </c>
      <c r="C930" s="51" t="s">
        <v>367</v>
      </c>
      <c r="D930" s="51"/>
      <c r="E930" s="51"/>
      <c r="F930" s="51"/>
      <c r="G930" s="50" t="s">
        <v>6040</v>
      </c>
      <c r="H930" s="52">
        <v>44683.38204861111</v>
      </c>
      <c r="I930" s="50"/>
      <c r="J930" s="50"/>
      <c r="K930" s="50"/>
      <c r="L930" s="50"/>
      <c r="M930" s="50" t="s">
        <v>6041</v>
      </c>
      <c r="N930" s="50"/>
      <c r="O930" s="53" t="s">
        <v>70</v>
      </c>
      <c r="P930" s="55" t="s">
        <v>6042</v>
      </c>
      <c r="Q930" s="50">
        <v>1381.0</v>
      </c>
      <c r="R930" s="50">
        <v>1950.0</v>
      </c>
      <c r="S930" s="50"/>
      <c r="T930" s="56" t="s">
        <v>6043</v>
      </c>
      <c r="U930" s="53" t="s">
        <v>370</v>
      </c>
    </row>
    <row r="931">
      <c r="A931" s="54" t="s">
        <v>6044</v>
      </c>
      <c r="B931" s="50" t="s">
        <v>6045</v>
      </c>
      <c r="C931" s="51" t="s">
        <v>6046</v>
      </c>
      <c r="D931" s="51"/>
      <c r="E931" s="51"/>
      <c r="F931" s="51"/>
      <c r="G931" s="50" t="s">
        <v>6047</v>
      </c>
      <c r="H931" s="52">
        <v>44683.38196759259</v>
      </c>
      <c r="I931" s="50"/>
      <c r="J931" s="50"/>
      <c r="K931" s="50" t="s">
        <v>6048</v>
      </c>
      <c r="L931" s="50" t="s">
        <v>6049</v>
      </c>
      <c r="M931" s="50" t="s">
        <v>6050</v>
      </c>
      <c r="N931" s="50" t="s">
        <v>6051</v>
      </c>
      <c r="O931" s="53" t="s">
        <v>217</v>
      </c>
      <c r="P931" s="55" t="s">
        <v>6052</v>
      </c>
      <c r="Q931" s="50">
        <v>2054.0</v>
      </c>
      <c r="R931" s="50">
        <v>2377.0</v>
      </c>
      <c r="S931" s="50" t="s">
        <v>6053</v>
      </c>
      <c r="T931" s="56" t="s">
        <v>6054</v>
      </c>
      <c r="U931" s="53" t="s">
        <v>6055</v>
      </c>
    </row>
    <row r="932">
      <c r="A932" s="54" t="s">
        <v>6056</v>
      </c>
      <c r="B932" s="50" t="s">
        <v>6014</v>
      </c>
      <c r="C932" s="51" t="s">
        <v>6057</v>
      </c>
      <c r="D932" s="51"/>
      <c r="E932" s="51"/>
      <c r="F932" s="51"/>
      <c r="G932" s="50" t="s">
        <v>6047</v>
      </c>
      <c r="H932" s="52">
        <v>44683.38196759259</v>
      </c>
      <c r="I932" s="50"/>
      <c r="J932" s="50"/>
      <c r="K932" s="50"/>
      <c r="L932" s="50"/>
      <c r="M932" s="50" t="s">
        <v>6017</v>
      </c>
      <c r="N932" s="50"/>
      <c r="O932" s="53" t="s">
        <v>70</v>
      </c>
      <c r="P932" s="55" t="s">
        <v>6018</v>
      </c>
      <c r="Q932" s="50">
        <v>148.0</v>
      </c>
      <c r="R932" s="50">
        <v>492.0</v>
      </c>
      <c r="S932" s="50" t="s">
        <v>2044</v>
      </c>
      <c r="T932" s="56" t="s">
        <v>6058</v>
      </c>
      <c r="U932" s="53" t="s">
        <v>6059</v>
      </c>
    </row>
    <row r="933">
      <c r="A933" s="54" t="s">
        <v>6060</v>
      </c>
      <c r="B933" s="50" t="s">
        <v>6061</v>
      </c>
      <c r="C933" s="51" t="s">
        <v>367</v>
      </c>
      <c r="D933" s="51"/>
      <c r="E933" s="51"/>
      <c r="F933" s="51"/>
      <c r="G933" s="50" t="s">
        <v>6062</v>
      </c>
      <c r="H933" s="52">
        <v>44683.38193287037</v>
      </c>
      <c r="I933" s="50"/>
      <c r="J933" s="50"/>
      <c r="K933" s="50"/>
      <c r="L933" s="50"/>
      <c r="M933" s="50" t="s">
        <v>6063</v>
      </c>
      <c r="N933" s="50"/>
      <c r="O933" s="53" t="s">
        <v>70</v>
      </c>
      <c r="P933" s="55" t="s">
        <v>6064</v>
      </c>
      <c r="Q933" s="50">
        <v>54.0</v>
      </c>
      <c r="R933" s="50">
        <v>126.0</v>
      </c>
      <c r="S933" s="50" t="s">
        <v>6065</v>
      </c>
      <c r="T933" s="56" t="s">
        <v>6066</v>
      </c>
      <c r="U933" s="53" t="s">
        <v>370</v>
      </c>
    </row>
    <row r="934">
      <c r="A934" s="54" t="s">
        <v>6067</v>
      </c>
      <c r="B934" s="50" t="s">
        <v>6068</v>
      </c>
      <c r="C934" s="51" t="s">
        <v>367</v>
      </c>
      <c r="D934" s="51"/>
      <c r="E934" s="51"/>
      <c r="F934" s="51"/>
      <c r="G934" s="50" t="s">
        <v>6069</v>
      </c>
      <c r="H934" s="52">
        <v>44683.38158564815</v>
      </c>
      <c r="I934" s="50"/>
      <c r="J934" s="50"/>
      <c r="K934" s="50"/>
      <c r="L934" s="50"/>
      <c r="M934" s="50" t="s">
        <v>6070</v>
      </c>
      <c r="N934" s="50"/>
      <c r="O934" s="53" t="s">
        <v>70</v>
      </c>
      <c r="P934" s="55" t="s">
        <v>6071</v>
      </c>
      <c r="Q934" s="50">
        <v>10.0</v>
      </c>
      <c r="R934" s="50">
        <v>55.0</v>
      </c>
      <c r="S934" s="50"/>
      <c r="T934" s="56" t="s">
        <v>6072</v>
      </c>
      <c r="U934" s="53" t="s">
        <v>370</v>
      </c>
    </row>
    <row r="935">
      <c r="A935" s="54" t="s">
        <v>6073</v>
      </c>
      <c r="B935" s="50" t="s">
        <v>6074</v>
      </c>
      <c r="C935" s="51" t="s">
        <v>687</v>
      </c>
      <c r="D935" s="51"/>
      <c r="E935" s="51"/>
      <c r="F935" s="51"/>
      <c r="G935" s="50" t="s">
        <v>6075</v>
      </c>
      <c r="H935" s="52">
        <v>44683.38143518519</v>
      </c>
      <c r="I935" s="50"/>
      <c r="J935" s="50"/>
      <c r="K935" s="50"/>
      <c r="L935" s="50"/>
      <c r="M935" s="50" t="s">
        <v>6076</v>
      </c>
      <c r="N935" s="50"/>
      <c r="O935" s="53" t="s">
        <v>92</v>
      </c>
      <c r="P935" s="55" t="s">
        <v>6077</v>
      </c>
      <c r="Q935" s="50">
        <v>189.0</v>
      </c>
      <c r="R935" s="50">
        <v>195.0</v>
      </c>
      <c r="S935" s="50" t="s">
        <v>379</v>
      </c>
      <c r="T935" s="56" t="s">
        <v>6078</v>
      </c>
      <c r="U935" s="53" t="s">
        <v>691</v>
      </c>
    </row>
    <row r="936">
      <c r="A936" s="54" t="s">
        <v>6079</v>
      </c>
      <c r="B936" s="50" t="s">
        <v>6080</v>
      </c>
      <c r="C936" s="51" t="s">
        <v>6081</v>
      </c>
      <c r="D936" s="51"/>
      <c r="E936" s="51"/>
      <c r="F936" s="51"/>
      <c r="G936" s="50" t="s">
        <v>6082</v>
      </c>
      <c r="H936" s="52">
        <v>44683.381377314814</v>
      </c>
      <c r="I936" s="50"/>
      <c r="J936" s="50"/>
      <c r="K936" s="50"/>
      <c r="L936" s="50"/>
      <c r="M936" s="50" t="s">
        <v>6083</v>
      </c>
      <c r="N936" s="50"/>
      <c r="O936" s="53" t="s">
        <v>60</v>
      </c>
      <c r="P936" s="55" t="s">
        <v>6084</v>
      </c>
      <c r="Q936" s="50">
        <v>209.0</v>
      </c>
      <c r="R936" s="50">
        <v>997.0</v>
      </c>
      <c r="S936" s="50"/>
      <c r="T936" s="56" t="s">
        <v>6085</v>
      </c>
      <c r="U936" s="53" t="s">
        <v>6086</v>
      </c>
    </row>
    <row r="937">
      <c r="A937" s="54" t="s">
        <v>6087</v>
      </c>
      <c r="B937" s="50" t="s">
        <v>6088</v>
      </c>
      <c r="C937" s="51" t="s">
        <v>363</v>
      </c>
      <c r="D937" s="51"/>
      <c r="E937" s="51"/>
      <c r="F937" s="51"/>
      <c r="G937" s="50" t="s">
        <v>6089</v>
      </c>
      <c r="H937" s="52">
        <v>44683.38135416667</v>
      </c>
      <c r="I937" s="50"/>
      <c r="J937" s="50"/>
      <c r="K937" s="50"/>
      <c r="L937" s="50"/>
      <c r="M937" s="50" t="s">
        <v>6090</v>
      </c>
      <c r="N937" s="50"/>
      <c r="O937" s="53" t="s">
        <v>70</v>
      </c>
      <c r="P937" s="55" t="s">
        <v>6091</v>
      </c>
      <c r="Q937" s="50"/>
      <c r="R937" s="50">
        <v>1.0</v>
      </c>
      <c r="S937" s="50"/>
      <c r="T937" s="56" t="s">
        <v>6092</v>
      </c>
      <c r="U937" s="53" t="s">
        <v>332</v>
      </c>
    </row>
    <row r="938">
      <c r="A938" s="54" t="s">
        <v>6093</v>
      </c>
      <c r="B938" s="50" t="s">
        <v>6094</v>
      </c>
      <c r="C938" s="51" t="s">
        <v>367</v>
      </c>
      <c r="D938" s="51"/>
      <c r="E938" s="51"/>
      <c r="F938" s="51"/>
      <c r="G938" s="50" t="s">
        <v>6095</v>
      </c>
      <c r="H938" s="52">
        <v>44683.38130787037</v>
      </c>
      <c r="I938" s="50"/>
      <c r="J938" s="50"/>
      <c r="K938" s="50"/>
      <c r="L938" s="50"/>
      <c r="M938" s="50" t="s">
        <v>6096</v>
      </c>
      <c r="N938" s="50"/>
      <c r="O938" s="53" t="s">
        <v>70</v>
      </c>
      <c r="P938" s="55" t="s">
        <v>6097</v>
      </c>
      <c r="Q938" s="50">
        <v>179.0</v>
      </c>
      <c r="R938" s="50">
        <v>372.0</v>
      </c>
      <c r="S938" s="50" t="s">
        <v>5052</v>
      </c>
      <c r="T938" s="56" t="s">
        <v>6098</v>
      </c>
      <c r="U938" s="53" t="s">
        <v>370</v>
      </c>
    </row>
    <row r="939">
      <c r="A939" s="54" t="s">
        <v>6099</v>
      </c>
      <c r="B939" s="50" t="s">
        <v>6100</v>
      </c>
      <c r="C939" s="51" t="s">
        <v>1402</v>
      </c>
      <c r="D939" s="51"/>
      <c r="E939" s="51"/>
      <c r="F939" s="51"/>
      <c r="G939" s="50" t="s">
        <v>6101</v>
      </c>
      <c r="H939" s="52">
        <v>44683.38125</v>
      </c>
      <c r="I939" s="50"/>
      <c r="J939" s="50"/>
      <c r="K939" s="50"/>
      <c r="L939" s="50"/>
      <c r="M939" s="50" t="s">
        <v>6102</v>
      </c>
      <c r="N939" s="50"/>
      <c r="O939" s="53" t="s">
        <v>70</v>
      </c>
      <c r="P939" s="55" t="s">
        <v>6103</v>
      </c>
      <c r="Q939" s="50">
        <v>2393.0</v>
      </c>
      <c r="R939" s="50">
        <v>2555.0</v>
      </c>
      <c r="S939" s="50" t="s">
        <v>6104</v>
      </c>
      <c r="T939" s="56" t="s">
        <v>6105</v>
      </c>
      <c r="U939" s="53" t="s">
        <v>1408</v>
      </c>
    </row>
    <row r="940">
      <c r="A940" s="54" t="s">
        <v>6106</v>
      </c>
      <c r="B940" s="50" t="s">
        <v>6107</v>
      </c>
      <c r="C940" s="51" t="s">
        <v>367</v>
      </c>
      <c r="D940" s="51"/>
      <c r="E940" s="51"/>
      <c r="F940" s="51"/>
      <c r="G940" s="50" t="s">
        <v>6108</v>
      </c>
      <c r="H940" s="52">
        <v>44683.38081018519</v>
      </c>
      <c r="I940" s="50"/>
      <c r="J940" s="50"/>
      <c r="K940" s="50"/>
      <c r="L940" s="50"/>
      <c r="M940" s="50" t="s">
        <v>6109</v>
      </c>
      <c r="N940" s="50"/>
      <c r="O940" s="53" t="s">
        <v>217</v>
      </c>
      <c r="P940" s="55" t="s">
        <v>6110</v>
      </c>
      <c r="Q940" s="50">
        <v>66.0</v>
      </c>
      <c r="R940" s="50">
        <v>413.0</v>
      </c>
      <c r="S940" s="50" t="s">
        <v>1107</v>
      </c>
      <c r="T940" s="56" t="s">
        <v>6111</v>
      </c>
      <c r="U940" s="53" t="s">
        <v>370</v>
      </c>
    </row>
    <row r="941">
      <c r="A941" s="54" t="s">
        <v>6112</v>
      </c>
      <c r="B941" s="50" t="s">
        <v>6113</v>
      </c>
      <c r="C941" s="51" t="s">
        <v>6114</v>
      </c>
      <c r="D941" s="51"/>
      <c r="E941" s="51"/>
      <c r="F941" s="51"/>
      <c r="G941" s="50" t="s">
        <v>6115</v>
      </c>
      <c r="H941" s="52">
        <v>44683.380648148144</v>
      </c>
      <c r="I941" s="50"/>
      <c r="J941" s="50"/>
      <c r="K941" s="50"/>
      <c r="L941" s="50"/>
      <c r="M941" s="50" t="s">
        <v>6116</v>
      </c>
      <c r="N941" s="50"/>
      <c r="O941" s="53" t="s">
        <v>92</v>
      </c>
      <c r="P941" s="55" t="s">
        <v>6117</v>
      </c>
      <c r="Q941" s="50">
        <v>291.0</v>
      </c>
      <c r="R941" s="50">
        <v>551.0</v>
      </c>
      <c r="S941" s="50" t="s">
        <v>246</v>
      </c>
      <c r="T941" s="56" t="s">
        <v>6118</v>
      </c>
      <c r="U941" s="53" t="s">
        <v>6119</v>
      </c>
    </row>
    <row r="942">
      <c r="A942" s="54" t="s">
        <v>6120</v>
      </c>
      <c r="B942" s="50" t="s">
        <v>6121</v>
      </c>
      <c r="C942" s="51" t="s">
        <v>6122</v>
      </c>
      <c r="D942" s="51"/>
      <c r="E942" s="51"/>
      <c r="F942" s="51"/>
      <c r="G942" s="50" t="s">
        <v>6123</v>
      </c>
      <c r="H942" s="52">
        <v>44683.38059027778</v>
      </c>
      <c r="I942" s="50"/>
      <c r="J942" s="50"/>
      <c r="K942" s="50"/>
      <c r="L942" s="50"/>
      <c r="M942" s="50" t="s">
        <v>6124</v>
      </c>
      <c r="N942" s="50"/>
      <c r="O942" s="53" t="s">
        <v>60</v>
      </c>
      <c r="P942" s="55" t="s">
        <v>6125</v>
      </c>
      <c r="Q942" s="50">
        <v>26.0</v>
      </c>
      <c r="R942" s="50">
        <v>699.0</v>
      </c>
      <c r="S942" s="50" t="s">
        <v>6126</v>
      </c>
      <c r="T942" s="56" t="s">
        <v>6127</v>
      </c>
      <c r="U942" s="53" t="s">
        <v>6128</v>
      </c>
    </row>
    <row r="943">
      <c r="A943" s="54" t="s">
        <v>6129</v>
      </c>
      <c r="B943" s="50" t="s">
        <v>6130</v>
      </c>
      <c r="C943" s="51" t="s">
        <v>6131</v>
      </c>
      <c r="D943" s="51"/>
      <c r="E943" s="51"/>
      <c r="F943" s="51"/>
      <c r="G943" s="50" t="s">
        <v>6132</v>
      </c>
      <c r="H943" s="52">
        <v>44683.38049768518</v>
      </c>
      <c r="I943" s="50"/>
      <c r="J943" s="50"/>
      <c r="K943" s="50"/>
      <c r="L943" s="50"/>
      <c r="M943" s="50" t="s">
        <v>6133</v>
      </c>
      <c r="N943" s="50"/>
      <c r="O943" s="53" t="s">
        <v>92</v>
      </c>
      <c r="P943" s="55" t="s">
        <v>6134</v>
      </c>
      <c r="Q943" s="50">
        <v>1319.0</v>
      </c>
      <c r="R943" s="50">
        <v>4554.0</v>
      </c>
      <c r="S943" s="50"/>
      <c r="T943" s="56" t="s">
        <v>6135</v>
      </c>
      <c r="U943" s="53" t="s">
        <v>6136</v>
      </c>
    </row>
    <row r="944">
      <c r="A944" s="54" t="s">
        <v>6137</v>
      </c>
      <c r="B944" s="50" t="s">
        <v>6138</v>
      </c>
      <c r="C944" s="51" t="s">
        <v>367</v>
      </c>
      <c r="D944" s="51"/>
      <c r="E944" s="51"/>
      <c r="F944" s="51"/>
      <c r="G944" s="50" t="s">
        <v>6139</v>
      </c>
      <c r="H944" s="52">
        <v>44683.38041666667</v>
      </c>
      <c r="I944" s="50"/>
      <c r="J944" s="50"/>
      <c r="K944" s="50"/>
      <c r="L944" s="50"/>
      <c r="M944" s="50" t="s">
        <v>6140</v>
      </c>
      <c r="N944" s="50"/>
      <c r="O944" s="53" t="s">
        <v>92</v>
      </c>
      <c r="P944" s="55" t="s">
        <v>354</v>
      </c>
      <c r="Q944" s="50">
        <v>30.0</v>
      </c>
      <c r="R944" s="50">
        <v>73.0</v>
      </c>
      <c r="S944" s="50"/>
      <c r="T944" s="56" t="s">
        <v>6141</v>
      </c>
      <c r="U944" s="53" t="s">
        <v>370</v>
      </c>
    </row>
    <row r="945">
      <c r="A945" s="54" t="s">
        <v>6142</v>
      </c>
      <c r="B945" s="50" t="s">
        <v>6143</v>
      </c>
      <c r="C945" s="51" t="s">
        <v>1402</v>
      </c>
      <c r="D945" s="51"/>
      <c r="E945" s="51"/>
      <c r="F945" s="51"/>
      <c r="G945" s="50" t="s">
        <v>6144</v>
      </c>
      <c r="H945" s="52">
        <v>44683.38020833333</v>
      </c>
      <c r="I945" s="50"/>
      <c r="J945" s="50"/>
      <c r="K945" s="50"/>
      <c r="L945" s="50"/>
      <c r="M945" s="50" t="s">
        <v>6145</v>
      </c>
      <c r="N945" s="50"/>
      <c r="O945" s="53" t="s">
        <v>92</v>
      </c>
      <c r="P945" s="55" t="s">
        <v>6146</v>
      </c>
      <c r="Q945" s="50">
        <v>6323.0</v>
      </c>
      <c r="R945" s="50">
        <v>6213.0</v>
      </c>
      <c r="S945" s="50" t="s">
        <v>6147</v>
      </c>
      <c r="T945" s="56" t="s">
        <v>6148</v>
      </c>
      <c r="U945" s="53" t="s">
        <v>1408</v>
      </c>
    </row>
    <row r="946">
      <c r="A946" s="54" t="s">
        <v>6149</v>
      </c>
      <c r="B946" s="50" t="s">
        <v>6150</v>
      </c>
      <c r="C946" s="51" t="s">
        <v>367</v>
      </c>
      <c r="D946" s="51"/>
      <c r="E946" s="51"/>
      <c r="F946" s="51"/>
      <c r="G946" s="50" t="s">
        <v>6151</v>
      </c>
      <c r="H946" s="52">
        <v>44683.38015046297</v>
      </c>
      <c r="I946" s="50"/>
      <c r="J946" s="50"/>
      <c r="K946" s="50"/>
      <c r="L946" s="50"/>
      <c r="M946" s="50" t="s">
        <v>6152</v>
      </c>
      <c r="N946" s="50"/>
      <c r="O946" s="53" t="s">
        <v>92</v>
      </c>
      <c r="P946" s="55" t="s">
        <v>6153</v>
      </c>
      <c r="Q946" s="50">
        <v>2838.0</v>
      </c>
      <c r="R946" s="50">
        <v>3783.0</v>
      </c>
      <c r="S946" s="50" t="s">
        <v>6154</v>
      </c>
      <c r="T946" s="56" t="s">
        <v>6155</v>
      </c>
      <c r="U946" s="53" t="s">
        <v>370</v>
      </c>
    </row>
    <row r="947">
      <c r="A947" s="54" t="s">
        <v>6156</v>
      </c>
      <c r="B947" s="50" t="s">
        <v>6157</v>
      </c>
      <c r="C947" s="51" t="s">
        <v>687</v>
      </c>
      <c r="D947" s="51"/>
      <c r="E947" s="51"/>
      <c r="F947" s="51"/>
      <c r="G947" s="50" t="s">
        <v>6158</v>
      </c>
      <c r="H947" s="52">
        <v>44683.38013888889</v>
      </c>
      <c r="I947" s="50"/>
      <c r="J947" s="50"/>
      <c r="K947" s="50"/>
      <c r="L947" s="50"/>
      <c r="M947" s="50" t="s">
        <v>6159</v>
      </c>
      <c r="N947" s="50"/>
      <c r="O947" s="53" t="s">
        <v>70</v>
      </c>
      <c r="P947" s="55" t="s">
        <v>6160</v>
      </c>
      <c r="Q947" s="50">
        <v>508.0</v>
      </c>
      <c r="R947" s="50">
        <v>514.0</v>
      </c>
      <c r="S947" s="50" t="s">
        <v>6161</v>
      </c>
      <c r="T947" s="56" t="s">
        <v>6162</v>
      </c>
      <c r="U947" s="53" t="s">
        <v>691</v>
      </c>
    </row>
    <row r="948">
      <c r="A948" s="54" t="s">
        <v>6163</v>
      </c>
      <c r="B948" s="50" t="s">
        <v>6164</v>
      </c>
      <c r="C948" s="51" t="s">
        <v>687</v>
      </c>
      <c r="D948" s="51"/>
      <c r="E948" s="51"/>
      <c r="F948" s="51"/>
      <c r="G948" s="50" t="s">
        <v>6165</v>
      </c>
      <c r="H948" s="52">
        <v>44683.37997685185</v>
      </c>
      <c r="I948" s="50"/>
      <c r="J948" s="50"/>
      <c r="K948" s="50"/>
      <c r="L948" s="50"/>
      <c r="M948" s="50" t="s">
        <v>6166</v>
      </c>
      <c r="N948" s="50"/>
      <c r="O948" s="53" t="s">
        <v>217</v>
      </c>
      <c r="P948" s="55" t="s">
        <v>6167</v>
      </c>
      <c r="Q948" s="50">
        <v>681.0</v>
      </c>
      <c r="R948" s="50">
        <v>1611.0</v>
      </c>
      <c r="S948" s="50"/>
      <c r="T948" s="56" t="s">
        <v>6168</v>
      </c>
      <c r="U948" s="53" t="s">
        <v>691</v>
      </c>
    </row>
    <row r="949">
      <c r="A949" s="54" t="s">
        <v>6169</v>
      </c>
      <c r="B949" s="50" t="s">
        <v>6170</v>
      </c>
      <c r="C949" s="51" t="s">
        <v>1402</v>
      </c>
      <c r="D949" s="51"/>
      <c r="E949" s="51"/>
      <c r="F949" s="51"/>
      <c r="G949" s="50" t="s">
        <v>6165</v>
      </c>
      <c r="H949" s="52">
        <v>44683.37997685185</v>
      </c>
      <c r="I949" s="50"/>
      <c r="J949" s="50"/>
      <c r="K949" s="50"/>
      <c r="L949" s="50"/>
      <c r="M949" s="50" t="s">
        <v>6171</v>
      </c>
      <c r="N949" s="50"/>
      <c r="O949" s="53" t="s">
        <v>60</v>
      </c>
      <c r="P949" s="55" t="s">
        <v>6172</v>
      </c>
      <c r="Q949" s="50">
        <v>1924.0</v>
      </c>
      <c r="R949" s="50">
        <v>4987.0</v>
      </c>
      <c r="S949" s="50" t="s">
        <v>6173</v>
      </c>
      <c r="T949" s="56" t="s">
        <v>6174</v>
      </c>
      <c r="U949" s="53" t="s">
        <v>1408</v>
      </c>
    </row>
    <row r="950">
      <c r="A950" s="54" t="s">
        <v>6175</v>
      </c>
      <c r="B950" s="50" t="s">
        <v>4714</v>
      </c>
      <c r="C950" s="51" t="s">
        <v>6176</v>
      </c>
      <c r="D950" s="51"/>
      <c r="E950" s="51"/>
      <c r="F950" s="51"/>
      <c r="G950" s="50" t="s">
        <v>6177</v>
      </c>
      <c r="H950" s="52">
        <v>44683.37982638889</v>
      </c>
      <c r="I950" s="50"/>
      <c r="J950" s="50"/>
      <c r="K950" s="50" t="s">
        <v>6178</v>
      </c>
      <c r="L950" s="50" t="s">
        <v>6179</v>
      </c>
      <c r="M950" s="50" t="s">
        <v>4716</v>
      </c>
      <c r="N950" s="50" t="s">
        <v>6180</v>
      </c>
      <c r="O950" s="53" t="s">
        <v>217</v>
      </c>
      <c r="P950" s="55" t="s">
        <v>4717</v>
      </c>
      <c r="Q950" s="50">
        <v>1015.0</v>
      </c>
      <c r="R950" s="50">
        <v>989.0</v>
      </c>
      <c r="S950" s="50" t="s">
        <v>3291</v>
      </c>
      <c r="T950" s="56" t="s">
        <v>6181</v>
      </c>
      <c r="U950" s="53" t="s">
        <v>6182</v>
      </c>
    </row>
    <row r="951">
      <c r="A951" s="54" t="s">
        <v>6183</v>
      </c>
      <c r="B951" s="50" t="s">
        <v>6184</v>
      </c>
      <c r="C951" s="51" t="s">
        <v>6185</v>
      </c>
      <c r="D951" s="51"/>
      <c r="E951" s="51"/>
      <c r="F951" s="51"/>
      <c r="G951" s="50" t="s">
        <v>6186</v>
      </c>
      <c r="H951" s="52">
        <v>44683.3797800926</v>
      </c>
      <c r="I951" s="50"/>
      <c r="J951" s="50"/>
      <c r="K951" s="50"/>
      <c r="L951" s="50"/>
      <c r="M951" s="50" t="s">
        <v>6187</v>
      </c>
      <c r="N951" s="50"/>
      <c r="O951" s="53" t="s">
        <v>70</v>
      </c>
      <c r="P951" s="55" t="s">
        <v>6188</v>
      </c>
      <c r="Q951" s="50">
        <v>418.0</v>
      </c>
      <c r="R951" s="50">
        <v>358.0</v>
      </c>
      <c r="S951" s="50" t="s">
        <v>6189</v>
      </c>
      <c r="T951" s="56" t="s">
        <v>6190</v>
      </c>
      <c r="U951" s="53" t="s">
        <v>6191</v>
      </c>
    </row>
    <row r="952">
      <c r="A952" s="54" t="s">
        <v>6192</v>
      </c>
      <c r="B952" s="50" t="s">
        <v>2224</v>
      </c>
      <c r="C952" s="51" t="s">
        <v>6193</v>
      </c>
      <c r="D952" s="51"/>
      <c r="E952" s="51"/>
      <c r="F952" s="51"/>
      <c r="G952" s="50" t="s">
        <v>6194</v>
      </c>
      <c r="H952" s="52">
        <v>44683.3797337963</v>
      </c>
      <c r="I952" s="50"/>
      <c r="J952" s="50"/>
      <c r="K952" s="50" t="s">
        <v>2227</v>
      </c>
      <c r="L952" s="50" t="s">
        <v>2228</v>
      </c>
      <c r="M952" s="50" t="s">
        <v>2229</v>
      </c>
      <c r="N952" s="50" t="s">
        <v>6195</v>
      </c>
      <c r="O952" s="53" t="s">
        <v>92</v>
      </c>
      <c r="P952" s="55" t="s">
        <v>354</v>
      </c>
      <c r="Q952" s="50">
        <v>108.0</v>
      </c>
      <c r="R952" s="50">
        <v>82.0</v>
      </c>
      <c r="S952" s="50" t="s">
        <v>1153</v>
      </c>
      <c r="T952" s="56" t="s">
        <v>6196</v>
      </c>
      <c r="U952" s="53" t="s">
        <v>6197</v>
      </c>
    </row>
    <row r="953">
      <c r="A953" s="54" t="s">
        <v>6198</v>
      </c>
      <c r="B953" s="50" t="s">
        <v>6199</v>
      </c>
      <c r="C953" s="51" t="s">
        <v>367</v>
      </c>
      <c r="D953" s="51"/>
      <c r="E953" s="51"/>
      <c r="F953" s="51"/>
      <c r="G953" s="50" t="s">
        <v>6194</v>
      </c>
      <c r="H953" s="52">
        <v>44683.3797337963</v>
      </c>
      <c r="I953" s="50"/>
      <c r="J953" s="50"/>
      <c r="K953" s="50"/>
      <c r="L953" s="50"/>
      <c r="M953" s="50" t="s">
        <v>6200</v>
      </c>
      <c r="N953" s="50"/>
      <c r="O953" s="53" t="s">
        <v>92</v>
      </c>
      <c r="P953" s="55" t="s">
        <v>354</v>
      </c>
      <c r="Q953" s="50">
        <v>14.0</v>
      </c>
      <c r="R953" s="50">
        <v>45.0</v>
      </c>
      <c r="S953" s="50"/>
      <c r="T953" s="56" t="s">
        <v>6201</v>
      </c>
      <c r="U953" s="53" t="s">
        <v>370</v>
      </c>
    </row>
    <row r="954">
      <c r="A954" s="54" t="s">
        <v>6202</v>
      </c>
      <c r="B954" s="50" t="s">
        <v>6203</v>
      </c>
      <c r="C954" s="51" t="s">
        <v>316</v>
      </c>
      <c r="D954" s="51"/>
      <c r="E954" s="51"/>
      <c r="F954" s="51"/>
      <c r="G954" s="50" t="s">
        <v>6204</v>
      </c>
      <c r="H954" s="52">
        <v>44683.37956018519</v>
      </c>
      <c r="I954" s="50"/>
      <c r="J954" s="50"/>
      <c r="K954" s="50"/>
      <c r="L954" s="50"/>
      <c r="M954" s="50" t="s">
        <v>6205</v>
      </c>
      <c r="N954" s="50"/>
      <c r="O954" s="53" t="s">
        <v>70</v>
      </c>
      <c r="P954" s="55" t="s">
        <v>354</v>
      </c>
      <c r="Q954" s="50">
        <v>7.0</v>
      </c>
      <c r="R954" s="50">
        <v>50.0</v>
      </c>
      <c r="S954" s="50"/>
      <c r="T954" s="56" t="s">
        <v>6206</v>
      </c>
      <c r="U954" s="53" t="s">
        <v>322</v>
      </c>
    </row>
    <row r="955">
      <c r="A955" s="54" t="s">
        <v>6207</v>
      </c>
      <c r="B955" s="50" t="s">
        <v>6208</v>
      </c>
      <c r="C955" s="51" t="s">
        <v>687</v>
      </c>
      <c r="D955" s="51"/>
      <c r="E955" s="51"/>
      <c r="F955" s="51"/>
      <c r="G955" s="50" t="s">
        <v>6209</v>
      </c>
      <c r="H955" s="52">
        <v>44683.3794212963</v>
      </c>
      <c r="I955" s="50"/>
      <c r="J955" s="50"/>
      <c r="K955" s="50"/>
      <c r="L955" s="50"/>
      <c r="M955" s="50" t="s">
        <v>6210</v>
      </c>
      <c r="N955" s="50"/>
      <c r="O955" s="53" t="s">
        <v>70</v>
      </c>
      <c r="P955" s="55" t="s">
        <v>6211</v>
      </c>
      <c r="Q955" s="50">
        <v>1707.0</v>
      </c>
      <c r="R955" s="50">
        <v>3402.0</v>
      </c>
      <c r="S955" s="50" t="s">
        <v>129</v>
      </c>
      <c r="T955" s="56" t="s">
        <v>6212</v>
      </c>
      <c r="U955" s="53" t="s">
        <v>691</v>
      </c>
    </row>
    <row r="956">
      <c r="A956" s="54" t="s">
        <v>6213</v>
      </c>
      <c r="B956" s="50" t="s">
        <v>6214</v>
      </c>
      <c r="C956" s="51" t="s">
        <v>316</v>
      </c>
      <c r="D956" s="51"/>
      <c r="E956" s="51"/>
      <c r="F956" s="51"/>
      <c r="G956" s="50" t="s">
        <v>6215</v>
      </c>
      <c r="H956" s="52">
        <v>44683.37923611111</v>
      </c>
      <c r="I956" s="50"/>
      <c r="J956" s="50"/>
      <c r="K956" s="50"/>
      <c r="L956" s="50"/>
      <c r="M956" s="50" t="s">
        <v>6216</v>
      </c>
      <c r="N956" s="50"/>
      <c r="O956" s="53" t="s">
        <v>70</v>
      </c>
      <c r="P956" s="55" t="s">
        <v>6217</v>
      </c>
      <c r="Q956" s="50">
        <v>13.0</v>
      </c>
      <c r="R956" s="50">
        <v>162.0</v>
      </c>
      <c r="S956" s="50"/>
      <c r="T956" s="56" t="s">
        <v>6218</v>
      </c>
      <c r="U956" s="53" t="s">
        <v>322</v>
      </c>
    </row>
    <row r="957">
      <c r="A957" s="54" t="s">
        <v>6219</v>
      </c>
      <c r="B957" s="50" t="s">
        <v>6220</v>
      </c>
      <c r="C957" s="51" t="s">
        <v>1307</v>
      </c>
      <c r="D957" s="51"/>
      <c r="E957" s="51"/>
      <c r="F957" s="51"/>
      <c r="G957" s="50" t="s">
        <v>6221</v>
      </c>
      <c r="H957" s="52">
        <v>44683.37922453704</v>
      </c>
      <c r="I957" s="50"/>
      <c r="J957" s="50"/>
      <c r="K957" s="50"/>
      <c r="L957" s="50"/>
      <c r="M957" s="50" t="s">
        <v>6222</v>
      </c>
      <c r="N957" s="50"/>
      <c r="O957" s="53" t="s">
        <v>60</v>
      </c>
      <c r="P957" s="55" t="s">
        <v>6223</v>
      </c>
      <c r="Q957" s="50">
        <v>91.0</v>
      </c>
      <c r="R957" s="50">
        <v>99.0</v>
      </c>
      <c r="S957" s="50"/>
      <c r="T957" s="56" t="s">
        <v>6224</v>
      </c>
      <c r="U957" s="53" t="s">
        <v>1313</v>
      </c>
    </row>
    <row r="958">
      <c r="A958" s="54" t="s">
        <v>6225</v>
      </c>
      <c r="B958" s="50" t="s">
        <v>6045</v>
      </c>
      <c r="C958" s="51" t="s">
        <v>6226</v>
      </c>
      <c r="D958" s="51"/>
      <c r="E958" s="51"/>
      <c r="F958" s="51"/>
      <c r="G958" s="50" t="s">
        <v>6227</v>
      </c>
      <c r="H958" s="52">
        <v>44683.37920138889</v>
      </c>
      <c r="I958" s="50"/>
      <c r="J958" s="50"/>
      <c r="K958" s="50"/>
      <c r="L958" s="50"/>
      <c r="M958" s="50" t="s">
        <v>6050</v>
      </c>
      <c r="N958" s="50"/>
      <c r="O958" s="53" t="s">
        <v>217</v>
      </c>
      <c r="P958" s="55" t="s">
        <v>6052</v>
      </c>
      <c r="Q958" s="50">
        <v>2054.0</v>
      </c>
      <c r="R958" s="50">
        <v>2377.0</v>
      </c>
      <c r="S958" s="50" t="s">
        <v>6053</v>
      </c>
      <c r="T958" s="56" t="s">
        <v>6228</v>
      </c>
      <c r="U958" s="53" t="s">
        <v>6229</v>
      </c>
    </row>
    <row r="959">
      <c r="A959" s="54" t="s">
        <v>6230</v>
      </c>
      <c r="B959" s="50" t="s">
        <v>6231</v>
      </c>
      <c r="C959" s="51" t="s">
        <v>367</v>
      </c>
      <c r="D959" s="51"/>
      <c r="E959" s="51"/>
      <c r="F959" s="51"/>
      <c r="G959" s="50" t="s">
        <v>6232</v>
      </c>
      <c r="H959" s="52">
        <v>44683.37913194444</v>
      </c>
      <c r="I959" s="50"/>
      <c r="J959" s="50"/>
      <c r="K959" s="50"/>
      <c r="L959" s="50"/>
      <c r="M959" s="50" t="s">
        <v>6233</v>
      </c>
      <c r="N959" s="50"/>
      <c r="O959" s="53" t="s">
        <v>60</v>
      </c>
      <c r="P959" s="55" t="s">
        <v>6234</v>
      </c>
      <c r="Q959" s="50">
        <v>1131.0</v>
      </c>
      <c r="R959" s="50">
        <v>1407.0</v>
      </c>
      <c r="S959" s="50"/>
      <c r="T959" s="56" t="s">
        <v>6235</v>
      </c>
      <c r="U959" s="53" t="s">
        <v>370</v>
      </c>
    </row>
    <row r="960">
      <c r="A960" s="54" t="s">
        <v>6236</v>
      </c>
      <c r="B960" s="50" t="s">
        <v>6220</v>
      </c>
      <c r="C960" s="51" t="s">
        <v>1402</v>
      </c>
      <c r="D960" s="51"/>
      <c r="E960" s="51"/>
      <c r="F960" s="51"/>
      <c r="G960" s="50" t="s">
        <v>6237</v>
      </c>
      <c r="H960" s="52">
        <v>44683.379108796296</v>
      </c>
      <c r="I960" s="50"/>
      <c r="J960" s="50"/>
      <c r="K960" s="50"/>
      <c r="L960" s="50"/>
      <c r="M960" s="50" t="s">
        <v>6222</v>
      </c>
      <c r="N960" s="50"/>
      <c r="O960" s="53" t="s">
        <v>60</v>
      </c>
      <c r="P960" s="55" t="s">
        <v>6223</v>
      </c>
      <c r="Q960" s="50">
        <v>91.0</v>
      </c>
      <c r="R960" s="50">
        <v>99.0</v>
      </c>
      <c r="S960" s="50"/>
      <c r="T960" s="56" t="s">
        <v>6238</v>
      </c>
      <c r="U960" s="53" t="s">
        <v>1408</v>
      </c>
    </row>
    <row r="961">
      <c r="A961" s="54" t="s">
        <v>6239</v>
      </c>
      <c r="B961" s="50" t="s">
        <v>6214</v>
      </c>
      <c r="C961" s="51" t="s">
        <v>367</v>
      </c>
      <c r="D961" s="51"/>
      <c r="E961" s="51"/>
      <c r="F961" s="51"/>
      <c r="G961" s="50" t="s">
        <v>6240</v>
      </c>
      <c r="H961" s="52">
        <v>44683.379004629634</v>
      </c>
      <c r="I961" s="50"/>
      <c r="J961" s="50"/>
      <c r="K961" s="50"/>
      <c r="L961" s="50"/>
      <c r="M961" s="50" t="s">
        <v>6216</v>
      </c>
      <c r="N961" s="50"/>
      <c r="O961" s="53" t="s">
        <v>70</v>
      </c>
      <c r="P961" s="55" t="s">
        <v>6217</v>
      </c>
      <c r="Q961" s="50">
        <v>13.0</v>
      </c>
      <c r="R961" s="50">
        <v>162.0</v>
      </c>
      <c r="S961" s="50"/>
      <c r="T961" s="56" t="s">
        <v>6241</v>
      </c>
      <c r="U961" s="53" t="s">
        <v>370</v>
      </c>
    </row>
    <row r="962">
      <c r="A962" s="54" t="s">
        <v>6242</v>
      </c>
      <c r="B962" s="50" t="s">
        <v>6243</v>
      </c>
      <c r="C962" s="51" t="s">
        <v>5381</v>
      </c>
      <c r="D962" s="51"/>
      <c r="E962" s="51"/>
      <c r="F962" s="51"/>
      <c r="G962" s="50" t="s">
        <v>6244</v>
      </c>
      <c r="H962" s="52">
        <v>44683.378854166665</v>
      </c>
      <c r="I962" s="50"/>
      <c r="J962" s="50"/>
      <c r="K962" s="50"/>
      <c r="L962" s="50"/>
      <c r="M962" s="50" t="s">
        <v>6245</v>
      </c>
      <c r="N962" s="50"/>
      <c r="O962" s="53" t="s">
        <v>70</v>
      </c>
      <c r="P962" s="55" t="s">
        <v>6246</v>
      </c>
      <c r="Q962" s="50">
        <v>3201.0</v>
      </c>
      <c r="R962" s="50">
        <v>4987.0</v>
      </c>
      <c r="S962" s="50" t="s">
        <v>129</v>
      </c>
      <c r="T962" s="56" t="s">
        <v>6247</v>
      </c>
      <c r="U962" s="53" t="s">
        <v>5386</v>
      </c>
    </row>
    <row r="963">
      <c r="A963" s="54" t="s">
        <v>6248</v>
      </c>
      <c r="B963" s="50" t="s">
        <v>298</v>
      </c>
      <c r="C963" s="51" t="s">
        <v>6249</v>
      </c>
      <c r="D963" s="51"/>
      <c r="E963" s="51"/>
      <c r="F963" s="51"/>
      <c r="G963" s="50" t="s">
        <v>6250</v>
      </c>
      <c r="H963" s="52">
        <v>44683.37884259259</v>
      </c>
      <c r="I963" s="50"/>
      <c r="J963" s="50"/>
      <c r="K963" s="50" t="s">
        <v>6251</v>
      </c>
      <c r="L963" s="50" t="s">
        <v>6252</v>
      </c>
      <c r="M963" s="50" t="s">
        <v>302</v>
      </c>
      <c r="N963" s="50" t="s">
        <v>6253</v>
      </c>
      <c r="O963" s="53" t="s">
        <v>92</v>
      </c>
      <c r="P963" s="55" t="s">
        <v>303</v>
      </c>
      <c r="Q963" s="50">
        <v>4136.0</v>
      </c>
      <c r="R963" s="50">
        <v>4374.0</v>
      </c>
      <c r="S963" s="50" t="s">
        <v>304</v>
      </c>
      <c r="T963" s="56" t="s">
        <v>6254</v>
      </c>
      <c r="U963" s="53" t="s">
        <v>6255</v>
      </c>
    </row>
    <row r="964">
      <c r="A964" s="54" t="s">
        <v>6256</v>
      </c>
      <c r="B964" s="50" t="s">
        <v>5855</v>
      </c>
      <c r="C964" s="51" t="s">
        <v>335</v>
      </c>
      <c r="D964" s="51"/>
      <c r="E964" s="51"/>
      <c r="F964" s="51"/>
      <c r="G964" s="50" t="s">
        <v>6257</v>
      </c>
      <c r="H964" s="52">
        <v>44683.378807870366</v>
      </c>
      <c r="I964" s="50"/>
      <c r="J964" s="50"/>
      <c r="K964" s="50"/>
      <c r="L964" s="50"/>
      <c r="M964" s="50" t="s">
        <v>5858</v>
      </c>
      <c r="N964" s="50"/>
      <c r="O964" s="53" t="s">
        <v>70</v>
      </c>
      <c r="P964" s="55" t="s">
        <v>5859</v>
      </c>
      <c r="Q964" s="50">
        <v>2707.0</v>
      </c>
      <c r="R964" s="50">
        <v>4441.0</v>
      </c>
      <c r="S964" s="50" t="s">
        <v>5860</v>
      </c>
      <c r="T964" s="56" t="s">
        <v>6258</v>
      </c>
      <c r="U964" s="53" t="s">
        <v>339</v>
      </c>
    </row>
    <row r="965">
      <c r="A965" s="54" t="s">
        <v>6259</v>
      </c>
      <c r="B965" s="50" t="s">
        <v>6260</v>
      </c>
      <c r="C965" s="51" t="s">
        <v>367</v>
      </c>
      <c r="D965" s="51"/>
      <c r="E965" s="51"/>
      <c r="F965" s="51"/>
      <c r="G965" s="50" t="s">
        <v>6261</v>
      </c>
      <c r="H965" s="52">
        <v>44683.37873842593</v>
      </c>
      <c r="I965" s="50"/>
      <c r="J965" s="50"/>
      <c r="K965" s="50"/>
      <c r="L965" s="50"/>
      <c r="M965" s="50" t="s">
        <v>6262</v>
      </c>
      <c r="N965" s="50"/>
      <c r="O965" s="53" t="s">
        <v>92</v>
      </c>
      <c r="P965" s="55" t="s">
        <v>6263</v>
      </c>
      <c r="Q965" s="50">
        <v>2914.0</v>
      </c>
      <c r="R965" s="50">
        <v>3374.0</v>
      </c>
      <c r="S965" s="50" t="s">
        <v>6264</v>
      </c>
      <c r="T965" s="56" t="s">
        <v>6265</v>
      </c>
      <c r="U965" s="53" t="s">
        <v>370</v>
      </c>
    </row>
    <row r="966">
      <c r="A966" s="54" t="s">
        <v>6266</v>
      </c>
      <c r="B966" s="50" t="s">
        <v>6267</v>
      </c>
      <c r="C966" s="51" t="s">
        <v>367</v>
      </c>
      <c r="D966" s="51"/>
      <c r="E966" s="51"/>
      <c r="F966" s="51"/>
      <c r="G966" s="50" t="s">
        <v>6268</v>
      </c>
      <c r="H966" s="52">
        <v>44683.37868055556</v>
      </c>
      <c r="I966" s="50"/>
      <c r="J966" s="50"/>
      <c r="K966" s="50"/>
      <c r="L966" s="50"/>
      <c r="M966" s="50" t="s">
        <v>6269</v>
      </c>
      <c r="N966" s="50"/>
      <c r="O966" s="53" t="s">
        <v>70</v>
      </c>
      <c r="P966" s="55" t="s">
        <v>6270</v>
      </c>
      <c r="Q966" s="50">
        <v>106.0</v>
      </c>
      <c r="R966" s="50">
        <v>192.0</v>
      </c>
      <c r="S966" s="50" t="s">
        <v>129</v>
      </c>
      <c r="T966" s="56" t="s">
        <v>6271</v>
      </c>
      <c r="U966" s="53" t="s">
        <v>370</v>
      </c>
    </row>
    <row r="967">
      <c r="A967" s="54" t="s">
        <v>6272</v>
      </c>
      <c r="B967" s="50" t="s">
        <v>5855</v>
      </c>
      <c r="C967" s="51" t="s">
        <v>363</v>
      </c>
      <c r="D967" s="51"/>
      <c r="E967" s="51"/>
      <c r="F967" s="51"/>
      <c r="G967" s="50" t="s">
        <v>6273</v>
      </c>
      <c r="H967" s="52">
        <v>44683.37866898148</v>
      </c>
      <c r="I967" s="50"/>
      <c r="J967" s="50"/>
      <c r="K967" s="50"/>
      <c r="L967" s="50"/>
      <c r="M967" s="50" t="s">
        <v>5858</v>
      </c>
      <c r="N967" s="50"/>
      <c r="O967" s="53" t="s">
        <v>70</v>
      </c>
      <c r="P967" s="55" t="s">
        <v>5859</v>
      </c>
      <c r="Q967" s="50">
        <v>2707.0</v>
      </c>
      <c r="R967" s="50">
        <v>4441.0</v>
      </c>
      <c r="S967" s="50" t="s">
        <v>5860</v>
      </c>
      <c r="T967" s="56" t="s">
        <v>6274</v>
      </c>
      <c r="U967" s="53" t="s">
        <v>332</v>
      </c>
    </row>
    <row r="968">
      <c r="A968" s="54" t="s">
        <v>6275</v>
      </c>
      <c r="B968" s="50" t="s">
        <v>6276</v>
      </c>
      <c r="C968" s="51" t="s">
        <v>2380</v>
      </c>
      <c r="D968" s="51"/>
      <c r="E968" s="51"/>
      <c r="F968" s="51"/>
      <c r="G968" s="50" t="s">
        <v>6277</v>
      </c>
      <c r="H968" s="52">
        <v>44683.378657407404</v>
      </c>
      <c r="I968" s="50"/>
      <c r="J968" s="50"/>
      <c r="K968" s="50"/>
      <c r="L968" s="50"/>
      <c r="M968" s="50" t="s">
        <v>6278</v>
      </c>
      <c r="N968" s="50"/>
      <c r="O968" s="53" t="s">
        <v>70</v>
      </c>
      <c r="P968" s="55" t="s">
        <v>6279</v>
      </c>
      <c r="Q968" s="50">
        <v>88.0</v>
      </c>
      <c r="R968" s="50">
        <v>14.0</v>
      </c>
      <c r="S968" s="50"/>
      <c r="T968" s="56" t="s">
        <v>6280</v>
      </c>
      <c r="U968" s="53" t="s">
        <v>2385</v>
      </c>
    </row>
    <row r="969">
      <c r="A969" s="54" t="s">
        <v>6281</v>
      </c>
      <c r="B969" s="50" t="s">
        <v>5855</v>
      </c>
      <c r="C969" s="51" t="s">
        <v>367</v>
      </c>
      <c r="D969" s="51"/>
      <c r="E969" s="51"/>
      <c r="F969" s="51"/>
      <c r="G969" s="50" t="s">
        <v>6282</v>
      </c>
      <c r="H969" s="52">
        <v>44683.378530092596</v>
      </c>
      <c r="I969" s="50"/>
      <c r="J969" s="50"/>
      <c r="K969" s="50"/>
      <c r="L969" s="50"/>
      <c r="M969" s="50" t="s">
        <v>5858</v>
      </c>
      <c r="N969" s="50"/>
      <c r="O969" s="53" t="s">
        <v>70</v>
      </c>
      <c r="P969" s="55" t="s">
        <v>5859</v>
      </c>
      <c r="Q969" s="50">
        <v>2707.0</v>
      </c>
      <c r="R969" s="50">
        <v>4441.0</v>
      </c>
      <c r="S969" s="50" t="s">
        <v>5860</v>
      </c>
      <c r="T969" s="56" t="s">
        <v>6283</v>
      </c>
      <c r="U969" s="53" t="s">
        <v>370</v>
      </c>
    </row>
    <row r="970">
      <c r="A970" s="54" t="s">
        <v>6284</v>
      </c>
      <c r="B970" s="50" t="s">
        <v>6285</v>
      </c>
      <c r="C970" s="51" t="s">
        <v>6286</v>
      </c>
      <c r="D970" s="51"/>
      <c r="E970" s="51"/>
      <c r="F970" s="51"/>
      <c r="G970" s="50" t="s">
        <v>6287</v>
      </c>
      <c r="H970" s="52">
        <v>44683.37841435186</v>
      </c>
      <c r="I970" s="50"/>
      <c r="J970" s="50"/>
      <c r="K970" s="50" t="s">
        <v>6288</v>
      </c>
      <c r="L970" s="50" t="s">
        <v>6289</v>
      </c>
      <c r="M970" s="50" t="s">
        <v>6290</v>
      </c>
      <c r="N970" s="50" t="s">
        <v>6291</v>
      </c>
      <c r="O970" s="53" t="s">
        <v>70</v>
      </c>
      <c r="P970" s="55" t="s">
        <v>6292</v>
      </c>
      <c r="Q970" s="50">
        <v>125.0</v>
      </c>
      <c r="R970" s="50">
        <v>811.0</v>
      </c>
      <c r="S970" s="50" t="s">
        <v>6293</v>
      </c>
      <c r="T970" s="56" t="s">
        <v>6294</v>
      </c>
      <c r="U970" s="53" t="s">
        <v>6295</v>
      </c>
    </row>
    <row r="971">
      <c r="A971" s="54" t="s">
        <v>6296</v>
      </c>
      <c r="B971" s="50" t="s">
        <v>6297</v>
      </c>
      <c r="C971" s="51" t="s">
        <v>1307</v>
      </c>
      <c r="D971" s="51"/>
      <c r="E971" s="51"/>
      <c r="F971" s="51"/>
      <c r="G971" s="50" t="s">
        <v>6298</v>
      </c>
      <c r="H971" s="52">
        <v>44683.37840277777</v>
      </c>
      <c r="I971" s="50"/>
      <c r="J971" s="50"/>
      <c r="K971" s="50"/>
      <c r="L971" s="50"/>
      <c r="M971" s="50" t="s">
        <v>6299</v>
      </c>
      <c r="N971" s="50"/>
      <c r="O971" s="53" t="s">
        <v>70</v>
      </c>
      <c r="P971" s="55" t="s">
        <v>6300</v>
      </c>
      <c r="Q971" s="50">
        <v>1098.0</v>
      </c>
      <c r="R971" s="50">
        <v>1573.0</v>
      </c>
      <c r="S971" s="50" t="s">
        <v>6301</v>
      </c>
      <c r="T971" s="56" t="s">
        <v>6302</v>
      </c>
      <c r="U971" s="53" t="s">
        <v>1313</v>
      </c>
    </row>
    <row r="972">
      <c r="A972" s="54" t="s">
        <v>6303</v>
      </c>
      <c r="B972" s="50" t="s">
        <v>5855</v>
      </c>
      <c r="C972" s="51" t="s">
        <v>329</v>
      </c>
      <c r="D972" s="51"/>
      <c r="E972" s="51"/>
      <c r="F972" s="51"/>
      <c r="G972" s="50" t="s">
        <v>6304</v>
      </c>
      <c r="H972" s="52">
        <v>44683.3783912037</v>
      </c>
      <c r="I972" s="50"/>
      <c r="J972" s="50"/>
      <c r="K972" s="50"/>
      <c r="L972" s="50"/>
      <c r="M972" s="50" t="s">
        <v>5858</v>
      </c>
      <c r="N972" s="50"/>
      <c r="O972" s="53" t="s">
        <v>70</v>
      </c>
      <c r="P972" s="55" t="s">
        <v>5859</v>
      </c>
      <c r="Q972" s="50">
        <v>2707.0</v>
      </c>
      <c r="R972" s="50">
        <v>4441.0</v>
      </c>
      <c r="S972" s="50" t="s">
        <v>5860</v>
      </c>
      <c r="T972" s="56" t="s">
        <v>6305</v>
      </c>
      <c r="U972" s="53" t="s">
        <v>332</v>
      </c>
    </row>
    <row r="973">
      <c r="A973" s="54" t="s">
        <v>6306</v>
      </c>
      <c r="B973" s="50" t="s">
        <v>6307</v>
      </c>
      <c r="C973" s="51" t="s">
        <v>687</v>
      </c>
      <c r="D973" s="51"/>
      <c r="E973" s="51"/>
      <c r="F973" s="51"/>
      <c r="G973" s="50" t="s">
        <v>6308</v>
      </c>
      <c r="H973" s="52">
        <v>44683.37834490741</v>
      </c>
      <c r="I973" s="50"/>
      <c r="J973" s="50"/>
      <c r="K973" s="50"/>
      <c r="L973" s="50"/>
      <c r="M973" s="50" t="s">
        <v>6309</v>
      </c>
      <c r="N973" s="50"/>
      <c r="O973" s="53" t="s">
        <v>60</v>
      </c>
      <c r="P973" s="55" t="s">
        <v>6310</v>
      </c>
      <c r="Q973" s="50">
        <v>723.0</v>
      </c>
      <c r="R973" s="50">
        <v>60.0</v>
      </c>
      <c r="S973" s="50" t="s">
        <v>6311</v>
      </c>
      <c r="T973" s="56" t="s">
        <v>6312</v>
      </c>
      <c r="U973" s="53" t="s">
        <v>691</v>
      </c>
    </row>
    <row r="974">
      <c r="A974" s="54" t="s">
        <v>6313</v>
      </c>
      <c r="B974" s="50" t="s">
        <v>5855</v>
      </c>
      <c r="C974" s="51" t="s">
        <v>316</v>
      </c>
      <c r="D974" s="51"/>
      <c r="E974" s="51"/>
      <c r="F974" s="51"/>
      <c r="G974" s="50" t="s">
        <v>6314</v>
      </c>
      <c r="H974" s="52">
        <v>44683.37829861111</v>
      </c>
      <c r="I974" s="50"/>
      <c r="J974" s="50"/>
      <c r="K974" s="50"/>
      <c r="L974" s="50"/>
      <c r="M974" s="50" t="s">
        <v>5858</v>
      </c>
      <c r="N974" s="50"/>
      <c r="O974" s="53" t="s">
        <v>70</v>
      </c>
      <c r="P974" s="55" t="s">
        <v>5859</v>
      </c>
      <c r="Q974" s="50">
        <v>2707.0</v>
      </c>
      <c r="R974" s="50">
        <v>4441.0</v>
      </c>
      <c r="S974" s="50" t="s">
        <v>5860</v>
      </c>
      <c r="T974" s="56" t="s">
        <v>6315</v>
      </c>
      <c r="U974" s="53" t="s">
        <v>322</v>
      </c>
    </row>
    <row r="975">
      <c r="A975" s="54" t="s">
        <v>6316</v>
      </c>
      <c r="B975" s="50" t="s">
        <v>6317</v>
      </c>
      <c r="C975" s="51" t="s">
        <v>1402</v>
      </c>
      <c r="D975" s="51"/>
      <c r="E975" s="51"/>
      <c r="F975" s="51"/>
      <c r="G975" s="50" t="s">
        <v>6318</v>
      </c>
      <c r="H975" s="52">
        <v>44683.37819444445</v>
      </c>
      <c r="I975" s="50"/>
      <c r="J975" s="50"/>
      <c r="K975" s="50"/>
      <c r="L975" s="50"/>
      <c r="M975" s="50" t="s">
        <v>6319</v>
      </c>
      <c r="N975" s="50"/>
      <c r="O975" s="53" t="s">
        <v>60</v>
      </c>
      <c r="P975" s="55" t="s">
        <v>6320</v>
      </c>
      <c r="Q975" s="50">
        <v>1685.0</v>
      </c>
      <c r="R975" s="50">
        <v>2554.0</v>
      </c>
      <c r="S975" s="50"/>
      <c r="T975" s="56" t="s">
        <v>6321</v>
      </c>
      <c r="U975" s="53" t="s">
        <v>1408</v>
      </c>
    </row>
    <row r="976">
      <c r="A976" s="54" t="s">
        <v>6322</v>
      </c>
      <c r="B976" s="50" t="s">
        <v>6323</v>
      </c>
      <c r="C976" s="51" t="s">
        <v>367</v>
      </c>
      <c r="D976" s="51"/>
      <c r="E976" s="51"/>
      <c r="F976" s="51"/>
      <c r="G976" s="50" t="s">
        <v>6324</v>
      </c>
      <c r="H976" s="52">
        <v>44683.3780787037</v>
      </c>
      <c r="I976" s="50"/>
      <c r="J976" s="50"/>
      <c r="K976" s="50"/>
      <c r="L976" s="50"/>
      <c r="M976" s="50" t="s">
        <v>6325</v>
      </c>
      <c r="N976" s="50"/>
      <c r="O976" s="53" t="s">
        <v>70</v>
      </c>
      <c r="P976" s="55" t="s">
        <v>6326</v>
      </c>
      <c r="Q976" s="50">
        <v>20.0</v>
      </c>
      <c r="R976" s="50">
        <v>139.0</v>
      </c>
      <c r="S976" s="50" t="s">
        <v>6327</v>
      </c>
      <c r="T976" s="56" t="s">
        <v>6328</v>
      </c>
      <c r="U976" s="53" t="s">
        <v>370</v>
      </c>
    </row>
    <row r="977">
      <c r="A977" s="54" t="s">
        <v>6329</v>
      </c>
      <c r="B977" s="50" t="s">
        <v>6330</v>
      </c>
      <c r="C977" s="51" t="s">
        <v>367</v>
      </c>
      <c r="D977" s="51"/>
      <c r="E977" s="51"/>
      <c r="F977" s="51"/>
      <c r="G977" s="50" t="s">
        <v>6331</v>
      </c>
      <c r="H977" s="52">
        <v>44683.37799768518</v>
      </c>
      <c r="I977" s="50"/>
      <c r="J977" s="50"/>
      <c r="K977" s="50"/>
      <c r="L977" s="50"/>
      <c r="M977" s="50" t="s">
        <v>6332</v>
      </c>
      <c r="N977" s="50"/>
      <c r="O977" s="53" t="s">
        <v>60</v>
      </c>
      <c r="P977" s="55" t="s">
        <v>6333</v>
      </c>
      <c r="Q977" s="50">
        <v>258.0</v>
      </c>
      <c r="R977" s="50">
        <v>1500.0</v>
      </c>
      <c r="S977" s="50" t="s">
        <v>5407</v>
      </c>
      <c r="T977" s="56" t="s">
        <v>6334</v>
      </c>
      <c r="U977" s="53" t="s">
        <v>370</v>
      </c>
    </row>
    <row r="978">
      <c r="A978" s="54" t="s">
        <v>6335</v>
      </c>
      <c r="B978" s="50" t="s">
        <v>6336</v>
      </c>
      <c r="C978" s="51" t="s">
        <v>367</v>
      </c>
      <c r="D978" s="51"/>
      <c r="E978" s="51"/>
      <c r="F978" s="51"/>
      <c r="G978" s="50" t="s">
        <v>6337</v>
      </c>
      <c r="H978" s="52">
        <v>44683.377789351856</v>
      </c>
      <c r="I978" s="50"/>
      <c r="J978" s="50"/>
      <c r="K978" s="50"/>
      <c r="L978" s="50"/>
      <c r="M978" s="50" t="s">
        <v>6338</v>
      </c>
      <c r="N978" s="50"/>
      <c r="O978" s="53" t="s">
        <v>92</v>
      </c>
      <c r="P978" s="55" t="s">
        <v>6339</v>
      </c>
      <c r="Q978" s="50">
        <v>46.0</v>
      </c>
      <c r="R978" s="50">
        <v>269.0</v>
      </c>
      <c r="S978" s="50"/>
      <c r="T978" s="56" t="s">
        <v>6340</v>
      </c>
      <c r="U978" s="53" t="s">
        <v>370</v>
      </c>
    </row>
    <row r="979">
      <c r="A979" s="54" t="s">
        <v>6341</v>
      </c>
      <c r="B979" s="50" t="s">
        <v>6014</v>
      </c>
      <c r="C979" s="51" t="s">
        <v>6342</v>
      </c>
      <c r="D979" s="51"/>
      <c r="E979" s="51"/>
      <c r="F979" s="51"/>
      <c r="G979" s="50" t="s">
        <v>6343</v>
      </c>
      <c r="H979" s="52">
        <v>44683.37763888889</v>
      </c>
      <c r="I979" s="50"/>
      <c r="J979" s="50"/>
      <c r="K979" s="50"/>
      <c r="L979" s="50"/>
      <c r="M979" s="50" t="s">
        <v>6017</v>
      </c>
      <c r="N979" s="50"/>
      <c r="O979" s="53" t="s">
        <v>70</v>
      </c>
      <c r="P979" s="55" t="s">
        <v>6018</v>
      </c>
      <c r="Q979" s="50">
        <v>148.0</v>
      </c>
      <c r="R979" s="50">
        <v>492.0</v>
      </c>
      <c r="S979" s="50" t="s">
        <v>2044</v>
      </c>
      <c r="T979" s="56" t="s">
        <v>6344</v>
      </c>
      <c r="U979" s="53" t="s">
        <v>6345</v>
      </c>
    </row>
    <row r="980">
      <c r="A980" s="54" t="s">
        <v>6346</v>
      </c>
      <c r="B980" s="50" t="s">
        <v>6347</v>
      </c>
      <c r="C980" s="51" t="s">
        <v>367</v>
      </c>
      <c r="D980" s="51"/>
      <c r="E980" s="51"/>
      <c r="F980" s="51"/>
      <c r="G980" s="50" t="s">
        <v>6348</v>
      </c>
      <c r="H980" s="52">
        <v>44683.377534722225</v>
      </c>
      <c r="I980" s="50"/>
      <c r="J980" s="50"/>
      <c r="K980" s="50"/>
      <c r="L980" s="50"/>
      <c r="M980" s="50" t="s">
        <v>6349</v>
      </c>
      <c r="N980" s="50"/>
      <c r="O980" s="53" t="s">
        <v>70</v>
      </c>
      <c r="P980" s="55" t="s">
        <v>6350</v>
      </c>
      <c r="Q980" s="50">
        <v>295.0</v>
      </c>
      <c r="R980" s="50">
        <v>96.0</v>
      </c>
      <c r="S980" s="50" t="s">
        <v>6351</v>
      </c>
      <c r="T980" s="56" t="s">
        <v>6352</v>
      </c>
      <c r="U980" s="53" t="s">
        <v>370</v>
      </c>
    </row>
    <row r="981">
      <c r="A981" s="54" t="s">
        <v>6353</v>
      </c>
      <c r="B981" s="50" t="s">
        <v>6336</v>
      </c>
      <c r="C981" s="51" t="s">
        <v>363</v>
      </c>
      <c r="D981" s="51"/>
      <c r="E981" s="51"/>
      <c r="F981" s="51"/>
      <c r="G981" s="50" t="s">
        <v>6354</v>
      </c>
      <c r="H981" s="52">
        <v>44683.37752314815</v>
      </c>
      <c r="I981" s="50"/>
      <c r="J981" s="50"/>
      <c r="K981" s="50"/>
      <c r="L981" s="50"/>
      <c r="M981" s="50" t="s">
        <v>6338</v>
      </c>
      <c r="N981" s="50"/>
      <c r="O981" s="53" t="s">
        <v>92</v>
      </c>
      <c r="P981" s="55" t="s">
        <v>6339</v>
      </c>
      <c r="Q981" s="50">
        <v>46.0</v>
      </c>
      <c r="R981" s="50">
        <v>269.0</v>
      </c>
      <c r="S981" s="50"/>
      <c r="T981" s="56" t="s">
        <v>6355</v>
      </c>
      <c r="U981" s="53" t="s">
        <v>332</v>
      </c>
    </row>
    <row r="982">
      <c r="A982" s="54" t="s">
        <v>6356</v>
      </c>
      <c r="B982" s="50" t="s">
        <v>6357</v>
      </c>
      <c r="C982" s="51" t="s">
        <v>329</v>
      </c>
      <c r="D982" s="51"/>
      <c r="E982" s="51"/>
      <c r="F982" s="51"/>
      <c r="G982" s="50" t="s">
        <v>6358</v>
      </c>
      <c r="H982" s="52">
        <v>44683.377488425926</v>
      </c>
      <c r="I982" s="50"/>
      <c r="J982" s="50"/>
      <c r="K982" s="50"/>
      <c r="L982" s="50"/>
      <c r="M982" s="50" t="s">
        <v>6359</v>
      </c>
      <c r="N982" s="50"/>
      <c r="O982" s="53" t="s">
        <v>92</v>
      </c>
      <c r="P982" s="55" t="s">
        <v>6360</v>
      </c>
      <c r="Q982" s="50">
        <v>1933.0</v>
      </c>
      <c r="R982" s="50">
        <v>3161.0</v>
      </c>
      <c r="S982" s="50" t="s">
        <v>6361</v>
      </c>
      <c r="T982" s="56" t="s">
        <v>6362</v>
      </c>
      <c r="U982" s="53" t="s">
        <v>332</v>
      </c>
    </row>
    <row r="983">
      <c r="A983" s="54" t="s">
        <v>6363</v>
      </c>
      <c r="B983" s="50" t="s">
        <v>6364</v>
      </c>
      <c r="C983" s="51" t="s">
        <v>367</v>
      </c>
      <c r="D983" s="51"/>
      <c r="E983" s="51"/>
      <c r="F983" s="51"/>
      <c r="G983" s="50" t="s">
        <v>6365</v>
      </c>
      <c r="H983" s="52">
        <v>44683.377430555556</v>
      </c>
      <c r="I983" s="50"/>
      <c r="J983" s="50"/>
      <c r="K983" s="50"/>
      <c r="L983" s="50"/>
      <c r="M983" s="50" t="s">
        <v>6366</v>
      </c>
      <c r="N983" s="50"/>
      <c r="O983" s="53" t="s">
        <v>70</v>
      </c>
      <c r="P983" s="55" t="s">
        <v>6367</v>
      </c>
      <c r="Q983" s="50">
        <v>4618.0</v>
      </c>
      <c r="R983" s="50">
        <v>4854.0</v>
      </c>
      <c r="S983" s="50"/>
      <c r="T983" s="56" t="s">
        <v>6368</v>
      </c>
      <c r="U983" s="53" t="s">
        <v>370</v>
      </c>
    </row>
    <row r="984">
      <c r="A984" s="54" t="s">
        <v>6369</v>
      </c>
      <c r="B984" s="50" t="s">
        <v>6370</v>
      </c>
      <c r="C984" s="51" t="s">
        <v>5381</v>
      </c>
      <c r="D984" s="51"/>
      <c r="E984" s="51"/>
      <c r="F984" s="51"/>
      <c r="G984" s="50" t="s">
        <v>6371</v>
      </c>
      <c r="H984" s="52">
        <v>44683.377337962964</v>
      </c>
      <c r="I984" s="50"/>
      <c r="J984" s="50"/>
      <c r="K984" s="50"/>
      <c r="L984" s="50"/>
      <c r="M984" s="50" t="s">
        <v>6372</v>
      </c>
      <c r="N984" s="50"/>
      <c r="O984" s="53" t="s">
        <v>92</v>
      </c>
      <c r="P984" s="55" t="s">
        <v>6373</v>
      </c>
      <c r="Q984" s="50">
        <v>2228.0</v>
      </c>
      <c r="R984" s="50">
        <v>1476.0</v>
      </c>
      <c r="S984" s="50"/>
      <c r="T984" s="56" t="s">
        <v>6374</v>
      </c>
      <c r="U984" s="53" t="s">
        <v>5386</v>
      </c>
    </row>
    <row r="985">
      <c r="A985" s="54" t="s">
        <v>6375</v>
      </c>
      <c r="B985" s="50" t="s">
        <v>6376</v>
      </c>
      <c r="C985" s="51" t="s">
        <v>367</v>
      </c>
      <c r="D985" s="51"/>
      <c r="E985" s="51"/>
      <c r="F985" s="51"/>
      <c r="G985" s="50" t="s">
        <v>6377</v>
      </c>
      <c r="H985" s="52">
        <v>44683.377291666664</v>
      </c>
      <c r="I985" s="50"/>
      <c r="J985" s="50"/>
      <c r="K985" s="50"/>
      <c r="L985" s="50"/>
      <c r="M985" s="50" t="s">
        <v>6378</v>
      </c>
      <c r="N985" s="50"/>
      <c r="O985" s="53" t="s">
        <v>92</v>
      </c>
      <c r="P985" s="55" t="s">
        <v>6379</v>
      </c>
      <c r="Q985" s="50">
        <v>52.0</v>
      </c>
      <c r="R985" s="50">
        <v>123.0</v>
      </c>
      <c r="S985" s="50"/>
      <c r="T985" s="56" t="s">
        <v>6380</v>
      </c>
      <c r="U985" s="53" t="s">
        <v>370</v>
      </c>
    </row>
    <row r="986">
      <c r="A986" s="54" t="s">
        <v>6381</v>
      </c>
      <c r="B986" s="50" t="s">
        <v>6382</v>
      </c>
      <c r="C986" s="51" t="s">
        <v>367</v>
      </c>
      <c r="D986" s="51"/>
      <c r="E986" s="51"/>
      <c r="F986" s="51"/>
      <c r="G986" s="50" t="s">
        <v>6383</v>
      </c>
      <c r="H986" s="52">
        <v>44683.37724537037</v>
      </c>
      <c r="I986" s="50"/>
      <c r="J986" s="50"/>
      <c r="K986" s="50"/>
      <c r="L986" s="50"/>
      <c r="M986" s="50" t="s">
        <v>6384</v>
      </c>
      <c r="N986" s="50"/>
      <c r="O986" s="53" t="s">
        <v>70</v>
      </c>
      <c r="P986" s="55" t="s">
        <v>6385</v>
      </c>
      <c r="Q986" s="50">
        <v>133.0</v>
      </c>
      <c r="R986" s="50">
        <v>2216.0</v>
      </c>
      <c r="S986" s="50"/>
      <c r="T986" s="56" t="s">
        <v>6386</v>
      </c>
      <c r="U986" s="53" t="s">
        <v>370</v>
      </c>
    </row>
    <row r="987">
      <c r="A987" s="54" t="s">
        <v>6387</v>
      </c>
      <c r="B987" s="50" t="s">
        <v>6388</v>
      </c>
      <c r="C987" s="51" t="s">
        <v>367</v>
      </c>
      <c r="D987" s="51"/>
      <c r="E987" s="51"/>
      <c r="F987" s="51"/>
      <c r="G987" s="50" t="s">
        <v>6389</v>
      </c>
      <c r="H987" s="52">
        <v>44683.37721064815</v>
      </c>
      <c r="I987" s="50"/>
      <c r="J987" s="50"/>
      <c r="K987" s="50"/>
      <c r="L987" s="50"/>
      <c r="M987" s="50" t="s">
        <v>6390</v>
      </c>
      <c r="N987" s="50"/>
      <c r="O987" s="53" t="s">
        <v>92</v>
      </c>
      <c r="P987" s="55" t="s">
        <v>6391</v>
      </c>
      <c r="Q987" s="50">
        <v>1214.0</v>
      </c>
      <c r="R987" s="50">
        <v>481.0</v>
      </c>
      <c r="S987" s="50" t="s">
        <v>1064</v>
      </c>
      <c r="T987" s="56" t="s">
        <v>6392</v>
      </c>
      <c r="U987" s="53" t="s">
        <v>370</v>
      </c>
    </row>
    <row r="988">
      <c r="A988" s="54" t="s">
        <v>6393</v>
      </c>
      <c r="B988" s="50" t="s">
        <v>6394</v>
      </c>
      <c r="C988" s="51" t="s">
        <v>316</v>
      </c>
      <c r="D988" s="51"/>
      <c r="E988" s="51"/>
      <c r="F988" s="51"/>
      <c r="G988" s="50" t="s">
        <v>6395</v>
      </c>
      <c r="H988" s="52">
        <v>44683.37710648148</v>
      </c>
      <c r="I988" s="50"/>
      <c r="J988" s="50"/>
      <c r="K988" s="50"/>
      <c r="L988" s="50"/>
      <c r="M988" s="50" t="s">
        <v>6396</v>
      </c>
      <c r="N988" s="50"/>
      <c r="O988" s="53" t="s">
        <v>70</v>
      </c>
      <c r="P988" s="55" t="s">
        <v>6397</v>
      </c>
      <c r="Q988" s="50">
        <v>148.0</v>
      </c>
      <c r="R988" s="50">
        <v>445.0</v>
      </c>
      <c r="S988" s="50" t="s">
        <v>2848</v>
      </c>
      <c r="T988" s="56" t="s">
        <v>6398</v>
      </c>
      <c r="U988" s="53" t="s">
        <v>322</v>
      </c>
    </row>
    <row r="989">
      <c r="A989" s="54" t="s">
        <v>6399</v>
      </c>
      <c r="B989" s="50" t="s">
        <v>6400</v>
      </c>
      <c r="C989" s="51" t="s">
        <v>367</v>
      </c>
      <c r="D989" s="51"/>
      <c r="E989" s="51"/>
      <c r="F989" s="51"/>
      <c r="G989" s="50" t="s">
        <v>6401</v>
      </c>
      <c r="H989" s="52">
        <v>44683.37703703703</v>
      </c>
      <c r="I989" s="50"/>
      <c r="J989" s="50"/>
      <c r="K989" s="50"/>
      <c r="L989" s="50"/>
      <c r="M989" s="50" t="s">
        <v>6402</v>
      </c>
      <c r="N989" s="50"/>
      <c r="O989" s="53" t="s">
        <v>217</v>
      </c>
      <c r="P989" s="55" t="s">
        <v>6403</v>
      </c>
      <c r="Q989" s="50">
        <v>76.0</v>
      </c>
      <c r="R989" s="50">
        <v>153.0</v>
      </c>
      <c r="S989" s="50" t="s">
        <v>6404</v>
      </c>
      <c r="T989" s="56" t="s">
        <v>6405</v>
      </c>
      <c r="U989" s="53" t="s">
        <v>370</v>
      </c>
    </row>
    <row r="990">
      <c r="A990" s="54" t="s">
        <v>6406</v>
      </c>
      <c r="B990" s="50" t="s">
        <v>6407</v>
      </c>
      <c r="C990" s="51" t="s">
        <v>367</v>
      </c>
      <c r="D990" s="51"/>
      <c r="E990" s="51"/>
      <c r="F990" s="51"/>
      <c r="G990" s="50" t="s">
        <v>6408</v>
      </c>
      <c r="H990" s="52">
        <v>44683.37684027778</v>
      </c>
      <c r="I990" s="50"/>
      <c r="J990" s="50"/>
      <c r="K990" s="50"/>
      <c r="L990" s="50"/>
      <c r="M990" s="50" t="s">
        <v>6409</v>
      </c>
      <c r="N990" s="50"/>
      <c r="O990" s="53" t="s">
        <v>70</v>
      </c>
      <c r="P990" s="55" t="s">
        <v>6410</v>
      </c>
      <c r="Q990" s="50">
        <v>443.0</v>
      </c>
      <c r="R990" s="50">
        <v>649.0</v>
      </c>
      <c r="S990" s="50" t="s">
        <v>6411</v>
      </c>
      <c r="T990" s="56" t="s">
        <v>6412</v>
      </c>
      <c r="U990" s="53" t="s">
        <v>370</v>
      </c>
    </row>
    <row r="991">
      <c r="A991" s="54" t="s">
        <v>6413</v>
      </c>
      <c r="B991" s="50" t="s">
        <v>6414</v>
      </c>
      <c r="C991" s="51" t="s">
        <v>367</v>
      </c>
      <c r="D991" s="51"/>
      <c r="E991" s="51"/>
      <c r="F991" s="51"/>
      <c r="G991" s="50" t="s">
        <v>6415</v>
      </c>
      <c r="H991" s="52">
        <v>44683.37677083333</v>
      </c>
      <c r="I991" s="50"/>
      <c r="J991" s="50"/>
      <c r="K991" s="50"/>
      <c r="L991" s="50"/>
      <c r="M991" s="50" t="s">
        <v>6416</v>
      </c>
      <c r="N991" s="50"/>
      <c r="O991" s="53" t="s">
        <v>92</v>
      </c>
      <c r="P991" s="55" t="s">
        <v>6417</v>
      </c>
      <c r="Q991" s="50">
        <v>1532.0</v>
      </c>
      <c r="R991" s="50">
        <v>1646.0</v>
      </c>
      <c r="S991" s="50"/>
      <c r="T991" s="56" t="s">
        <v>6418</v>
      </c>
      <c r="U991" s="53" t="s">
        <v>370</v>
      </c>
    </row>
    <row r="992">
      <c r="A992" s="54" t="s">
        <v>6419</v>
      </c>
      <c r="B992" s="50" t="s">
        <v>6420</v>
      </c>
      <c r="C992" s="51" t="s">
        <v>316</v>
      </c>
      <c r="D992" s="51"/>
      <c r="E992" s="51"/>
      <c r="F992" s="51"/>
      <c r="G992" s="50" t="s">
        <v>6421</v>
      </c>
      <c r="H992" s="52">
        <v>44683.37675925926</v>
      </c>
      <c r="I992" s="50"/>
      <c r="J992" s="50"/>
      <c r="K992" s="50"/>
      <c r="L992" s="50"/>
      <c r="M992" s="50" t="s">
        <v>6422</v>
      </c>
      <c r="N992" s="50"/>
      <c r="O992" s="53" t="s">
        <v>92</v>
      </c>
      <c r="P992" s="55" t="s">
        <v>6423</v>
      </c>
      <c r="Q992" s="50">
        <v>27.0</v>
      </c>
      <c r="R992" s="50">
        <v>80.0</v>
      </c>
      <c r="S992" s="50" t="s">
        <v>6424</v>
      </c>
      <c r="T992" s="56" t="s">
        <v>6425</v>
      </c>
      <c r="U992" s="53" t="s">
        <v>322</v>
      </c>
    </row>
    <row r="993">
      <c r="A993" s="54" t="s">
        <v>6426</v>
      </c>
      <c r="B993" s="50" t="s">
        <v>6427</v>
      </c>
      <c r="C993" s="51" t="s">
        <v>367</v>
      </c>
      <c r="D993" s="51"/>
      <c r="E993" s="51"/>
      <c r="F993" s="51"/>
      <c r="G993" s="50" t="s">
        <v>6428</v>
      </c>
      <c r="H993" s="52">
        <v>44683.37666666666</v>
      </c>
      <c r="I993" s="50"/>
      <c r="J993" s="50"/>
      <c r="K993" s="50"/>
      <c r="L993" s="50"/>
      <c r="M993" s="50" t="s">
        <v>6429</v>
      </c>
      <c r="N993" s="50"/>
      <c r="O993" s="53" t="s">
        <v>92</v>
      </c>
      <c r="P993" s="55" t="s">
        <v>6430</v>
      </c>
      <c r="Q993" s="50">
        <v>127.0</v>
      </c>
      <c r="R993" s="50">
        <v>188.0</v>
      </c>
      <c r="S993" s="50"/>
      <c r="T993" s="56" t="s">
        <v>6431</v>
      </c>
      <c r="U993" s="53" t="s">
        <v>370</v>
      </c>
    </row>
    <row r="994">
      <c r="A994" s="54" t="s">
        <v>6432</v>
      </c>
      <c r="B994" s="50" t="s">
        <v>6433</v>
      </c>
      <c r="C994" s="51" t="s">
        <v>2380</v>
      </c>
      <c r="D994" s="51"/>
      <c r="E994" s="51"/>
      <c r="F994" s="51"/>
      <c r="G994" s="50" t="s">
        <v>6434</v>
      </c>
      <c r="H994" s="52">
        <v>44683.37657407408</v>
      </c>
      <c r="I994" s="50"/>
      <c r="J994" s="50"/>
      <c r="K994" s="50"/>
      <c r="L994" s="50"/>
      <c r="M994" s="50" t="s">
        <v>6435</v>
      </c>
      <c r="N994" s="50"/>
      <c r="O994" s="53" t="s">
        <v>70</v>
      </c>
      <c r="P994" s="55" t="s">
        <v>6436</v>
      </c>
      <c r="Q994" s="50">
        <v>868.0</v>
      </c>
      <c r="R994" s="50">
        <v>1422.0</v>
      </c>
      <c r="S994" s="50" t="s">
        <v>6437</v>
      </c>
      <c r="T994" s="56" t="s">
        <v>6438</v>
      </c>
      <c r="U994" s="53" t="s">
        <v>2385</v>
      </c>
    </row>
    <row r="995">
      <c r="A995" s="54" t="s">
        <v>6439</v>
      </c>
      <c r="B995" s="50" t="s">
        <v>6440</v>
      </c>
      <c r="C995" s="51" t="s">
        <v>4762</v>
      </c>
      <c r="D995" s="51"/>
      <c r="E995" s="51"/>
      <c r="F995" s="51"/>
      <c r="G995" s="50" t="s">
        <v>6441</v>
      </c>
      <c r="H995" s="52">
        <v>44683.37650462963</v>
      </c>
      <c r="I995" s="50"/>
      <c r="J995" s="50"/>
      <c r="K995" s="50"/>
      <c r="L995" s="50"/>
      <c r="M995" s="50" t="s">
        <v>6442</v>
      </c>
      <c r="N995" s="50"/>
      <c r="O995" s="53" t="s">
        <v>70</v>
      </c>
      <c r="P995" s="55" t="s">
        <v>6443</v>
      </c>
      <c r="Q995" s="50">
        <v>3950.0</v>
      </c>
      <c r="R995" s="50">
        <v>4143.0</v>
      </c>
      <c r="S995" s="50"/>
      <c r="T995" s="56" t="s">
        <v>6444</v>
      </c>
      <c r="U995" s="53" t="s">
        <v>4768</v>
      </c>
    </row>
    <row r="996">
      <c r="A996" s="54" t="s">
        <v>6445</v>
      </c>
      <c r="B996" s="50" t="s">
        <v>6446</v>
      </c>
      <c r="C996" s="51" t="s">
        <v>687</v>
      </c>
      <c r="D996" s="51"/>
      <c r="E996" s="51"/>
      <c r="F996" s="51"/>
      <c r="G996" s="50" t="s">
        <v>6447</v>
      </c>
      <c r="H996" s="52">
        <v>44683.376435185186</v>
      </c>
      <c r="I996" s="50"/>
      <c r="J996" s="50"/>
      <c r="K996" s="50"/>
      <c r="L996" s="50"/>
      <c r="M996" s="50" t="s">
        <v>6448</v>
      </c>
      <c r="N996" s="50"/>
      <c r="O996" s="53" t="s">
        <v>92</v>
      </c>
      <c r="P996" s="55" t="s">
        <v>6449</v>
      </c>
      <c r="Q996" s="50">
        <v>15773.0</v>
      </c>
      <c r="R996" s="50">
        <v>1204.0</v>
      </c>
      <c r="S996" s="50"/>
      <c r="T996" s="56" t="s">
        <v>6450</v>
      </c>
      <c r="U996" s="53" t="s">
        <v>691</v>
      </c>
    </row>
    <row r="997">
      <c r="A997" s="54" t="s">
        <v>6451</v>
      </c>
      <c r="B997" s="50" t="s">
        <v>6452</v>
      </c>
      <c r="C997" s="51" t="s">
        <v>367</v>
      </c>
      <c r="D997" s="51"/>
      <c r="E997" s="51"/>
      <c r="F997" s="51"/>
      <c r="G997" s="50" t="s">
        <v>6453</v>
      </c>
      <c r="H997" s="52">
        <v>44683.37642361112</v>
      </c>
      <c r="I997" s="50"/>
      <c r="J997" s="50"/>
      <c r="K997" s="50"/>
      <c r="L997" s="50"/>
      <c r="M997" s="50" t="s">
        <v>6454</v>
      </c>
      <c r="N997" s="50"/>
      <c r="O997" s="53" t="s">
        <v>60</v>
      </c>
      <c r="P997" s="55" t="s">
        <v>6455</v>
      </c>
      <c r="Q997" s="50">
        <v>6467.0</v>
      </c>
      <c r="R997" s="50">
        <v>6490.0</v>
      </c>
      <c r="S997" s="50" t="s">
        <v>5009</v>
      </c>
      <c r="T997" s="56" t="s">
        <v>6456</v>
      </c>
      <c r="U997" s="53" t="s">
        <v>370</v>
      </c>
    </row>
    <row r="998">
      <c r="A998" s="54" t="s">
        <v>6457</v>
      </c>
      <c r="B998" s="50" t="s">
        <v>6458</v>
      </c>
      <c r="C998" s="51" t="s">
        <v>367</v>
      </c>
      <c r="D998" s="51"/>
      <c r="E998" s="51"/>
      <c r="F998" s="51"/>
      <c r="G998" s="50" t="s">
        <v>6459</v>
      </c>
      <c r="H998" s="52">
        <v>44683.37636574074</v>
      </c>
      <c r="I998" s="50"/>
      <c r="J998" s="50"/>
      <c r="K998" s="50"/>
      <c r="L998" s="50"/>
      <c r="M998" s="50" t="s">
        <v>6460</v>
      </c>
      <c r="N998" s="50"/>
      <c r="O998" s="53" t="s">
        <v>70</v>
      </c>
      <c r="P998" s="55" t="s">
        <v>6461</v>
      </c>
      <c r="Q998" s="50">
        <v>348.0</v>
      </c>
      <c r="R998" s="50">
        <v>732.0</v>
      </c>
      <c r="S998" s="50"/>
      <c r="T998" s="56" t="s">
        <v>6462</v>
      </c>
      <c r="U998" s="53" t="s">
        <v>370</v>
      </c>
    </row>
    <row r="999">
      <c r="A999" s="54" t="s">
        <v>6463</v>
      </c>
      <c r="B999" s="50" t="s">
        <v>6464</v>
      </c>
      <c r="C999" s="51" t="s">
        <v>2380</v>
      </c>
      <c r="D999" s="51"/>
      <c r="E999" s="51"/>
      <c r="F999" s="51"/>
      <c r="G999" s="50" t="s">
        <v>6465</v>
      </c>
      <c r="H999" s="52">
        <v>44683.376284722224</v>
      </c>
      <c r="I999" s="50"/>
      <c r="J999" s="50"/>
      <c r="K999" s="50"/>
      <c r="L999" s="50"/>
      <c r="M999" s="50" t="s">
        <v>6466</v>
      </c>
      <c r="N999" s="50"/>
      <c r="O999" s="53" t="s">
        <v>92</v>
      </c>
      <c r="P999" s="55" t="s">
        <v>6467</v>
      </c>
      <c r="Q999" s="50">
        <v>32527.0</v>
      </c>
      <c r="R999" s="50">
        <v>1352.0</v>
      </c>
      <c r="S999" s="50"/>
      <c r="T999" s="56" t="s">
        <v>6468</v>
      </c>
      <c r="U999" s="53" t="s">
        <v>2385</v>
      </c>
    </row>
    <row r="1000">
      <c r="A1000" s="54" t="s">
        <v>6469</v>
      </c>
      <c r="B1000" s="50" t="s">
        <v>6440</v>
      </c>
      <c r="C1000" s="51" t="s">
        <v>6470</v>
      </c>
      <c r="D1000" s="51"/>
      <c r="E1000" s="51"/>
      <c r="F1000" s="51"/>
      <c r="G1000" s="50" t="s">
        <v>6471</v>
      </c>
      <c r="H1000" s="52">
        <v>44683.376168981486</v>
      </c>
      <c r="I1000" s="50"/>
      <c r="J1000" s="50"/>
      <c r="K1000" s="50"/>
      <c r="L1000" s="50"/>
      <c r="M1000" s="50" t="s">
        <v>6442</v>
      </c>
      <c r="N1000" s="50"/>
      <c r="O1000" s="53" t="s">
        <v>70</v>
      </c>
      <c r="P1000" s="55" t="s">
        <v>6443</v>
      </c>
      <c r="Q1000" s="50">
        <v>3950.0</v>
      </c>
      <c r="R1000" s="50">
        <v>4143.0</v>
      </c>
      <c r="S1000" s="50"/>
      <c r="T1000" s="56" t="s">
        <v>6472</v>
      </c>
      <c r="U1000" s="53" t="s">
        <v>6473</v>
      </c>
    </row>
    <row r="1001">
      <c r="A1001" s="54" t="s">
        <v>6474</v>
      </c>
      <c r="B1001" s="50" t="s">
        <v>6475</v>
      </c>
      <c r="C1001" s="51" t="s">
        <v>316</v>
      </c>
      <c r="D1001" s="51"/>
      <c r="E1001" s="51"/>
      <c r="F1001" s="51"/>
      <c r="G1001" s="50" t="s">
        <v>6476</v>
      </c>
      <c r="H1001" s="52">
        <v>44683.376076388886</v>
      </c>
      <c r="I1001" s="50"/>
      <c r="J1001" s="50"/>
      <c r="K1001" s="50"/>
      <c r="L1001" s="50"/>
      <c r="M1001" s="50" t="s">
        <v>6477</v>
      </c>
      <c r="N1001" s="50"/>
      <c r="O1001" s="53" t="s">
        <v>92</v>
      </c>
      <c r="P1001" s="55" t="s">
        <v>6478</v>
      </c>
      <c r="Q1001" s="50">
        <v>611.0</v>
      </c>
      <c r="R1001" s="50">
        <v>550.0</v>
      </c>
      <c r="S1001" s="50" t="s">
        <v>6479</v>
      </c>
      <c r="T1001" s="56" t="s">
        <v>6480</v>
      </c>
      <c r="U1001" s="53" t="s">
        <v>322</v>
      </c>
    </row>
    <row r="1002">
      <c r="A1002" s="54" t="s">
        <v>6481</v>
      </c>
      <c r="B1002" s="50" t="s">
        <v>6420</v>
      </c>
      <c r="C1002" s="51" t="s">
        <v>367</v>
      </c>
      <c r="D1002" s="51"/>
      <c r="E1002" s="51"/>
      <c r="F1002" s="51"/>
      <c r="G1002" s="50" t="s">
        <v>6482</v>
      </c>
      <c r="H1002" s="52">
        <v>44683.37596064815</v>
      </c>
      <c r="I1002" s="50"/>
      <c r="J1002" s="50"/>
      <c r="K1002" s="50"/>
      <c r="L1002" s="50"/>
      <c r="M1002" s="50" t="s">
        <v>6422</v>
      </c>
      <c r="N1002" s="50"/>
      <c r="O1002" s="53" t="s">
        <v>92</v>
      </c>
      <c r="P1002" s="55" t="s">
        <v>6423</v>
      </c>
      <c r="Q1002" s="50">
        <v>27.0</v>
      </c>
      <c r="R1002" s="50">
        <v>80.0</v>
      </c>
      <c r="S1002" s="50" t="s">
        <v>6424</v>
      </c>
      <c r="T1002" s="56" t="s">
        <v>6483</v>
      </c>
      <c r="U1002" s="53" t="s">
        <v>370</v>
      </c>
    </row>
    <row r="1003">
      <c r="A1003" s="54" t="s">
        <v>6484</v>
      </c>
      <c r="B1003" s="50" t="s">
        <v>6440</v>
      </c>
      <c r="C1003" s="51" t="s">
        <v>329</v>
      </c>
      <c r="D1003" s="51"/>
      <c r="E1003" s="51"/>
      <c r="F1003" s="51"/>
      <c r="G1003" s="50" t="s">
        <v>6485</v>
      </c>
      <c r="H1003" s="52">
        <v>44683.37594907408</v>
      </c>
      <c r="I1003" s="50"/>
      <c r="J1003" s="50"/>
      <c r="K1003" s="50"/>
      <c r="L1003" s="50"/>
      <c r="M1003" s="50" t="s">
        <v>6442</v>
      </c>
      <c r="N1003" s="50"/>
      <c r="O1003" s="53" t="s">
        <v>70</v>
      </c>
      <c r="P1003" s="55" t="s">
        <v>6443</v>
      </c>
      <c r="Q1003" s="50">
        <v>3950.0</v>
      </c>
      <c r="R1003" s="50">
        <v>4143.0</v>
      </c>
      <c r="S1003" s="50"/>
      <c r="T1003" s="56" t="s">
        <v>6486</v>
      </c>
      <c r="U1003" s="53" t="s">
        <v>332</v>
      </c>
    </row>
    <row r="1004">
      <c r="A1004" s="54" t="s">
        <v>6487</v>
      </c>
      <c r="B1004" s="50" t="s">
        <v>2118</v>
      </c>
      <c r="C1004" s="51" t="s">
        <v>6488</v>
      </c>
      <c r="D1004" s="51"/>
      <c r="E1004" s="51"/>
      <c r="F1004" s="51"/>
      <c r="G1004" s="50" t="s">
        <v>6489</v>
      </c>
      <c r="H1004" s="52">
        <v>44683.37587962963</v>
      </c>
      <c r="I1004" s="50"/>
      <c r="J1004" s="50"/>
      <c r="K1004" s="50"/>
      <c r="L1004" s="50"/>
      <c r="M1004" s="50" t="s">
        <v>2123</v>
      </c>
      <c r="N1004" s="50"/>
      <c r="O1004" s="53" t="s">
        <v>70</v>
      </c>
      <c r="P1004" s="55" t="s">
        <v>2125</v>
      </c>
      <c r="Q1004" s="50">
        <v>1818.0</v>
      </c>
      <c r="R1004" s="50">
        <v>1497.0</v>
      </c>
      <c r="S1004" s="50" t="s">
        <v>2126</v>
      </c>
      <c r="T1004" s="56" t="s">
        <v>6490</v>
      </c>
      <c r="U1004" s="53" t="s">
        <v>6491</v>
      </c>
    </row>
    <row r="1005">
      <c r="A1005" s="54" t="s">
        <v>6492</v>
      </c>
      <c r="B1005" s="50" t="s">
        <v>6440</v>
      </c>
      <c r="C1005" s="51" t="s">
        <v>335</v>
      </c>
      <c r="D1005" s="51"/>
      <c r="E1005" s="51"/>
      <c r="F1005" s="51"/>
      <c r="G1005" s="50" t="s">
        <v>6489</v>
      </c>
      <c r="H1005" s="52">
        <v>44683.37587962963</v>
      </c>
      <c r="I1005" s="50"/>
      <c r="J1005" s="50"/>
      <c r="K1005" s="50"/>
      <c r="L1005" s="50"/>
      <c r="M1005" s="50" t="s">
        <v>6442</v>
      </c>
      <c r="N1005" s="50"/>
      <c r="O1005" s="53" t="s">
        <v>70</v>
      </c>
      <c r="P1005" s="55" t="s">
        <v>6443</v>
      </c>
      <c r="Q1005" s="50">
        <v>3950.0</v>
      </c>
      <c r="R1005" s="50">
        <v>4143.0</v>
      </c>
      <c r="S1005" s="50"/>
      <c r="T1005" s="56" t="s">
        <v>6493</v>
      </c>
      <c r="U1005" s="53" t="s">
        <v>339</v>
      </c>
    </row>
    <row r="1006">
      <c r="A1006" s="54" t="s">
        <v>6494</v>
      </c>
      <c r="B1006" s="50" t="s">
        <v>6495</v>
      </c>
      <c r="C1006" s="51" t="s">
        <v>687</v>
      </c>
      <c r="D1006" s="51"/>
      <c r="E1006" s="51"/>
      <c r="F1006" s="51"/>
      <c r="G1006" s="50" t="s">
        <v>6496</v>
      </c>
      <c r="H1006" s="52">
        <v>44683.375868055555</v>
      </c>
      <c r="I1006" s="50"/>
      <c r="J1006" s="50"/>
      <c r="K1006" s="50"/>
      <c r="L1006" s="50"/>
      <c r="M1006" s="50" t="s">
        <v>6497</v>
      </c>
      <c r="N1006" s="50"/>
      <c r="O1006" s="53" t="s">
        <v>92</v>
      </c>
      <c r="P1006" s="55" t="s">
        <v>354</v>
      </c>
      <c r="Q1006" s="50">
        <v>285.0</v>
      </c>
      <c r="R1006" s="50">
        <v>134.0</v>
      </c>
      <c r="S1006" s="50"/>
      <c r="T1006" s="56" t="s">
        <v>6498</v>
      </c>
      <c r="U1006" s="53" t="s">
        <v>691</v>
      </c>
    </row>
    <row r="1007">
      <c r="A1007" s="54" t="s">
        <v>6499</v>
      </c>
      <c r="B1007" s="50" t="s">
        <v>6500</v>
      </c>
      <c r="C1007" s="51" t="s">
        <v>6501</v>
      </c>
      <c r="D1007" s="51"/>
      <c r="E1007" s="51"/>
      <c r="F1007" s="51"/>
      <c r="G1007" s="50" t="s">
        <v>6496</v>
      </c>
      <c r="H1007" s="52">
        <v>44683.375868055555</v>
      </c>
      <c r="I1007" s="50"/>
      <c r="J1007" s="50"/>
      <c r="K1007" s="50"/>
      <c r="L1007" s="50"/>
      <c r="M1007" s="50" t="s">
        <v>6502</v>
      </c>
      <c r="N1007" s="50"/>
      <c r="O1007" s="53" t="s">
        <v>60</v>
      </c>
      <c r="P1007" s="55" t="s">
        <v>6503</v>
      </c>
      <c r="Q1007" s="50">
        <v>674.0</v>
      </c>
      <c r="R1007" s="50">
        <v>196.0</v>
      </c>
      <c r="S1007" s="50" t="s">
        <v>246</v>
      </c>
      <c r="T1007" s="56" t="s">
        <v>6504</v>
      </c>
      <c r="U1007" s="53" t="s">
        <v>6505</v>
      </c>
    </row>
    <row r="1008">
      <c r="A1008" s="54" t="s">
        <v>6506</v>
      </c>
      <c r="B1008" s="50" t="s">
        <v>6440</v>
      </c>
      <c r="C1008" s="51" t="s">
        <v>363</v>
      </c>
      <c r="D1008" s="51"/>
      <c r="E1008" s="51"/>
      <c r="F1008" s="51"/>
      <c r="G1008" s="50" t="s">
        <v>6507</v>
      </c>
      <c r="H1008" s="52">
        <v>44683.37577546296</v>
      </c>
      <c r="I1008" s="50"/>
      <c r="J1008" s="50"/>
      <c r="K1008" s="50"/>
      <c r="L1008" s="50"/>
      <c r="M1008" s="50" t="s">
        <v>6442</v>
      </c>
      <c r="N1008" s="50"/>
      <c r="O1008" s="53" t="s">
        <v>70</v>
      </c>
      <c r="P1008" s="55" t="s">
        <v>6443</v>
      </c>
      <c r="Q1008" s="50">
        <v>3950.0</v>
      </c>
      <c r="R1008" s="50">
        <v>4143.0</v>
      </c>
      <c r="S1008" s="50"/>
      <c r="T1008" s="56" t="s">
        <v>6508</v>
      </c>
      <c r="U1008" s="53" t="s">
        <v>332</v>
      </c>
    </row>
    <row r="1009">
      <c r="A1009" s="54" t="s">
        <v>6509</v>
      </c>
      <c r="B1009" s="50" t="s">
        <v>6510</v>
      </c>
      <c r="C1009" s="51" t="s">
        <v>367</v>
      </c>
      <c r="D1009" s="51"/>
      <c r="E1009" s="51"/>
      <c r="F1009" s="51"/>
      <c r="G1009" s="50" t="s">
        <v>6511</v>
      </c>
      <c r="H1009" s="52">
        <v>44683.37564814815</v>
      </c>
      <c r="I1009" s="50"/>
      <c r="J1009" s="50"/>
      <c r="K1009" s="50"/>
      <c r="L1009" s="50"/>
      <c r="M1009" s="50" t="s">
        <v>6512</v>
      </c>
      <c r="N1009" s="50"/>
      <c r="O1009" s="53" t="s">
        <v>70</v>
      </c>
      <c r="P1009" s="55" t="s">
        <v>6513</v>
      </c>
      <c r="Q1009" s="50">
        <v>1019.0</v>
      </c>
      <c r="R1009" s="50">
        <v>2742.0</v>
      </c>
      <c r="S1009" s="50" t="s">
        <v>246</v>
      </c>
      <c r="T1009" s="56" t="s">
        <v>6514</v>
      </c>
      <c r="U1009" s="53" t="s">
        <v>370</v>
      </c>
    </row>
    <row r="1010">
      <c r="A1010" s="54" t="s">
        <v>6515</v>
      </c>
      <c r="B1010" s="50" t="s">
        <v>6516</v>
      </c>
      <c r="C1010" s="51" t="s">
        <v>6517</v>
      </c>
      <c r="D1010" s="51"/>
      <c r="E1010" s="51"/>
      <c r="F1010" s="51"/>
      <c r="G1010" s="50" t="s">
        <v>6518</v>
      </c>
      <c r="H1010" s="52">
        <v>44683.37556712963</v>
      </c>
      <c r="I1010" s="50"/>
      <c r="J1010" s="50"/>
      <c r="K1010" s="50"/>
      <c r="L1010" s="50"/>
      <c r="M1010" s="50" t="s">
        <v>6519</v>
      </c>
      <c r="N1010" s="50"/>
      <c r="O1010" s="53" t="s">
        <v>60</v>
      </c>
      <c r="P1010" s="55" t="s">
        <v>6520</v>
      </c>
      <c r="Q1010" s="50">
        <v>6513.0</v>
      </c>
      <c r="R1010" s="50">
        <v>692.0</v>
      </c>
      <c r="S1010" s="50" t="s">
        <v>6521</v>
      </c>
      <c r="T1010" s="56" t="s">
        <v>6522</v>
      </c>
      <c r="U1010" s="53" t="s">
        <v>6523</v>
      </c>
    </row>
    <row r="1011">
      <c r="A1011" s="54" t="s">
        <v>6524</v>
      </c>
      <c r="B1011" s="50" t="s">
        <v>6525</v>
      </c>
      <c r="C1011" s="51" t="s">
        <v>687</v>
      </c>
      <c r="D1011" s="51"/>
      <c r="E1011" s="51"/>
      <c r="F1011" s="51"/>
      <c r="G1011" s="50" t="s">
        <v>6526</v>
      </c>
      <c r="H1011" s="52">
        <v>44683.37550925926</v>
      </c>
      <c r="I1011" s="50"/>
      <c r="J1011" s="50"/>
      <c r="K1011" s="50"/>
      <c r="L1011" s="50"/>
      <c r="M1011" s="50" t="s">
        <v>6527</v>
      </c>
      <c r="N1011" s="50"/>
      <c r="O1011" s="53" t="s">
        <v>217</v>
      </c>
      <c r="P1011" s="55" t="s">
        <v>6528</v>
      </c>
      <c r="Q1011" s="50">
        <v>1043.0</v>
      </c>
      <c r="R1011" s="50">
        <v>1213.0</v>
      </c>
      <c r="S1011" s="50"/>
      <c r="T1011" s="56" t="s">
        <v>6529</v>
      </c>
      <c r="U1011" s="53" t="s">
        <v>691</v>
      </c>
    </row>
    <row r="1012">
      <c r="A1012" s="54" t="s">
        <v>6530</v>
      </c>
      <c r="B1012" s="50" t="s">
        <v>6531</v>
      </c>
      <c r="C1012" s="51" t="s">
        <v>6532</v>
      </c>
      <c r="D1012" s="51"/>
      <c r="E1012" s="51"/>
      <c r="F1012" s="51"/>
      <c r="G1012" s="50" t="s">
        <v>6533</v>
      </c>
      <c r="H1012" s="52">
        <v>44683.375451388885</v>
      </c>
      <c r="I1012" s="50"/>
      <c r="J1012" s="50"/>
      <c r="K1012" s="50"/>
      <c r="L1012" s="50"/>
      <c r="M1012" s="50" t="s">
        <v>6534</v>
      </c>
      <c r="N1012" s="50"/>
      <c r="O1012" s="53" t="s">
        <v>6535</v>
      </c>
      <c r="P1012" s="55" t="s">
        <v>6536</v>
      </c>
      <c r="Q1012" s="50">
        <v>59.0</v>
      </c>
      <c r="R1012" s="50"/>
      <c r="S1012" s="50" t="s">
        <v>6537</v>
      </c>
      <c r="T1012" s="56" t="s">
        <v>6538</v>
      </c>
      <c r="U1012" s="53" t="s">
        <v>6539</v>
      </c>
    </row>
    <row r="1013">
      <c r="A1013" s="54" t="s">
        <v>6540</v>
      </c>
      <c r="B1013" s="50" t="s">
        <v>6541</v>
      </c>
      <c r="C1013" s="51" t="s">
        <v>6542</v>
      </c>
      <c r="D1013" s="51"/>
      <c r="E1013" s="51"/>
      <c r="F1013" s="51"/>
      <c r="G1013" s="50" t="s">
        <v>6543</v>
      </c>
      <c r="H1013" s="52">
        <v>44683.37539351852</v>
      </c>
      <c r="I1013" s="50"/>
      <c r="J1013" s="50"/>
      <c r="K1013" s="50"/>
      <c r="L1013" s="50"/>
      <c r="M1013" s="50" t="s">
        <v>6544</v>
      </c>
      <c r="N1013" s="50"/>
      <c r="O1013" s="53" t="s">
        <v>217</v>
      </c>
      <c r="P1013" s="55" t="s">
        <v>6545</v>
      </c>
      <c r="Q1013" s="50">
        <v>9475.0</v>
      </c>
      <c r="R1013" s="50">
        <v>9934.0</v>
      </c>
      <c r="S1013" s="50" t="s">
        <v>6546</v>
      </c>
      <c r="T1013" s="56" t="s">
        <v>6547</v>
      </c>
      <c r="U1013" s="53" t="s">
        <v>6548</v>
      </c>
    </row>
    <row r="1014">
      <c r="A1014" s="54" t="s">
        <v>6549</v>
      </c>
      <c r="B1014" s="50" t="s">
        <v>6550</v>
      </c>
      <c r="C1014" s="51" t="s">
        <v>3498</v>
      </c>
      <c r="D1014" s="51"/>
      <c r="E1014" s="51"/>
      <c r="F1014" s="51"/>
      <c r="G1014" s="50" t="s">
        <v>6551</v>
      </c>
      <c r="H1014" s="52">
        <v>44683.37527777778</v>
      </c>
      <c r="I1014" s="50"/>
      <c r="J1014" s="50"/>
      <c r="K1014" s="50"/>
      <c r="L1014" s="50"/>
      <c r="M1014" s="50" t="s">
        <v>6552</v>
      </c>
      <c r="N1014" s="50"/>
      <c r="O1014" s="53" t="s">
        <v>70</v>
      </c>
      <c r="P1014" s="55" t="s">
        <v>6553</v>
      </c>
      <c r="Q1014" s="50">
        <v>206.0</v>
      </c>
      <c r="R1014" s="50">
        <v>1067.0</v>
      </c>
      <c r="S1014" s="50"/>
      <c r="T1014" s="56" t="s">
        <v>6554</v>
      </c>
      <c r="U1014" s="53" t="s">
        <v>3503</v>
      </c>
    </row>
    <row r="1015">
      <c r="A1015" s="54" t="s">
        <v>6555</v>
      </c>
      <c r="B1015" s="50" t="s">
        <v>6556</v>
      </c>
      <c r="C1015" s="51" t="s">
        <v>367</v>
      </c>
      <c r="D1015" s="51"/>
      <c r="E1015" s="51"/>
      <c r="F1015" s="51"/>
      <c r="G1015" s="50" t="s">
        <v>6551</v>
      </c>
      <c r="H1015" s="52">
        <v>44683.37527777778</v>
      </c>
      <c r="I1015" s="50"/>
      <c r="J1015" s="50"/>
      <c r="K1015" s="50"/>
      <c r="L1015" s="50"/>
      <c r="M1015" s="50" t="s">
        <v>6557</v>
      </c>
      <c r="N1015" s="50"/>
      <c r="O1015" s="53" t="s">
        <v>92</v>
      </c>
      <c r="P1015" s="55" t="s">
        <v>6558</v>
      </c>
      <c r="Q1015" s="50">
        <v>3722.0</v>
      </c>
      <c r="R1015" s="50">
        <v>1174.0</v>
      </c>
      <c r="S1015" s="50" t="s">
        <v>6559</v>
      </c>
      <c r="T1015" s="56" t="s">
        <v>6560</v>
      </c>
      <c r="U1015" s="53" t="s">
        <v>370</v>
      </c>
    </row>
    <row r="1016">
      <c r="A1016" s="54" t="s">
        <v>6561</v>
      </c>
      <c r="B1016" s="50" t="s">
        <v>6562</v>
      </c>
      <c r="C1016" s="51" t="s">
        <v>726</v>
      </c>
      <c r="D1016" s="51"/>
      <c r="E1016" s="51"/>
      <c r="F1016" s="51"/>
      <c r="G1016" s="50" t="s">
        <v>6563</v>
      </c>
      <c r="H1016" s="52">
        <v>44683.375173611115</v>
      </c>
      <c r="I1016" s="50"/>
      <c r="J1016" s="50"/>
      <c r="K1016" s="50"/>
      <c r="L1016" s="50"/>
      <c r="M1016" s="50" t="s">
        <v>6564</v>
      </c>
      <c r="N1016" s="50"/>
      <c r="O1016" s="53" t="s">
        <v>92</v>
      </c>
      <c r="P1016" s="55" t="s">
        <v>6565</v>
      </c>
      <c r="Q1016" s="50">
        <v>303.0</v>
      </c>
      <c r="R1016" s="50">
        <v>621.0</v>
      </c>
      <c r="S1016" s="50" t="s">
        <v>6566</v>
      </c>
      <c r="T1016" s="56" t="s">
        <v>6567</v>
      </c>
      <c r="U1016" s="53" t="s">
        <v>731</v>
      </c>
    </row>
    <row r="1017">
      <c r="A1017" s="54" t="s">
        <v>6568</v>
      </c>
      <c r="B1017" s="50" t="s">
        <v>6569</v>
      </c>
      <c r="C1017" s="51" t="s">
        <v>367</v>
      </c>
      <c r="D1017" s="51"/>
      <c r="E1017" s="51"/>
      <c r="F1017" s="51"/>
      <c r="G1017" s="50" t="s">
        <v>6563</v>
      </c>
      <c r="H1017" s="52">
        <v>44683.375173611115</v>
      </c>
      <c r="I1017" s="50"/>
      <c r="J1017" s="50"/>
      <c r="K1017" s="50"/>
      <c r="L1017" s="50"/>
      <c r="M1017" s="50" t="s">
        <v>6570</v>
      </c>
      <c r="N1017" s="50"/>
      <c r="O1017" s="53" t="s">
        <v>70</v>
      </c>
      <c r="P1017" s="55" t="s">
        <v>6571</v>
      </c>
      <c r="Q1017" s="50">
        <v>379.0</v>
      </c>
      <c r="R1017" s="50">
        <v>747.0</v>
      </c>
      <c r="S1017" s="50"/>
      <c r="T1017" s="56" t="s">
        <v>6572</v>
      </c>
      <c r="U1017" s="53" t="s">
        <v>370</v>
      </c>
    </row>
    <row r="1018">
      <c r="A1018" s="54" t="s">
        <v>6573</v>
      </c>
      <c r="B1018" s="50" t="s">
        <v>6574</v>
      </c>
      <c r="C1018" s="51" t="s">
        <v>367</v>
      </c>
      <c r="D1018" s="51"/>
      <c r="E1018" s="51"/>
      <c r="F1018" s="51"/>
      <c r="G1018" s="50" t="s">
        <v>6575</v>
      </c>
      <c r="H1018" s="52">
        <v>44683.37509259259</v>
      </c>
      <c r="I1018" s="50"/>
      <c r="J1018" s="50"/>
      <c r="K1018" s="50"/>
      <c r="L1018" s="50"/>
      <c r="M1018" s="50" t="s">
        <v>6576</v>
      </c>
      <c r="N1018" s="50"/>
      <c r="O1018" s="53" t="s">
        <v>92</v>
      </c>
      <c r="P1018" s="55" t="s">
        <v>6577</v>
      </c>
      <c r="Q1018" s="50">
        <v>1709.0</v>
      </c>
      <c r="R1018" s="50">
        <v>657.0</v>
      </c>
      <c r="S1018" s="50" t="s">
        <v>6578</v>
      </c>
      <c r="T1018" s="56" t="s">
        <v>6579</v>
      </c>
      <c r="U1018" s="53" t="s">
        <v>370</v>
      </c>
    </row>
    <row r="1019">
      <c r="A1019" s="54" t="s">
        <v>6580</v>
      </c>
      <c r="B1019" s="50" t="s">
        <v>6581</v>
      </c>
      <c r="C1019" s="51" t="s">
        <v>367</v>
      </c>
      <c r="D1019" s="51"/>
      <c r="E1019" s="51"/>
      <c r="F1019" s="51"/>
      <c r="G1019" s="50" t="s">
        <v>6582</v>
      </c>
      <c r="H1019" s="52">
        <v>44683.37488425926</v>
      </c>
      <c r="I1019" s="50"/>
      <c r="J1019" s="50"/>
      <c r="K1019" s="50"/>
      <c r="L1019" s="50"/>
      <c r="M1019" s="50" t="s">
        <v>6583</v>
      </c>
      <c r="N1019" s="50"/>
      <c r="O1019" s="53" t="s">
        <v>70</v>
      </c>
      <c r="P1019" s="55" t="s">
        <v>6584</v>
      </c>
      <c r="Q1019" s="50">
        <v>242.0</v>
      </c>
      <c r="R1019" s="50">
        <v>918.0</v>
      </c>
      <c r="S1019" s="50" t="s">
        <v>2801</v>
      </c>
      <c r="T1019" s="56" t="s">
        <v>6585</v>
      </c>
      <c r="U1019" s="53" t="s">
        <v>370</v>
      </c>
    </row>
    <row r="1020">
      <c r="A1020" s="54" t="s">
        <v>6586</v>
      </c>
      <c r="B1020" s="50" t="s">
        <v>6587</v>
      </c>
      <c r="C1020" s="51" t="s">
        <v>6588</v>
      </c>
      <c r="D1020" s="51"/>
      <c r="E1020" s="51"/>
      <c r="F1020" s="51"/>
      <c r="G1020" s="50" t="s">
        <v>6589</v>
      </c>
      <c r="H1020" s="52">
        <v>44683.37484953704</v>
      </c>
      <c r="I1020" s="50"/>
      <c r="J1020" s="50"/>
      <c r="K1020" s="50"/>
      <c r="L1020" s="50"/>
      <c r="M1020" s="50" t="s">
        <v>6590</v>
      </c>
      <c r="N1020" s="50"/>
      <c r="O1020" s="53" t="s">
        <v>70</v>
      </c>
      <c r="P1020" s="55" t="s">
        <v>6591</v>
      </c>
      <c r="Q1020" s="50">
        <v>616.0</v>
      </c>
      <c r="R1020" s="50">
        <v>608.0</v>
      </c>
      <c r="S1020" s="50" t="s">
        <v>6592</v>
      </c>
      <c r="T1020" s="56" t="s">
        <v>6593</v>
      </c>
      <c r="U1020" s="53" t="s">
        <v>6594</v>
      </c>
    </row>
    <row r="1021">
      <c r="A1021" s="54" t="s">
        <v>6595</v>
      </c>
      <c r="B1021" s="50" t="s">
        <v>6596</v>
      </c>
      <c r="C1021" s="51" t="s">
        <v>367</v>
      </c>
      <c r="D1021" s="51"/>
      <c r="E1021" s="51"/>
      <c r="F1021" s="51"/>
      <c r="G1021" s="50" t="s">
        <v>6597</v>
      </c>
      <c r="H1021" s="52">
        <v>44683.37461805556</v>
      </c>
      <c r="I1021" s="50"/>
      <c r="J1021" s="50"/>
      <c r="K1021" s="50"/>
      <c r="L1021" s="50"/>
      <c r="M1021" s="50" t="s">
        <v>6598</v>
      </c>
      <c r="N1021" s="50"/>
      <c r="O1021" s="53" t="s">
        <v>92</v>
      </c>
      <c r="P1021" s="55" t="s">
        <v>6599</v>
      </c>
      <c r="Q1021" s="50">
        <v>2131.0</v>
      </c>
      <c r="R1021" s="50">
        <v>2473.0</v>
      </c>
      <c r="S1021" s="50" t="s">
        <v>6600</v>
      </c>
      <c r="T1021" s="56" t="s">
        <v>6601</v>
      </c>
      <c r="U1021" s="53" t="s">
        <v>370</v>
      </c>
    </row>
    <row r="1022">
      <c r="A1022" s="54" t="s">
        <v>6602</v>
      </c>
      <c r="B1022" s="50" t="s">
        <v>6603</v>
      </c>
      <c r="C1022" s="51" t="s">
        <v>6604</v>
      </c>
      <c r="D1022" s="51"/>
      <c r="E1022" s="51"/>
      <c r="F1022" s="51"/>
      <c r="G1022" s="50" t="s">
        <v>6605</v>
      </c>
      <c r="H1022" s="52">
        <v>44683.37458333334</v>
      </c>
      <c r="I1022" s="50"/>
      <c r="J1022" s="50"/>
      <c r="K1022" s="50"/>
      <c r="L1022" s="50"/>
      <c r="M1022" s="50" t="s">
        <v>6606</v>
      </c>
      <c r="N1022" s="50"/>
      <c r="O1022" s="53" t="s">
        <v>92</v>
      </c>
      <c r="P1022" s="55" t="s">
        <v>6607</v>
      </c>
      <c r="Q1022" s="50">
        <v>908.0</v>
      </c>
      <c r="R1022" s="50">
        <v>420.0</v>
      </c>
      <c r="S1022" s="50" t="s">
        <v>129</v>
      </c>
      <c r="T1022" s="56" t="s">
        <v>6608</v>
      </c>
      <c r="U1022" s="53" t="s">
        <v>6609</v>
      </c>
    </row>
    <row r="1023">
      <c r="A1023" s="54" t="s">
        <v>6610</v>
      </c>
      <c r="B1023" s="50" t="s">
        <v>5934</v>
      </c>
      <c r="C1023" s="51" t="s">
        <v>6611</v>
      </c>
      <c r="D1023" s="51"/>
      <c r="E1023" s="51"/>
      <c r="F1023" s="51"/>
      <c r="G1023" s="50" t="s">
        <v>6612</v>
      </c>
      <c r="H1023" s="52">
        <v>44683.37452546296</v>
      </c>
      <c r="I1023" s="50"/>
      <c r="J1023" s="50"/>
      <c r="K1023" s="50" t="s">
        <v>1947</v>
      </c>
      <c r="L1023" s="50" t="s">
        <v>1948</v>
      </c>
      <c r="M1023" s="50" t="s">
        <v>5939</v>
      </c>
      <c r="N1023" s="50" t="s">
        <v>1950</v>
      </c>
      <c r="O1023" s="53" t="s">
        <v>70</v>
      </c>
      <c r="P1023" s="55" t="s">
        <v>5941</v>
      </c>
      <c r="Q1023" s="50">
        <v>170.0</v>
      </c>
      <c r="R1023" s="50">
        <v>716.0</v>
      </c>
      <c r="S1023" s="50"/>
      <c r="T1023" s="56" t="s">
        <v>6613</v>
      </c>
      <c r="U1023" s="53" t="s">
        <v>6614</v>
      </c>
    </row>
    <row r="1024">
      <c r="A1024" s="54" t="s">
        <v>6615</v>
      </c>
      <c r="B1024" s="50" t="s">
        <v>5934</v>
      </c>
      <c r="C1024" s="51" t="s">
        <v>6616</v>
      </c>
      <c r="D1024" s="51"/>
      <c r="E1024" s="51"/>
      <c r="F1024" s="51"/>
      <c r="G1024" s="50" t="s">
        <v>6617</v>
      </c>
      <c r="H1024" s="52">
        <v>44683.37423611111</v>
      </c>
      <c r="I1024" s="50"/>
      <c r="J1024" s="50"/>
      <c r="K1024" s="50"/>
      <c r="L1024" s="50"/>
      <c r="M1024" s="50" t="s">
        <v>5939</v>
      </c>
      <c r="N1024" s="50"/>
      <c r="O1024" s="53" t="s">
        <v>70</v>
      </c>
      <c r="P1024" s="55" t="s">
        <v>5941</v>
      </c>
      <c r="Q1024" s="50">
        <v>170.0</v>
      </c>
      <c r="R1024" s="50">
        <v>716.0</v>
      </c>
      <c r="S1024" s="50"/>
      <c r="T1024" s="56" t="s">
        <v>6618</v>
      </c>
      <c r="U1024" s="53" t="s">
        <v>6619</v>
      </c>
    </row>
    <row r="1025">
      <c r="A1025" s="54" t="s">
        <v>6620</v>
      </c>
      <c r="B1025" s="50" t="s">
        <v>6621</v>
      </c>
      <c r="C1025" s="51" t="s">
        <v>367</v>
      </c>
      <c r="D1025" s="51"/>
      <c r="E1025" s="51"/>
      <c r="F1025" s="51"/>
      <c r="G1025" s="50" t="s">
        <v>6622</v>
      </c>
      <c r="H1025" s="52">
        <v>44683.374178240745</v>
      </c>
      <c r="I1025" s="50"/>
      <c r="J1025" s="50"/>
      <c r="K1025" s="50"/>
      <c r="L1025" s="50"/>
      <c r="M1025" s="50" t="s">
        <v>6623</v>
      </c>
      <c r="N1025" s="50"/>
      <c r="O1025" s="53" t="s">
        <v>92</v>
      </c>
      <c r="P1025" s="55" t="s">
        <v>6624</v>
      </c>
      <c r="Q1025" s="50">
        <v>2274.0</v>
      </c>
      <c r="R1025" s="50">
        <v>2293.0</v>
      </c>
      <c r="S1025" s="50" t="s">
        <v>6625</v>
      </c>
      <c r="T1025" s="56" t="s">
        <v>6626</v>
      </c>
      <c r="U1025" s="53" t="s">
        <v>370</v>
      </c>
    </row>
    <row r="1026">
      <c r="A1026" s="54" t="s">
        <v>6627</v>
      </c>
      <c r="B1026" s="50" t="s">
        <v>6628</v>
      </c>
      <c r="C1026" s="51" t="s">
        <v>6629</v>
      </c>
      <c r="D1026" s="51"/>
      <c r="E1026" s="51"/>
      <c r="F1026" s="51"/>
      <c r="G1026" s="50" t="s">
        <v>6630</v>
      </c>
      <c r="H1026" s="52">
        <v>44683.374074074076</v>
      </c>
      <c r="I1026" s="50"/>
      <c r="J1026" s="50"/>
      <c r="K1026" s="50"/>
      <c r="L1026" s="50"/>
      <c r="M1026" s="50" t="s">
        <v>6631</v>
      </c>
      <c r="N1026" s="50"/>
      <c r="O1026" s="53" t="s">
        <v>60</v>
      </c>
      <c r="P1026" s="55" t="s">
        <v>6632</v>
      </c>
      <c r="Q1026" s="50">
        <v>1318.0</v>
      </c>
      <c r="R1026" s="50">
        <v>1807.0</v>
      </c>
      <c r="S1026" s="50"/>
      <c r="T1026" s="56" t="s">
        <v>6633</v>
      </c>
      <c r="U1026" s="53" t="s">
        <v>6634</v>
      </c>
    </row>
    <row r="1027">
      <c r="A1027" s="54" t="s">
        <v>6635</v>
      </c>
      <c r="B1027" s="50" t="s">
        <v>6636</v>
      </c>
      <c r="C1027" s="51" t="s">
        <v>6637</v>
      </c>
      <c r="D1027" s="51"/>
      <c r="E1027" s="51"/>
      <c r="F1027" s="51"/>
      <c r="G1027" s="50" t="s">
        <v>6638</v>
      </c>
      <c r="H1027" s="52">
        <v>44683.37395833334</v>
      </c>
      <c r="I1027" s="50"/>
      <c r="J1027" s="50"/>
      <c r="K1027" s="50" t="s">
        <v>6639</v>
      </c>
      <c r="L1027" s="50" t="s">
        <v>6640</v>
      </c>
      <c r="M1027" s="50" t="s">
        <v>6641</v>
      </c>
      <c r="N1027" s="50" t="s">
        <v>6642</v>
      </c>
      <c r="O1027" s="53" t="s">
        <v>217</v>
      </c>
      <c r="P1027" s="55" t="s">
        <v>6643</v>
      </c>
      <c r="Q1027" s="50">
        <v>567.0</v>
      </c>
      <c r="R1027" s="50">
        <v>974.0</v>
      </c>
      <c r="S1027" s="50" t="s">
        <v>6644</v>
      </c>
      <c r="T1027" s="56" t="s">
        <v>6645</v>
      </c>
      <c r="U1027" s="53" t="s">
        <v>6646</v>
      </c>
    </row>
    <row r="1028">
      <c r="A1028" s="54" t="s">
        <v>6647</v>
      </c>
      <c r="B1028" s="50" t="s">
        <v>6648</v>
      </c>
      <c r="C1028" s="51" t="s">
        <v>6649</v>
      </c>
      <c r="D1028" s="51"/>
      <c r="E1028" s="51"/>
      <c r="F1028" s="51"/>
      <c r="G1028" s="50" t="s">
        <v>6650</v>
      </c>
      <c r="H1028" s="52">
        <v>44683.37366898148</v>
      </c>
      <c r="I1028" s="50"/>
      <c r="J1028" s="50"/>
      <c r="K1028" s="50"/>
      <c r="L1028" s="50"/>
      <c r="M1028" s="50" t="s">
        <v>6651</v>
      </c>
      <c r="N1028" s="50"/>
      <c r="O1028" s="53" t="s">
        <v>92</v>
      </c>
      <c r="P1028" s="55" t="s">
        <v>6652</v>
      </c>
      <c r="Q1028" s="50">
        <v>2585.0</v>
      </c>
      <c r="R1028" s="50">
        <v>2680.0</v>
      </c>
      <c r="S1028" s="50" t="s">
        <v>219</v>
      </c>
      <c r="T1028" s="56" t="s">
        <v>6653</v>
      </c>
      <c r="U1028" s="53" t="s">
        <v>6654</v>
      </c>
    </row>
    <row r="1029">
      <c r="A1029" s="54" t="s">
        <v>6655</v>
      </c>
      <c r="B1029" s="50" t="s">
        <v>6656</v>
      </c>
      <c r="C1029" s="51" t="s">
        <v>1402</v>
      </c>
      <c r="D1029" s="51"/>
      <c r="E1029" s="51"/>
      <c r="F1029" s="51"/>
      <c r="G1029" s="50" t="s">
        <v>6657</v>
      </c>
      <c r="H1029" s="52">
        <v>44683.37357638888</v>
      </c>
      <c r="I1029" s="50"/>
      <c r="J1029" s="50"/>
      <c r="K1029" s="50"/>
      <c r="L1029" s="50"/>
      <c r="M1029" s="50" t="s">
        <v>6658</v>
      </c>
      <c r="N1029" s="50"/>
      <c r="O1029" s="53" t="s">
        <v>60</v>
      </c>
      <c r="P1029" s="55" t="s">
        <v>6659</v>
      </c>
      <c r="Q1029" s="50">
        <v>1057.0</v>
      </c>
      <c r="R1029" s="50">
        <v>2033.0</v>
      </c>
      <c r="S1029" s="50"/>
      <c r="T1029" s="56" t="s">
        <v>6660</v>
      </c>
      <c r="U1029" s="53" t="s">
        <v>1408</v>
      </c>
    </row>
    <row r="1030">
      <c r="A1030" s="54" t="s">
        <v>6661</v>
      </c>
      <c r="B1030" s="50" t="s">
        <v>6662</v>
      </c>
      <c r="C1030" s="51" t="s">
        <v>6663</v>
      </c>
      <c r="D1030" s="51"/>
      <c r="E1030" s="51"/>
      <c r="F1030" s="51"/>
      <c r="G1030" s="50" t="s">
        <v>6664</v>
      </c>
      <c r="H1030" s="52">
        <v>44683.37351851852</v>
      </c>
      <c r="I1030" s="50"/>
      <c r="J1030" s="50"/>
      <c r="K1030" s="50"/>
      <c r="L1030" s="50"/>
      <c r="M1030" s="50" t="s">
        <v>6665</v>
      </c>
      <c r="N1030" s="50"/>
      <c r="O1030" s="53" t="s">
        <v>92</v>
      </c>
      <c r="P1030" s="55" t="s">
        <v>6666</v>
      </c>
      <c r="Q1030" s="50">
        <v>141.0</v>
      </c>
      <c r="R1030" s="50">
        <v>144.0</v>
      </c>
      <c r="S1030" s="50"/>
      <c r="T1030" s="56" t="s">
        <v>6667</v>
      </c>
      <c r="U1030" s="53" t="s">
        <v>6668</v>
      </c>
    </row>
    <row r="1031">
      <c r="A1031" s="54" t="s">
        <v>6669</v>
      </c>
      <c r="B1031" s="50" t="s">
        <v>6670</v>
      </c>
      <c r="C1031" s="51" t="s">
        <v>2033</v>
      </c>
      <c r="D1031" s="51"/>
      <c r="E1031" s="51"/>
      <c r="F1031" s="51"/>
      <c r="G1031" s="50" t="s">
        <v>6671</v>
      </c>
      <c r="H1031" s="52">
        <v>44683.3734837963</v>
      </c>
      <c r="I1031" s="50"/>
      <c r="J1031" s="50"/>
      <c r="K1031" s="50"/>
      <c r="L1031" s="50"/>
      <c r="M1031" s="50" t="s">
        <v>6672</v>
      </c>
      <c r="N1031" s="50"/>
      <c r="O1031" s="53" t="s">
        <v>70</v>
      </c>
      <c r="P1031" s="55" t="s">
        <v>6673</v>
      </c>
      <c r="Q1031" s="50">
        <v>458.0</v>
      </c>
      <c r="R1031" s="50">
        <v>1401.0</v>
      </c>
      <c r="S1031" s="50" t="s">
        <v>3626</v>
      </c>
      <c r="T1031" s="56" t="s">
        <v>6674</v>
      </c>
      <c r="U1031" s="53" t="s">
        <v>2037</v>
      </c>
    </row>
    <row r="1032">
      <c r="A1032" s="54" t="s">
        <v>6675</v>
      </c>
      <c r="B1032" s="50" t="s">
        <v>6676</v>
      </c>
      <c r="C1032" s="51" t="s">
        <v>367</v>
      </c>
      <c r="D1032" s="51"/>
      <c r="E1032" s="51"/>
      <c r="F1032" s="51"/>
      <c r="G1032" s="50" t="s">
        <v>6677</v>
      </c>
      <c r="H1032" s="52">
        <v>44683.3734375</v>
      </c>
      <c r="I1032" s="50"/>
      <c r="J1032" s="50"/>
      <c r="K1032" s="50"/>
      <c r="L1032" s="50"/>
      <c r="M1032" s="50" t="s">
        <v>6678</v>
      </c>
      <c r="N1032" s="50"/>
      <c r="O1032" s="53" t="s">
        <v>217</v>
      </c>
      <c r="P1032" s="55" t="s">
        <v>6679</v>
      </c>
      <c r="Q1032" s="50">
        <v>1561.0</v>
      </c>
      <c r="R1032" s="50">
        <v>1490.0</v>
      </c>
      <c r="S1032" s="50" t="s">
        <v>6680</v>
      </c>
      <c r="T1032" s="56" t="s">
        <v>6681</v>
      </c>
      <c r="U1032" s="53" t="s">
        <v>370</v>
      </c>
    </row>
    <row r="1033">
      <c r="A1033" s="54" t="s">
        <v>6682</v>
      </c>
      <c r="B1033" s="50" t="s">
        <v>6683</v>
      </c>
      <c r="C1033" s="51" t="s">
        <v>367</v>
      </c>
      <c r="D1033" s="51"/>
      <c r="E1033" s="51"/>
      <c r="F1033" s="51"/>
      <c r="G1033" s="50" t="s">
        <v>6684</v>
      </c>
      <c r="H1033" s="52">
        <v>44683.37341435185</v>
      </c>
      <c r="I1033" s="50"/>
      <c r="J1033" s="50"/>
      <c r="K1033" s="50"/>
      <c r="L1033" s="50"/>
      <c r="M1033" s="50" t="s">
        <v>6685</v>
      </c>
      <c r="N1033" s="50"/>
      <c r="O1033" s="53" t="s">
        <v>217</v>
      </c>
      <c r="P1033" s="55" t="s">
        <v>6686</v>
      </c>
      <c r="Q1033" s="50">
        <v>924.0</v>
      </c>
      <c r="R1033" s="50">
        <v>1357.0</v>
      </c>
      <c r="S1033" s="50" t="s">
        <v>6687</v>
      </c>
      <c r="T1033" s="56" t="s">
        <v>6688</v>
      </c>
      <c r="U1033" s="53" t="s">
        <v>370</v>
      </c>
    </row>
    <row r="1034">
      <c r="A1034" s="54" t="s">
        <v>6689</v>
      </c>
      <c r="B1034" s="50" t="s">
        <v>6690</v>
      </c>
      <c r="C1034" s="51" t="s">
        <v>1402</v>
      </c>
      <c r="D1034" s="51"/>
      <c r="E1034" s="51"/>
      <c r="F1034" s="51"/>
      <c r="G1034" s="50" t="s">
        <v>6691</v>
      </c>
      <c r="H1034" s="52">
        <v>44683.37326388889</v>
      </c>
      <c r="I1034" s="50"/>
      <c r="J1034" s="50"/>
      <c r="K1034" s="50"/>
      <c r="L1034" s="50"/>
      <c r="M1034" s="50" t="s">
        <v>6692</v>
      </c>
      <c r="N1034" s="50"/>
      <c r="O1034" s="53" t="s">
        <v>60</v>
      </c>
      <c r="P1034" s="55" t="s">
        <v>6693</v>
      </c>
      <c r="Q1034" s="50">
        <v>9135.0</v>
      </c>
      <c r="R1034" s="50">
        <v>6223.0</v>
      </c>
      <c r="S1034" s="50" t="s">
        <v>129</v>
      </c>
      <c r="T1034" s="56" t="s">
        <v>6694</v>
      </c>
      <c r="U1034" s="53" t="s">
        <v>1408</v>
      </c>
    </row>
    <row r="1035">
      <c r="A1035" s="54" t="s">
        <v>6695</v>
      </c>
      <c r="B1035" s="50" t="s">
        <v>6696</v>
      </c>
      <c r="C1035" s="51" t="s">
        <v>316</v>
      </c>
      <c r="D1035" s="51"/>
      <c r="E1035" s="51"/>
      <c r="F1035" s="51"/>
      <c r="G1035" s="50" t="s">
        <v>6697</v>
      </c>
      <c r="H1035" s="52">
        <v>44683.373206018514</v>
      </c>
      <c r="I1035" s="50"/>
      <c r="J1035" s="50"/>
      <c r="K1035" s="50"/>
      <c r="L1035" s="50"/>
      <c r="M1035" s="50" t="s">
        <v>6698</v>
      </c>
      <c r="N1035" s="50"/>
      <c r="O1035" s="53" t="s">
        <v>92</v>
      </c>
      <c r="P1035" s="55" t="s">
        <v>6699</v>
      </c>
      <c r="Q1035" s="50">
        <v>4135.0</v>
      </c>
      <c r="R1035" s="50">
        <v>4997.0</v>
      </c>
      <c r="S1035" s="50"/>
      <c r="T1035" s="56" t="s">
        <v>6700</v>
      </c>
      <c r="U1035" s="53" t="s">
        <v>322</v>
      </c>
    </row>
    <row r="1036">
      <c r="A1036" s="54" t="s">
        <v>6701</v>
      </c>
      <c r="B1036" s="50" t="s">
        <v>6702</v>
      </c>
      <c r="C1036" s="51" t="s">
        <v>1913</v>
      </c>
      <c r="D1036" s="51"/>
      <c r="E1036" s="51"/>
      <c r="F1036" s="51"/>
      <c r="G1036" s="50" t="s">
        <v>6703</v>
      </c>
      <c r="H1036" s="52">
        <v>44683.37297453704</v>
      </c>
      <c r="I1036" s="50"/>
      <c r="J1036" s="50"/>
      <c r="K1036" s="50"/>
      <c r="L1036" s="50"/>
      <c r="M1036" s="50" t="s">
        <v>6704</v>
      </c>
      <c r="N1036" s="50"/>
      <c r="O1036" s="53" t="s">
        <v>92</v>
      </c>
      <c r="P1036" s="55" t="s">
        <v>6705</v>
      </c>
      <c r="Q1036" s="50">
        <v>19489.0</v>
      </c>
      <c r="R1036" s="50">
        <v>19503.0</v>
      </c>
      <c r="S1036" s="50"/>
      <c r="T1036" s="56" t="s">
        <v>6706</v>
      </c>
      <c r="U1036" s="53" t="s">
        <v>1916</v>
      </c>
    </row>
    <row r="1037">
      <c r="A1037" s="54" t="s">
        <v>6707</v>
      </c>
      <c r="B1037" s="50" t="s">
        <v>3641</v>
      </c>
      <c r="C1037" s="51" t="s">
        <v>367</v>
      </c>
      <c r="D1037" s="51"/>
      <c r="E1037" s="51"/>
      <c r="F1037" s="51"/>
      <c r="G1037" s="50" t="s">
        <v>6708</v>
      </c>
      <c r="H1037" s="52">
        <v>44683.37295138889</v>
      </c>
      <c r="I1037" s="50"/>
      <c r="J1037" s="50"/>
      <c r="K1037" s="50"/>
      <c r="L1037" s="50"/>
      <c r="M1037" s="50" t="s">
        <v>3643</v>
      </c>
      <c r="N1037" s="50"/>
      <c r="O1037" s="53" t="s">
        <v>60</v>
      </c>
      <c r="P1037" s="55" t="s">
        <v>354</v>
      </c>
      <c r="Q1037" s="50">
        <v>44.0</v>
      </c>
      <c r="R1037" s="50">
        <v>98.0</v>
      </c>
      <c r="S1037" s="50"/>
      <c r="T1037" s="56" t="s">
        <v>6709</v>
      </c>
      <c r="U1037" s="53" t="s">
        <v>370</v>
      </c>
    </row>
    <row r="1038">
      <c r="A1038" s="54" t="s">
        <v>6710</v>
      </c>
      <c r="B1038" s="50" t="s">
        <v>6711</v>
      </c>
      <c r="C1038" s="51" t="s">
        <v>6712</v>
      </c>
      <c r="D1038" s="51"/>
      <c r="E1038" s="51"/>
      <c r="F1038" s="51"/>
      <c r="G1038" s="50" t="s">
        <v>6713</v>
      </c>
      <c r="H1038" s="52">
        <v>44683.37278935185</v>
      </c>
      <c r="I1038" s="50"/>
      <c r="J1038" s="50"/>
      <c r="K1038" s="50"/>
      <c r="L1038" s="50"/>
      <c r="M1038" s="50" t="s">
        <v>6714</v>
      </c>
      <c r="N1038" s="50"/>
      <c r="O1038" s="53" t="s">
        <v>92</v>
      </c>
      <c r="P1038" s="55" t="s">
        <v>6715</v>
      </c>
      <c r="Q1038" s="50">
        <v>1545.0</v>
      </c>
      <c r="R1038" s="50">
        <v>2154.0</v>
      </c>
      <c r="S1038" s="50"/>
      <c r="T1038" s="56" t="s">
        <v>6716</v>
      </c>
      <c r="U1038" s="53" t="s">
        <v>6717</v>
      </c>
    </row>
    <row r="1039">
      <c r="A1039" s="54" t="s">
        <v>6718</v>
      </c>
      <c r="B1039" s="50" t="s">
        <v>6719</v>
      </c>
      <c r="C1039" s="51" t="s">
        <v>367</v>
      </c>
      <c r="D1039" s="51"/>
      <c r="E1039" s="51"/>
      <c r="F1039" s="51"/>
      <c r="G1039" s="50" t="s">
        <v>6720</v>
      </c>
      <c r="H1039" s="52">
        <v>44683.37274305556</v>
      </c>
      <c r="I1039" s="50"/>
      <c r="J1039" s="50"/>
      <c r="K1039" s="50"/>
      <c r="L1039" s="50"/>
      <c r="M1039" s="50" t="s">
        <v>6721</v>
      </c>
      <c r="N1039" s="50"/>
      <c r="O1039" s="53" t="s">
        <v>70</v>
      </c>
      <c r="P1039" s="55" t="s">
        <v>6722</v>
      </c>
      <c r="Q1039" s="50">
        <v>1.0</v>
      </c>
      <c r="R1039" s="50">
        <v>12.0</v>
      </c>
      <c r="S1039" s="50" t="s">
        <v>6723</v>
      </c>
      <c r="T1039" s="56" t="s">
        <v>6724</v>
      </c>
      <c r="U1039" s="53" t="s">
        <v>370</v>
      </c>
    </row>
    <row r="1040">
      <c r="A1040" s="54" t="s">
        <v>6725</v>
      </c>
      <c r="B1040" s="50" t="s">
        <v>6726</v>
      </c>
      <c r="C1040" s="51" t="s">
        <v>329</v>
      </c>
      <c r="D1040" s="51"/>
      <c r="E1040" s="51"/>
      <c r="F1040" s="51"/>
      <c r="G1040" s="50" t="s">
        <v>6720</v>
      </c>
      <c r="H1040" s="52">
        <v>44683.37274305556</v>
      </c>
      <c r="I1040" s="50"/>
      <c r="J1040" s="50"/>
      <c r="K1040" s="50"/>
      <c r="L1040" s="50"/>
      <c r="M1040" s="50" t="s">
        <v>6727</v>
      </c>
      <c r="N1040" s="50"/>
      <c r="O1040" s="53" t="s">
        <v>92</v>
      </c>
      <c r="P1040" s="55" t="s">
        <v>6728</v>
      </c>
      <c r="Q1040" s="50">
        <v>128.0</v>
      </c>
      <c r="R1040" s="50">
        <v>1024.0</v>
      </c>
      <c r="S1040" s="50" t="s">
        <v>5052</v>
      </c>
      <c r="T1040" s="56" t="s">
        <v>6729</v>
      </c>
      <c r="U1040" s="53" t="s">
        <v>332</v>
      </c>
    </row>
    <row r="1041">
      <c r="A1041" s="54" t="s">
        <v>6730</v>
      </c>
      <c r="B1041" s="50" t="s">
        <v>5655</v>
      </c>
      <c r="C1041" s="51" t="s">
        <v>1803</v>
      </c>
      <c r="D1041" s="51"/>
      <c r="E1041" s="51"/>
      <c r="F1041" s="51"/>
      <c r="G1041" s="50" t="s">
        <v>6731</v>
      </c>
      <c r="H1041" s="52">
        <v>44683.37247685185</v>
      </c>
      <c r="I1041" s="50"/>
      <c r="J1041" s="50"/>
      <c r="K1041" s="50"/>
      <c r="L1041" s="50"/>
      <c r="M1041" s="50" t="s">
        <v>5657</v>
      </c>
      <c r="N1041" s="50"/>
      <c r="O1041" s="53" t="s">
        <v>1042</v>
      </c>
      <c r="P1041" s="55" t="s">
        <v>354</v>
      </c>
      <c r="Q1041" s="50">
        <v>254.0</v>
      </c>
      <c r="R1041" s="50">
        <v>17.0</v>
      </c>
      <c r="S1041" s="50"/>
      <c r="T1041" s="56" t="s">
        <v>6732</v>
      </c>
      <c r="U1041" s="53" t="s">
        <v>1809</v>
      </c>
    </row>
    <row r="1042">
      <c r="A1042" s="54" t="s">
        <v>6733</v>
      </c>
      <c r="B1042" s="50" t="s">
        <v>6734</v>
      </c>
      <c r="C1042" s="51" t="s">
        <v>367</v>
      </c>
      <c r="D1042" s="51"/>
      <c r="E1042" s="51"/>
      <c r="F1042" s="51"/>
      <c r="G1042" s="50" t="s">
        <v>6735</v>
      </c>
      <c r="H1042" s="52">
        <v>44683.372349537036</v>
      </c>
      <c r="I1042" s="50"/>
      <c r="J1042" s="50"/>
      <c r="K1042" s="50"/>
      <c r="L1042" s="50"/>
      <c r="M1042" s="50" t="s">
        <v>6736</v>
      </c>
      <c r="N1042" s="50"/>
      <c r="O1042" s="53" t="s">
        <v>92</v>
      </c>
      <c r="P1042" s="55" t="s">
        <v>6737</v>
      </c>
      <c r="Q1042" s="50">
        <v>3200.0</v>
      </c>
      <c r="R1042" s="50">
        <v>4483.0</v>
      </c>
      <c r="S1042" s="50" t="s">
        <v>6738</v>
      </c>
      <c r="T1042" s="56" t="s">
        <v>6739</v>
      </c>
      <c r="U1042" s="53" t="s">
        <v>370</v>
      </c>
    </row>
    <row r="1043">
      <c r="A1043" s="54" t="s">
        <v>6740</v>
      </c>
      <c r="B1043" s="50" t="s">
        <v>6741</v>
      </c>
      <c r="C1043" s="51" t="s">
        <v>6742</v>
      </c>
      <c r="D1043" s="51"/>
      <c r="E1043" s="51"/>
      <c r="F1043" s="51"/>
      <c r="G1043" s="50" t="s">
        <v>6743</v>
      </c>
      <c r="H1043" s="52">
        <v>44683.372199074074</v>
      </c>
      <c r="I1043" s="50"/>
      <c r="J1043" s="50"/>
      <c r="K1043" s="50"/>
      <c r="L1043" s="50"/>
      <c r="M1043" s="50" t="s">
        <v>6744</v>
      </c>
      <c r="N1043" s="50"/>
      <c r="O1043" s="53" t="s">
        <v>217</v>
      </c>
      <c r="P1043" s="55" t="s">
        <v>6745</v>
      </c>
      <c r="Q1043" s="50">
        <v>760.0</v>
      </c>
      <c r="R1043" s="50">
        <v>1059.0</v>
      </c>
      <c r="S1043" s="50" t="s">
        <v>6746</v>
      </c>
      <c r="T1043" s="56" t="s">
        <v>6747</v>
      </c>
      <c r="U1043" s="53" t="s">
        <v>6748</v>
      </c>
    </row>
    <row r="1044">
      <c r="A1044" s="54" t="s">
        <v>6749</v>
      </c>
      <c r="B1044" s="50" t="s">
        <v>6750</v>
      </c>
      <c r="C1044" s="51" t="s">
        <v>367</v>
      </c>
      <c r="D1044" s="51"/>
      <c r="E1044" s="51"/>
      <c r="F1044" s="51"/>
      <c r="G1044" s="50" t="s">
        <v>6751</v>
      </c>
      <c r="H1044" s="52">
        <v>44683.37215277778</v>
      </c>
      <c r="I1044" s="50"/>
      <c r="J1044" s="50"/>
      <c r="K1044" s="50"/>
      <c r="L1044" s="50"/>
      <c r="M1044" s="50" t="s">
        <v>6752</v>
      </c>
      <c r="N1044" s="50"/>
      <c r="O1044" s="53" t="s">
        <v>92</v>
      </c>
      <c r="P1044" s="55" t="s">
        <v>6753</v>
      </c>
      <c r="Q1044" s="50">
        <v>258.0</v>
      </c>
      <c r="R1044" s="50">
        <v>669.0</v>
      </c>
      <c r="S1044" s="50" t="s">
        <v>432</v>
      </c>
      <c r="T1044" s="56" t="s">
        <v>6754</v>
      </c>
      <c r="U1044" s="53" t="s">
        <v>370</v>
      </c>
    </row>
    <row r="1045">
      <c r="A1045" s="54" t="s">
        <v>6755</v>
      </c>
      <c r="B1045" s="50" t="s">
        <v>6756</v>
      </c>
      <c r="C1045" s="51" t="s">
        <v>316</v>
      </c>
      <c r="D1045" s="51"/>
      <c r="E1045" s="51"/>
      <c r="F1045" s="51"/>
      <c r="G1045" s="50" t="s">
        <v>6757</v>
      </c>
      <c r="H1045" s="52">
        <v>44683.372141203705</v>
      </c>
      <c r="I1045" s="50"/>
      <c r="J1045" s="50"/>
      <c r="K1045" s="50"/>
      <c r="L1045" s="50"/>
      <c r="M1045" s="50" t="s">
        <v>6758</v>
      </c>
      <c r="N1045" s="50"/>
      <c r="O1045" s="53" t="s">
        <v>70</v>
      </c>
      <c r="P1045" s="55" t="s">
        <v>6759</v>
      </c>
      <c r="Q1045" s="50">
        <v>3358.0</v>
      </c>
      <c r="R1045" s="50">
        <v>3946.0</v>
      </c>
      <c r="S1045" s="50" t="s">
        <v>5009</v>
      </c>
      <c r="T1045" s="56" t="s">
        <v>6760</v>
      </c>
      <c r="U1045" s="53" t="s">
        <v>322</v>
      </c>
    </row>
    <row r="1046">
      <c r="A1046" s="54" t="s">
        <v>6761</v>
      </c>
      <c r="B1046" s="50" t="s">
        <v>6762</v>
      </c>
      <c r="C1046" s="51" t="s">
        <v>1402</v>
      </c>
      <c r="D1046" s="51"/>
      <c r="E1046" s="51"/>
      <c r="F1046" s="51"/>
      <c r="G1046" s="50" t="s">
        <v>6763</v>
      </c>
      <c r="H1046" s="52">
        <v>44683.37189814815</v>
      </c>
      <c r="I1046" s="50"/>
      <c r="J1046" s="50"/>
      <c r="K1046" s="50"/>
      <c r="L1046" s="50"/>
      <c r="M1046" s="50" t="s">
        <v>6764</v>
      </c>
      <c r="N1046" s="50"/>
      <c r="O1046" s="53" t="s">
        <v>92</v>
      </c>
      <c r="P1046" s="55" t="s">
        <v>6765</v>
      </c>
      <c r="Q1046" s="50">
        <v>4140.0</v>
      </c>
      <c r="R1046" s="50">
        <v>4822.0</v>
      </c>
      <c r="S1046" s="50" t="s">
        <v>6766</v>
      </c>
      <c r="T1046" s="56" t="s">
        <v>6767</v>
      </c>
      <c r="U1046" s="53" t="s">
        <v>1408</v>
      </c>
    </row>
    <row r="1047">
      <c r="A1047" s="54" t="s">
        <v>6768</v>
      </c>
      <c r="B1047" s="50" t="s">
        <v>6769</v>
      </c>
      <c r="C1047" s="51" t="s">
        <v>363</v>
      </c>
      <c r="D1047" s="51"/>
      <c r="E1047" s="51"/>
      <c r="F1047" s="51"/>
      <c r="G1047" s="50" t="s">
        <v>6770</v>
      </c>
      <c r="H1047" s="52">
        <v>44683.37168981481</v>
      </c>
      <c r="I1047" s="50"/>
      <c r="J1047" s="50"/>
      <c r="K1047" s="50"/>
      <c r="L1047" s="50"/>
      <c r="M1047" s="50" t="s">
        <v>6771</v>
      </c>
      <c r="N1047" s="50"/>
      <c r="O1047" s="53" t="s">
        <v>70</v>
      </c>
      <c r="P1047" s="55" t="s">
        <v>6772</v>
      </c>
      <c r="Q1047" s="50">
        <v>1466.0</v>
      </c>
      <c r="R1047" s="50">
        <v>1852.0</v>
      </c>
      <c r="S1047" s="50" t="s">
        <v>129</v>
      </c>
      <c r="T1047" s="56" t="s">
        <v>6773</v>
      </c>
      <c r="U1047" s="53" t="s">
        <v>332</v>
      </c>
    </row>
    <row r="1048">
      <c r="A1048" s="54" t="s">
        <v>6774</v>
      </c>
      <c r="B1048" s="50" t="s">
        <v>6775</v>
      </c>
      <c r="C1048" s="51" t="s">
        <v>367</v>
      </c>
      <c r="D1048" s="51"/>
      <c r="E1048" s="51"/>
      <c r="F1048" s="51"/>
      <c r="G1048" s="50" t="s">
        <v>6776</v>
      </c>
      <c r="H1048" s="52">
        <v>44683.37159722223</v>
      </c>
      <c r="I1048" s="50"/>
      <c r="J1048" s="50"/>
      <c r="K1048" s="50"/>
      <c r="L1048" s="50"/>
      <c r="M1048" s="50" t="s">
        <v>6777</v>
      </c>
      <c r="N1048" s="50"/>
      <c r="O1048" s="53" t="s">
        <v>92</v>
      </c>
      <c r="P1048" s="55" t="s">
        <v>6778</v>
      </c>
      <c r="Q1048" s="50">
        <v>120.0</v>
      </c>
      <c r="R1048" s="50">
        <v>51.0</v>
      </c>
      <c r="S1048" s="50"/>
      <c r="T1048" s="56" t="s">
        <v>6779</v>
      </c>
      <c r="U1048" s="53" t="s">
        <v>370</v>
      </c>
    </row>
    <row r="1049">
      <c r="A1049" s="54" t="s">
        <v>6780</v>
      </c>
      <c r="B1049" s="50" t="s">
        <v>4232</v>
      </c>
      <c r="C1049" s="51" t="s">
        <v>6781</v>
      </c>
      <c r="D1049" s="51"/>
      <c r="E1049" s="51"/>
      <c r="F1049" s="51"/>
      <c r="G1049" s="50" t="s">
        <v>6782</v>
      </c>
      <c r="H1049" s="52">
        <v>44683.37153935185</v>
      </c>
      <c r="I1049" s="50"/>
      <c r="J1049" s="50"/>
      <c r="K1049" s="50"/>
      <c r="L1049" s="50"/>
      <c r="M1049" s="50" t="s">
        <v>4235</v>
      </c>
      <c r="N1049" s="50"/>
      <c r="O1049" s="53" t="s">
        <v>70</v>
      </c>
      <c r="P1049" s="55" t="s">
        <v>354</v>
      </c>
      <c r="Q1049" s="50">
        <v>626.0</v>
      </c>
      <c r="R1049" s="50">
        <v>330.0</v>
      </c>
      <c r="S1049" s="50"/>
      <c r="T1049" s="56" t="s">
        <v>6783</v>
      </c>
      <c r="U1049" s="53" t="s">
        <v>6784</v>
      </c>
    </row>
    <row r="1050">
      <c r="A1050" s="54" t="s">
        <v>6785</v>
      </c>
      <c r="B1050" s="50" t="s">
        <v>6786</v>
      </c>
      <c r="C1050" s="51" t="s">
        <v>1772</v>
      </c>
      <c r="D1050" s="51"/>
      <c r="E1050" s="51"/>
      <c r="F1050" s="51"/>
      <c r="G1050" s="50" t="s">
        <v>6787</v>
      </c>
      <c r="H1050" s="52">
        <v>44683.37150462963</v>
      </c>
      <c r="I1050" s="50"/>
      <c r="J1050" s="50"/>
      <c r="K1050" s="50"/>
      <c r="L1050" s="50"/>
      <c r="M1050" s="50" t="s">
        <v>6788</v>
      </c>
      <c r="N1050" s="50"/>
      <c r="O1050" s="53" t="s">
        <v>70</v>
      </c>
      <c r="P1050" s="55" t="s">
        <v>6789</v>
      </c>
      <c r="Q1050" s="50">
        <v>216.0</v>
      </c>
      <c r="R1050" s="50">
        <v>630.0</v>
      </c>
      <c r="S1050" s="50" t="s">
        <v>6790</v>
      </c>
      <c r="T1050" s="56" t="s">
        <v>6791</v>
      </c>
      <c r="U1050" s="53" t="s">
        <v>1777</v>
      </c>
    </row>
    <row r="1051">
      <c r="A1051" s="54" t="s">
        <v>6792</v>
      </c>
      <c r="B1051" s="50" t="s">
        <v>6793</v>
      </c>
      <c r="C1051" s="51" t="s">
        <v>687</v>
      </c>
      <c r="D1051" s="51"/>
      <c r="E1051" s="51"/>
      <c r="F1051" s="51"/>
      <c r="G1051" s="50" t="s">
        <v>6794</v>
      </c>
      <c r="H1051" s="52">
        <v>44683.37149305556</v>
      </c>
      <c r="I1051" s="50"/>
      <c r="J1051" s="50"/>
      <c r="K1051" s="50"/>
      <c r="L1051" s="50"/>
      <c r="M1051" s="50" t="s">
        <v>6795</v>
      </c>
      <c r="N1051" s="50"/>
      <c r="O1051" s="53" t="s">
        <v>70</v>
      </c>
      <c r="P1051" s="55" t="s">
        <v>6796</v>
      </c>
      <c r="Q1051" s="50">
        <v>1212.0</v>
      </c>
      <c r="R1051" s="50">
        <v>804.0</v>
      </c>
      <c r="S1051" s="50"/>
      <c r="T1051" s="56" t="s">
        <v>6797</v>
      </c>
      <c r="U1051" s="53" t="s">
        <v>691</v>
      </c>
    </row>
    <row r="1052">
      <c r="A1052" s="54" t="s">
        <v>6798</v>
      </c>
      <c r="B1052" s="50" t="s">
        <v>6799</v>
      </c>
      <c r="C1052" s="51" t="s">
        <v>367</v>
      </c>
      <c r="D1052" s="51"/>
      <c r="E1052" s="51"/>
      <c r="F1052" s="51"/>
      <c r="G1052" s="50" t="s">
        <v>6800</v>
      </c>
      <c r="H1052" s="52">
        <v>44683.37143518518</v>
      </c>
      <c r="I1052" s="50"/>
      <c r="J1052" s="50"/>
      <c r="K1052" s="50"/>
      <c r="L1052" s="50"/>
      <c r="M1052" s="50" t="s">
        <v>6801</v>
      </c>
      <c r="N1052" s="50"/>
      <c r="O1052" s="53" t="s">
        <v>70</v>
      </c>
      <c r="P1052" s="55" t="s">
        <v>6802</v>
      </c>
      <c r="Q1052" s="50">
        <v>3093.0</v>
      </c>
      <c r="R1052" s="50">
        <v>2950.0</v>
      </c>
      <c r="S1052" s="50"/>
      <c r="T1052" s="56" t="s">
        <v>6803</v>
      </c>
      <c r="U1052" s="53" t="s">
        <v>370</v>
      </c>
    </row>
    <row r="1053">
      <c r="A1053" s="54" t="s">
        <v>6804</v>
      </c>
      <c r="B1053" s="50" t="s">
        <v>6805</v>
      </c>
      <c r="C1053" s="51" t="s">
        <v>6470</v>
      </c>
      <c r="D1053" s="51"/>
      <c r="E1053" s="51"/>
      <c r="F1053" s="51"/>
      <c r="G1053" s="50" t="s">
        <v>6806</v>
      </c>
      <c r="H1053" s="52">
        <v>44683.37140046296</v>
      </c>
      <c r="I1053" s="50"/>
      <c r="J1053" s="50"/>
      <c r="K1053" s="50"/>
      <c r="L1053" s="50"/>
      <c r="M1053" s="50" t="s">
        <v>6807</v>
      </c>
      <c r="N1053" s="50"/>
      <c r="O1053" s="53" t="s">
        <v>70</v>
      </c>
      <c r="P1053" s="55" t="s">
        <v>6808</v>
      </c>
      <c r="Q1053" s="50">
        <v>2170.0</v>
      </c>
      <c r="R1053" s="50">
        <v>3551.0</v>
      </c>
      <c r="S1053" s="50" t="s">
        <v>6809</v>
      </c>
      <c r="T1053" s="56" t="s">
        <v>6810</v>
      </c>
      <c r="U1053" s="53" t="s">
        <v>6473</v>
      </c>
    </row>
    <row r="1054">
      <c r="A1054" s="54" t="s">
        <v>6811</v>
      </c>
      <c r="B1054" s="50" t="s">
        <v>6812</v>
      </c>
      <c r="C1054" s="51" t="s">
        <v>367</v>
      </c>
      <c r="D1054" s="51"/>
      <c r="E1054" s="51"/>
      <c r="F1054" s="51"/>
      <c r="G1054" s="50" t="s">
        <v>6806</v>
      </c>
      <c r="H1054" s="52">
        <v>44683.37140046296</v>
      </c>
      <c r="I1054" s="50"/>
      <c r="J1054" s="50"/>
      <c r="K1054" s="50"/>
      <c r="L1054" s="50"/>
      <c r="M1054" s="50" t="s">
        <v>6813</v>
      </c>
      <c r="N1054" s="50"/>
      <c r="O1054" s="53" t="s">
        <v>70</v>
      </c>
      <c r="P1054" s="55" t="s">
        <v>6814</v>
      </c>
      <c r="Q1054" s="50">
        <v>200.0</v>
      </c>
      <c r="R1054" s="50">
        <v>5001.0</v>
      </c>
      <c r="S1054" s="50" t="s">
        <v>6815</v>
      </c>
      <c r="T1054" s="56" t="s">
        <v>6816</v>
      </c>
      <c r="U1054" s="53" t="s">
        <v>370</v>
      </c>
    </row>
    <row r="1055">
      <c r="A1055" s="54" t="s">
        <v>6817</v>
      </c>
      <c r="B1055" s="50" t="s">
        <v>6818</v>
      </c>
      <c r="C1055" s="51" t="s">
        <v>1402</v>
      </c>
      <c r="D1055" s="51"/>
      <c r="E1055" s="51"/>
      <c r="F1055" s="51"/>
      <c r="G1055" s="50" t="s">
        <v>6819</v>
      </c>
      <c r="H1055" s="52">
        <v>44683.37126157407</v>
      </c>
      <c r="I1055" s="50"/>
      <c r="J1055" s="50"/>
      <c r="K1055" s="50"/>
      <c r="L1055" s="50"/>
      <c r="M1055" s="50" t="s">
        <v>6820</v>
      </c>
      <c r="N1055" s="50"/>
      <c r="O1055" s="53" t="s">
        <v>217</v>
      </c>
      <c r="P1055" s="55" t="s">
        <v>6821</v>
      </c>
      <c r="Q1055" s="50">
        <v>4667.0</v>
      </c>
      <c r="R1055" s="50">
        <v>4870.0</v>
      </c>
      <c r="S1055" s="50" t="s">
        <v>6822</v>
      </c>
      <c r="T1055" s="56" t="s">
        <v>6823</v>
      </c>
      <c r="U1055" s="53" t="s">
        <v>1408</v>
      </c>
    </row>
    <row r="1056">
      <c r="A1056" s="54" t="s">
        <v>6824</v>
      </c>
      <c r="B1056" s="50" t="s">
        <v>6080</v>
      </c>
      <c r="C1056" s="51" t="s">
        <v>316</v>
      </c>
      <c r="D1056" s="51"/>
      <c r="E1056" s="51"/>
      <c r="F1056" s="51"/>
      <c r="G1056" s="50" t="s">
        <v>6819</v>
      </c>
      <c r="H1056" s="52">
        <v>44683.37126157407</v>
      </c>
      <c r="I1056" s="50"/>
      <c r="J1056" s="50"/>
      <c r="K1056" s="50"/>
      <c r="L1056" s="50"/>
      <c r="M1056" s="50" t="s">
        <v>6083</v>
      </c>
      <c r="N1056" s="50"/>
      <c r="O1056" s="53" t="s">
        <v>60</v>
      </c>
      <c r="P1056" s="55" t="s">
        <v>6084</v>
      </c>
      <c r="Q1056" s="50">
        <v>209.0</v>
      </c>
      <c r="R1056" s="50">
        <v>997.0</v>
      </c>
      <c r="S1056" s="50"/>
      <c r="T1056" s="56" t="s">
        <v>6825</v>
      </c>
      <c r="U1056" s="53" t="s">
        <v>322</v>
      </c>
    </row>
    <row r="1057">
      <c r="A1057" s="54" t="s">
        <v>6826</v>
      </c>
      <c r="B1057" s="50" t="s">
        <v>6827</v>
      </c>
      <c r="C1057" s="51" t="s">
        <v>6828</v>
      </c>
      <c r="D1057" s="51"/>
      <c r="E1057" s="51"/>
      <c r="F1057" s="51"/>
      <c r="G1057" s="50" t="s">
        <v>6829</v>
      </c>
      <c r="H1057" s="52">
        <v>44683.37094907407</v>
      </c>
      <c r="I1057" s="50"/>
      <c r="J1057" s="50"/>
      <c r="K1057" s="50"/>
      <c r="L1057" s="50"/>
      <c r="M1057" s="50" t="s">
        <v>6830</v>
      </c>
      <c r="N1057" s="50"/>
      <c r="O1057" s="53" t="s">
        <v>70</v>
      </c>
      <c r="P1057" s="55" t="s">
        <v>6831</v>
      </c>
      <c r="Q1057" s="50">
        <v>915.0</v>
      </c>
      <c r="R1057" s="50">
        <v>951.0</v>
      </c>
      <c r="S1057" s="50"/>
      <c r="T1057" s="56" t="s">
        <v>6832</v>
      </c>
      <c r="U1057" s="53" t="s">
        <v>6833</v>
      </c>
    </row>
    <row r="1058">
      <c r="A1058" s="54" t="s">
        <v>6834</v>
      </c>
      <c r="B1058" s="50" t="s">
        <v>6835</v>
      </c>
      <c r="C1058" s="51" t="s">
        <v>687</v>
      </c>
      <c r="D1058" s="51"/>
      <c r="E1058" s="51"/>
      <c r="F1058" s="51"/>
      <c r="G1058" s="50" t="s">
        <v>6836</v>
      </c>
      <c r="H1058" s="52">
        <v>44683.370844907404</v>
      </c>
      <c r="I1058" s="50"/>
      <c r="J1058" s="50"/>
      <c r="K1058" s="50"/>
      <c r="L1058" s="50"/>
      <c r="M1058" s="50" t="s">
        <v>6837</v>
      </c>
      <c r="N1058" s="50"/>
      <c r="O1058" s="53" t="s">
        <v>60</v>
      </c>
      <c r="P1058" s="55" t="s">
        <v>6838</v>
      </c>
      <c r="Q1058" s="50">
        <v>100.0</v>
      </c>
      <c r="R1058" s="50">
        <v>43.0</v>
      </c>
      <c r="S1058" s="50"/>
      <c r="T1058" s="56" t="s">
        <v>6839</v>
      </c>
      <c r="U1058" s="53" t="s">
        <v>691</v>
      </c>
    </row>
    <row r="1059">
      <c r="A1059" s="54" t="s">
        <v>6840</v>
      </c>
      <c r="B1059" s="50" t="s">
        <v>6841</v>
      </c>
      <c r="C1059" s="51" t="s">
        <v>6842</v>
      </c>
      <c r="D1059" s="51"/>
      <c r="E1059" s="51"/>
      <c r="F1059" s="51"/>
      <c r="G1059" s="50" t="s">
        <v>6843</v>
      </c>
      <c r="H1059" s="52">
        <v>44683.37082175926</v>
      </c>
      <c r="I1059" s="50"/>
      <c r="J1059" s="50"/>
      <c r="K1059" s="50"/>
      <c r="L1059" s="50"/>
      <c r="M1059" s="50" t="s">
        <v>6844</v>
      </c>
      <c r="N1059" s="50"/>
      <c r="O1059" s="53" t="s">
        <v>70</v>
      </c>
      <c r="P1059" s="55" t="s">
        <v>6845</v>
      </c>
      <c r="Q1059" s="50">
        <v>1615.0</v>
      </c>
      <c r="R1059" s="50">
        <v>2498.0</v>
      </c>
      <c r="S1059" s="50" t="s">
        <v>5052</v>
      </c>
      <c r="T1059" s="56" t="s">
        <v>6846</v>
      </c>
      <c r="U1059" s="53" t="s">
        <v>6847</v>
      </c>
    </row>
    <row r="1060">
      <c r="A1060" s="54" t="s">
        <v>6848</v>
      </c>
      <c r="B1060" s="50" t="s">
        <v>6849</v>
      </c>
      <c r="C1060" s="51" t="s">
        <v>6850</v>
      </c>
      <c r="D1060" s="51"/>
      <c r="E1060" s="51"/>
      <c r="F1060" s="51"/>
      <c r="G1060" s="50" t="s">
        <v>6851</v>
      </c>
      <c r="H1060" s="52">
        <v>44683.37074074074</v>
      </c>
      <c r="I1060" s="50"/>
      <c r="J1060" s="50"/>
      <c r="K1060" s="50"/>
      <c r="L1060" s="50"/>
      <c r="M1060" s="50" t="s">
        <v>6852</v>
      </c>
      <c r="N1060" s="50"/>
      <c r="O1060" s="53" t="s">
        <v>92</v>
      </c>
      <c r="P1060" s="55" t="s">
        <v>6853</v>
      </c>
      <c r="Q1060" s="50">
        <v>131.0</v>
      </c>
      <c r="R1060" s="50">
        <v>248.0</v>
      </c>
      <c r="S1060" s="50" t="s">
        <v>1311</v>
      </c>
      <c r="T1060" s="56" t="s">
        <v>6854</v>
      </c>
      <c r="U1060" s="53" t="s">
        <v>6855</v>
      </c>
    </row>
    <row r="1061">
      <c r="A1061" s="54" t="s">
        <v>6856</v>
      </c>
      <c r="B1061" s="50" t="s">
        <v>6857</v>
      </c>
      <c r="C1061" s="51" t="s">
        <v>6858</v>
      </c>
      <c r="D1061" s="51"/>
      <c r="E1061" s="51"/>
      <c r="F1061" s="51"/>
      <c r="G1061" s="50" t="s">
        <v>6859</v>
      </c>
      <c r="H1061" s="52">
        <v>44683.370729166665</v>
      </c>
      <c r="I1061" s="50"/>
      <c r="J1061" s="50"/>
      <c r="K1061" s="50"/>
      <c r="L1061" s="50"/>
      <c r="M1061" s="50" t="s">
        <v>6860</v>
      </c>
      <c r="N1061" s="50"/>
      <c r="O1061" s="53" t="s">
        <v>217</v>
      </c>
      <c r="P1061" s="55" t="s">
        <v>6861</v>
      </c>
      <c r="Q1061" s="50">
        <v>4056.0</v>
      </c>
      <c r="R1061" s="50">
        <v>4988.0</v>
      </c>
      <c r="S1061" s="50" t="s">
        <v>6862</v>
      </c>
      <c r="T1061" s="56" t="s">
        <v>6863</v>
      </c>
      <c r="U1061" s="53" t="s">
        <v>6864</v>
      </c>
    </row>
    <row r="1062">
      <c r="A1062" s="54" t="s">
        <v>6865</v>
      </c>
      <c r="B1062" s="50" t="s">
        <v>6805</v>
      </c>
      <c r="C1062" s="51" t="s">
        <v>6828</v>
      </c>
      <c r="D1062" s="51"/>
      <c r="E1062" s="51"/>
      <c r="F1062" s="51"/>
      <c r="G1062" s="50" t="s">
        <v>6866</v>
      </c>
      <c r="H1062" s="52">
        <v>44683.37070601852</v>
      </c>
      <c r="I1062" s="50"/>
      <c r="J1062" s="50"/>
      <c r="K1062" s="50"/>
      <c r="L1062" s="50"/>
      <c r="M1062" s="50" t="s">
        <v>6807</v>
      </c>
      <c r="N1062" s="50"/>
      <c r="O1062" s="53" t="s">
        <v>70</v>
      </c>
      <c r="P1062" s="55" t="s">
        <v>6808</v>
      </c>
      <c r="Q1062" s="50">
        <v>2170.0</v>
      </c>
      <c r="R1062" s="50">
        <v>3551.0</v>
      </c>
      <c r="S1062" s="50" t="s">
        <v>6809</v>
      </c>
      <c r="T1062" s="56" t="s">
        <v>6867</v>
      </c>
      <c r="U1062" s="53" t="s">
        <v>6833</v>
      </c>
    </row>
    <row r="1063">
      <c r="A1063" s="54" t="s">
        <v>6868</v>
      </c>
      <c r="B1063" s="50" t="s">
        <v>6869</v>
      </c>
      <c r="C1063" s="51" t="s">
        <v>2869</v>
      </c>
      <c r="D1063" s="51"/>
      <c r="E1063" s="51"/>
      <c r="F1063" s="51"/>
      <c r="G1063" s="50" t="s">
        <v>6870</v>
      </c>
      <c r="H1063" s="52">
        <v>44683.37068287037</v>
      </c>
      <c r="I1063" s="50"/>
      <c r="J1063" s="50"/>
      <c r="K1063" s="50"/>
      <c r="L1063" s="50"/>
      <c r="M1063" s="50" t="s">
        <v>6871</v>
      </c>
      <c r="N1063" s="50"/>
      <c r="O1063" s="53" t="s">
        <v>70</v>
      </c>
      <c r="P1063" s="55" t="s">
        <v>6872</v>
      </c>
      <c r="Q1063" s="50">
        <v>2453.0</v>
      </c>
      <c r="R1063" s="50">
        <v>4331.0</v>
      </c>
      <c r="S1063" s="50" t="s">
        <v>6873</v>
      </c>
      <c r="T1063" s="56" t="s">
        <v>6874</v>
      </c>
      <c r="U1063" s="53" t="s">
        <v>2874</v>
      </c>
    </row>
    <row r="1064">
      <c r="A1064" s="54" t="s">
        <v>6875</v>
      </c>
      <c r="B1064" s="50" t="s">
        <v>6876</v>
      </c>
      <c r="C1064" s="51" t="s">
        <v>329</v>
      </c>
      <c r="D1064" s="51"/>
      <c r="E1064" s="51"/>
      <c r="F1064" s="51"/>
      <c r="G1064" s="50" t="s">
        <v>6877</v>
      </c>
      <c r="H1064" s="52">
        <v>44683.370624999996</v>
      </c>
      <c r="I1064" s="50"/>
      <c r="J1064" s="50"/>
      <c r="K1064" s="50"/>
      <c r="L1064" s="50"/>
      <c r="M1064" s="50" t="s">
        <v>6878</v>
      </c>
      <c r="N1064" s="50"/>
      <c r="O1064" s="53" t="s">
        <v>70</v>
      </c>
      <c r="P1064" s="55" t="s">
        <v>6879</v>
      </c>
      <c r="Q1064" s="50">
        <v>443.0</v>
      </c>
      <c r="R1064" s="50">
        <v>1610.0</v>
      </c>
      <c r="S1064" s="50" t="s">
        <v>6880</v>
      </c>
      <c r="T1064" s="56" t="s">
        <v>6881</v>
      </c>
      <c r="U1064" s="53" t="s">
        <v>332</v>
      </c>
    </row>
    <row r="1065">
      <c r="A1065" s="54" t="s">
        <v>6882</v>
      </c>
      <c r="B1065" s="50" t="s">
        <v>6883</v>
      </c>
      <c r="C1065" s="51" t="s">
        <v>687</v>
      </c>
      <c r="D1065" s="51"/>
      <c r="E1065" s="51"/>
      <c r="F1065" s="51"/>
      <c r="G1065" s="50" t="s">
        <v>6884</v>
      </c>
      <c r="H1065" s="52">
        <v>44683.3705787037</v>
      </c>
      <c r="I1065" s="50"/>
      <c r="J1065" s="50"/>
      <c r="K1065" s="50"/>
      <c r="L1065" s="50"/>
      <c r="M1065" s="50" t="s">
        <v>6885</v>
      </c>
      <c r="N1065" s="50"/>
      <c r="O1065" s="53" t="s">
        <v>60</v>
      </c>
      <c r="P1065" s="55" t="s">
        <v>6886</v>
      </c>
      <c r="Q1065" s="50">
        <v>292.0</v>
      </c>
      <c r="R1065" s="50">
        <v>179.0</v>
      </c>
      <c r="S1065" s="50" t="s">
        <v>6887</v>
      </c>
      <c r="T1065" s="56" t="s">
        <v>6888</v>
      </c>
      <c r="U1065" s="53" t="s">
        <v>691</v>
      </c>
    </row>
    <row r="1066">
      <c r="A1066" s="54" t="s">
        <v>6889</v>
      </c>
      <c r="B1066" s="50" t="s">
        <v>6890</v>
      </c>
      <c r="C1066" s="51" t="s">
        <v>367</v>
      </c>
      <c r="D1066" s="51"/>
      <c r="E1066" s="51"/>
      <c r="F1066" s="51"/>
      <c r="G1066" s="50" t="s">
        <v>6891</v>
      </c>
      <c r="H1066" s="52">
        <v>44683.37055555556</v>
      </c>
      <c r="I1066" s="50"/>
      <c r="J1066" s="50"/>
      <c r="K1066" s="50"/>
      <c r="L1066" s="50"/>
      <c r="M1066" s="50" t="s">
        <v>6892</v>
      </c>
      <c r="N1066" s="50"/>
      <c r="O1066" s="53" t="s">
        <v>60</v>
      </c>
      <c r="P1066" s="55" t="s">
        <v>6893</v>
      </c>
      <c r="Q1066" s="50">
        <v>250.0</v>
      </c>
      <c r="R1066" s="50">
        <v>151.0</v>
      </c>
      <c r="S1066" s="50" t="s">
        <v>6894</v>
      </c>
      <c r="T1066" s="56" t="s">
        <v>6895</v>
      </c>
      <c r="U1066" s="53" t="s">
        <v>370</v>
      </c>
    </row>
    <row r="1067">
      <c r="A1067" s="54" t="s">
        <v>6896</v>
      </c>
      <c r="B1067" s="50" t="s">
        <v>6897</v>
      </c>
      <c r="C1067" s="51" t="s">
        <v>329</v>
      </c>
      <c r="D1067" s="51"/>
      <c r="E1067" s="51"/>
      <c r="F1067" s="51"/>
      <c r="G1067" s="50" t="s">
        <v>6898</v>
      </c>
      <c r="H1067" s="52">
        <v>44683.37050925926</v>
      </c>
      <c r="I1067" s="50"/>
      <c r="J1067" s="50"/>
      <c r="K1067" s="50"/>
      <c r="L1067" s="50"/>
      <c r="M1067" s="50" t="s">
        <v>6899</v>
      </c>
      <c r="N1067" s="50"/>
      <c r="O1067" s="53" t="s">
        <v>70</v>
      </c>
      <c r="P1067" s="55" t="s">
        <v>6900</v>
      </c>
      <c r="Q1067" s="50">
        <v>3397.0</v>
      </c>
      <c r="R1067" s="50">
        <v>4195.0</v>
      </c>
      <c r="S1067" s="50"/>
      <c r="T1067" s="56" t="s">
        <v>6901</v>
      </c>
      <c r="U1067" s="53" t="s">
        <v>332</v>
      </c>
    </row>
    <row r="1068">
      <c r="A1068" s="54" t="s">
        <v>6902</v>
      </c>
      <c r="B1068" s="50" t="s">
        <v>5474</v>
      </c>
      <c r="C1068" s="51" t="s">
        <v>329</v>
      </c>
      <c r="D1068" s="51"/>
      <c r="E1068" s="51"/>
      <c r="F1068" s="51"/>
      <c r="G1068" s="50" t="s">
        <v>6903</v>
      </c>
      <c r="H1068" s="52">
        <v>44683.37048611111</v>
      </c>
      <c r="I1068" s="50"/>
      <c r="J1068" s="50"/>
      <c r="K1068" s="50"/>
      <c r="L1068" s="50"/>
      <c r="M1068" s="50" t="s">
        <v>5476</v>
      </c>
      <c r="N1068" s="50"/>
      <c r="O1068" s="53" t="s">
        <v>60</v>
      </c>
      <c r="P1068" s="55" t="s">
        <v>5477</v>
      </c>
      <c r="Q1068" s="50">
        <v>40.0</v>
      </c>
      <c r="R1068" s="50">
        <v>184.0</v>
      </c>
      <c r="S1068" s="50"/>
      <c r="T1068" s="56" t="s">
        <v>6904</v>
      </c>
      <c r="U1068" s="53" t="s">
        <v>332</v>
      </c>
    </row>
    <row r="1069">
      <c r="A1069" s="54" t="s">
        <v>6905</v>
      </c>
      <c r="B1069" s="50" t="s">
        <v>6906</v>
      </c>
      <c r="C1069" s="51" t="s">
        <v>2033</v>
      </c>
      <c r="D1069" s="51"/>
      <c r="E1069" s="51"/>
      <c r="F1069" s="51"/>
      <c r="G1069" s="50" t="s">
        <v>6907</v>
      </c>
      <c r="H1069" s="52">
        <v>44683.370462962965</v>
      </c>
      <c r="I1069" s="50"/>
      <c r="J1069" s="50"/>
      <c r="K1069" s="50"/>
      <c r="L1069" s="50"/>
      <c r="M1069" s="50" t="s">
        <v>6908</v>
      </c>
      <c r="N1069" s="50"/>
      <c r="O1069" s="53" t="s">
        <v>60</v>
      </c>
      <c r="P1069" s="55" t="s">
        <v>6909</v>
      </c>
      <c r="Q1069" s="50">
        <v>333.0</v>
      </c>
      <c r="R1069" s="50">
        <v>683.0</v>
      </c>
      <c r="S1069" s="50" t="s">
        <v>6910</v>
      </c>
      <c r="T1069" s="56" t="s">
        <v>6911</v>
      </c>
      <c r="U1069" s="53" t="s">
        <v>2037</v>
      </c>
    </row>
    <row r="1070">
      <c r="A1070" s="54" t="s">
        <v>6912</v>
      </c>
      <c r="B1070" s="50" t="s">
        <v>6913</v>
      </c>
      <c r="C1070" s="51" t="s">
        <v>367</v>
      </c>
      <c r="D1070" s="51"/>
      <c r="E1070" s="51"/>
      <c r="F1070" s="51"/>
      <c r="G1070" s="50" t="s">
        <v>6914</v>
      </c>
      <c r="H1070" s="52">
        <v>44683.37045138889</v>
      </c>
      <c r="I1070" s="50"/>
      <c r="J1070" s="50"/>
      <c r="K1070" s="50"/>
      <c r="L1070" s="50"/>
      <c r="M1070" s="50" t="s">
        <v>6915</v>
      </c>
      <c r="N1070" s="50"/>
      <c r="O1070" s="53" t="s">
        <v>70</v>
      </c>
      <c r="P1070" s="55" t="s">
        <v>6916</v>
      </c>
      <c r="Q1070" s="50">
        <v>502.0</v>
      </c>
      <c r="R1070" s="50">
        <v>817.0</v>
      </c>
      <c r="S1070" s="50" t="s">
        <v>246</v>
      </c>
      <c r="T1070" s="56" t="s">
        <v>6917</v>
      </c>
      <c r="U1070" s="53" t="s">
        <v>370</v>
      </c>
    </row>
    <row r="1071">
      <c r="A1071" s="54" t="s">
        <v>6918</v>
      </c>
      <c r="B1071" s="50" t="s">
        <v>6897</v>
      </c>
      <c r="C1071" s="51" t="s">
        <v>367</v>
      </c>
      <c r="D1071" s="51"/>
      <c r="E1071" s="51"/>
      <c r="F1071" s="51"/>
      <c r="G1071" s="50" t="s">
        <v>6919</v>
      </c>
      <c r="H1071" s="52">
        <v>44683.37038194445</v>
      </c>
      <c r="I1071" s="50"/>
      <c r="J1071" s="50"/>
      <c r="K1071" s="50"/>
      <c r="L1071" s="50"/>
      <c r="M1071" s="50" t="s">
        <v>6899</v>
      </c>
      <c r="N1071" s="50"/>
      <c r="O1071" s="53" t="s">
        <v>70</v>
      </c>
      <c r="P1071" s="55" t="s">
        <v>6900</v>
      </c>
      <c r="Q1071" s="50">
        <v>3397.0</v>
      </c>
      <c r="R1071" s="50">
        <v>4195.0</v>
      </c>
      <c r="S1071" s="50"/>
      <c r="T1071" s="56" t="s">
        <v>6920</v>
      </c>
      <c r="U1071" s="53" t="s">
        <v>370</v>
      </c>
    </row>
    <row r="1072">
      <c r="A1072" s="54" t="s">
        <v>6921</v>
      </c>
      <c r="B1072" s="50" t="s">
        <v>6922</v>
      </c>
      <c r="C1072" s="51" t="s">
        <v>6923</v>
      </c>
      <c r="D1072" s="51"/>
      <c r="E1072" s="51"/>
      <c r="F1072" s="51"/>
      <c r="G1072" s="50" t="s">
        <v>6924</v>
      </c>
      <c r="H1072" s="52">
        <v>44683.37028935185</v>
      </c>
      <c r="I1072" s="50"/>
      <c r="J1072" s="50"/>
      <c r="K1072" s="50"/>
      <c r="L1072" s="50"/>
      <c r="M1072" s="50" t="s">
        <v>6925</v>
      </c>
      <c r="N1072" s="50"/>
      <c r="O1072" s="53" t="s">
        <v>92</v>
      </c>
      <c r="P1072" s="55" t="s">
        <v>6926</v>
      </c>
      <c r="Q1072" s="50">
        <v>1410.0</v>
      </c>
      <c r="R1072" s="50">
        <v>877.0</v>
      </c>
      <c r="S1072" s="50"/>
      <c r="T1072" s="56" t="s">
        <v>6927</v>
      </c>
      <c r="U1072" s="53" t="s">
        <v>6928</v>
      </c>
    </row>
    <row r="1073">
      <c r="A1073" s="54" t="s">
        <v>6929</v>
      </c>
      <c r="B1073" s="50" t="s">
        <v>5855</v>
      </c>
      <c r="C1073" s="51" t="s">
        <v>6930</v>
      </c>
      <c r="D1073" s="51"/>
      <c r="E1073" s="51"/>
      <c r="F1073" s="51"/>
      <c r="G1073" s="50" t="s">
        <v>6931</v>
      </c>
      <c r="H1073" s="52">
        <v>44683.3702199074</v>
      </c>
      <c r="I1073" s="50"/>
      <c r="J1073" s="50"/>
      <c r="K1073" s="50"/>
      <c r="L1073" s="50"/>
      <c r="M1073" s="50" t="s">
        <v>5858</v>
      </c>
      <c r="N1073" s="50"/>
      <c r="O1073" s="53" t="s">
        <v>70</v>
      </c>
      <c r="P1073" s="55" t="s">
        <v>5859</v>
      </c>
      <c r="Q1073" s="50">
        <v>2707.0</v>
      </c>
      <c r="R1073" s="50">
        <v>4441.0</v>
      </c>
      <c r="S1073" s="50" t="s">
        <v>5860</v>
      </c>
      <c r="T1073" s="56" t="s">
        <v>6932</v>
      </c>
      <c r="U1073" s="53" t="s">
        <v>6933</v>
      </c>
    </row>
    <row r="1074">
      <c r="A1074" s="54" t="s">
        <v>6934</v>
      </c>
      <c r="B1074" s="50" t="s">
        <v>6935</v>
      </c>
      <c r="C1074" s="51" t="s">
        <v>367</v>
      </c>
      <c r="D1074" s="51"/>
      <c r="E1074" s="51"/>
      <c r="F1074" s="51"/>
      <c r="G1074" s="50" t="s">
        <v>6936</v>
      </c>
      <c r="H1074" s="52">
        <v>44683.36987268519</v>
      </c>
      <c r="I1074" s="50"/>
      <c r="J1074" s="50"/>
      <c r="K1074" s="50"/>
      <c r="L1074" s="50"/>
      <c r="M1074" s="50" t="s">
        <v>6937</v>
      </c>
      <c r="N1074" s="50"/>
      <c r="O1074" s="53" t="s">
        <v>217</v>
      </c>
      <c r="P1074" s="55" t="s">
        <v>6938</v>
      </c>
      <c r="Q1074" s="50">
        <v>86.0</v>
      </c>
      <c r="R1074" s="50">
        <v>173.0</v>
      </c>
      <c r="S1074" s="50" t="s">
        <v>6939</v>
      </c>
      <c r="T1074" s="56" t="s">
        <v>6940</v>
      </c>
      <c r="U1074" s="53" t="s">
        <v>370</v>
      </c>
    </row>
    <row r="1075">
      <c r="A1075" s="54" t="s">
        <v>6941</v>
      </c>
      <c r="B1075" s="50" t="s">
        <v>6942</v>
      </c>
      <c r="C1075" s="51" t="s">
        <v>6712</v>
      </c>
      <c r="D1075" s="51"/>
      <c r="E1075" s="51"/>
      <c r="F1075" s="51"/>
      <c r="G1075" s="50" t="s">
        <v>6943</v>
      </c>
      <c r="H1075" s="52">
        <v>44683.36984953703</v>
      </c>
      <c r="I1075" s="50"/>
      <c r="J1075" s="50"/>
      <c r="K1075" s="50"/>
      <c r="L1075" s="50"/>
      <c r="M1075" s="50" t="s">
        <v>6944</v>
      </c>
      <c r="N1075" s="50"/>
      <c r="O1075" s="53" t="s">
        <v>70</v>
      </c>
      <c r="P1075" s="55" t="s">
        <v>6945</v>
      </c>
      <c r="Q1075" s="50">
        <v>12863.0</v>
      </c>
      <c r="R1075" s="50">
        <v>14135.0</v>
      </c>
      <c r="S1075" s="50"/>
      <c r="T1075" s="56" t="s">
        <v>6946</v>
      </c>
      <c r="U1075" s="53" t="s">
        <v>6717</v>
      </c>
    </row>
    <row r="1076">
      <c r="A1076" s="54" t="s">
        <v>6947</v>
      </c>
      <c r="B1076" s="50" t="s">
        <v>6948</v>
      </c>
      <c r="C1076" s="51" t="s">
        <v>367</v>
      </c>
      <c r="D1076" s="51"/>
      <c r="E1076" s="51"/>
      <c r="F1076" s="51"/>
      <c r="G1076" s="50" t="s">
        <v>6949</v>
      </c>
      <c r="H1076" s="52">
        <v>44683.36980324074</v>
      </c>
      <c r="I1076" s="50"/>
      <c r="J1076" s="50"/>
      <c r="K1076" s="50"/>
      <c r="L1076" s="50"/>
      <c r="M1076" s="50" t="s">
        <v>6950</v>
      </c>
      <c r="N1076" s="50"/>
      <c r="O1076" s="53" t="s">
        <v>70</v>
      </c>
      <c r="P1076" s="55" t="s">
        <v>6951</v>
      </c>
      <c r="Q1076" s="50">
        <v>30.0</v>
      </c>
      <c r="R1076" s="50">
        <v>230.0</v>
      </c>
      <c r="S1076" s="50"/>
      <c r="T1076" s="56" t="s">
        <v>6952</v>
      </c>
      <c r="U1076" s="53" t="s">
        <v>370</v>
      </c>
    </row>
    <row r="1077">
      <c r="A1077" s="54" t="s">
        <v>6953</v>
      </c>
      <c r="B1077" s="50" t="s">
        <v>6954</v>
      </c>
      <c r="C1077" s="51" t="s">
        <v>367</v>
      </c>
      <c r="D1077" s="51"/>
      <c r="E1077" s="51"/>
      <c r="F1077" s="51"/>
      <c r="G1077" s="50" t="s">
        <v>6949</v>
      </c>
      <c r="H1077" s="52">
        <v>44683.36980324074</v>
      </c>
      <c r="I1077" s="50"/>
      <c r="J1077" s="50"/>
      <c r="K1077" s="50"/>
      <c r="L1077" s="50"/>
      <c r="M1077" s="50" t="s">
        <v>6955</v>
      </c>
      <c r="N1077" s="50"/>
      <c r="O1077" s="53" t="s">
        <v>70</v>
      </c>
      <c r="P1077" s="55" t="s">
        <v>6956</v>
      </c>
      <c r="Q1077" s="50">
        <v>1695.0</v>
      </c>
      <c r="R1077" s="50">
        <v>2313.0</v>
      </c>
      <c r="S1077" s="50" t="s">
        <v>6957</v>
      </c>
      <c r="T1077" s="56" t="s">
        <v>6958</v>
      </c>
      <c r="U1077" s="53" t="s">
        <v>370</v>
      </c>
    </row>
    <row r="1078">
      <c r="A1078" s="54" t="s">
        <v>6959</v>
      </c>
      <c r="B1078" s="50" t="s">
        <v>6960</v>
      </c>
      <c r="C1078" s="51" t="s">
        <v>367</v>
      </c>
      <c r="D1078" s="51"/>
      <c r="E1078" s="51"/>
      <c r="F1078" s="51"/>
      <c r="G1078" s="50" t="s">
        <v>6961</v>
      </c>
      <c r="H1078" s="52">
        <v>44683.36954861111</v>
      </c>
      <c r="I1078" s="50"/>
      <c r="J1078" s="50"/>
      <c r="K1078" s="50"/>
      <c r="L1078" s="50"/>
      <c r="M1078" s="50" t="s">
        <v>6962</v>
      </c>
      <c r="N1078" s="50"/>
      <c r="O1078" s="53" t="s">
        <v>92</v>
      </c>
      <c r="P1078" s="55" t="s">
        <v>354</v>
      </c>
      <c r="Q1078" s="50">
        <v>162.0</v>
      </c>
      <c r="R1078" s="50">
        <v>683.0</v>
      </c>
      <c r="S1078" s="50" t="s">
        <v>1007</v>
      </c>
      <c r="T1078" s="56" t="s">
        <v>6963</v>
      </c>
      <c r="U1078" s="53" t="s">
        <v>370</v>
      </c>
    </row>
    <row r="1079">
      <c r="A1079" s="54" t="s">
        <v>6964</v>
      </c>
      <c r="B1079" s="50" t="s">
        <v>6965</v>
      </c>
      <c r="C1079" s="51" t="s">
        <v>367</v>
      </c>
      <c r="D1079" s="51"/>
      <c r="E1079" s="51"/>
      <c r="F1079" s="51"/>
      <c r="G1079" s="50" t="s">
        <v>6966</v>
      </c>
      <c r="H1079" s="52">
        <v>44683.36916666667</v>
      </c>
      <c r="I1079" s="50"/>
      <c r="J1079" s="50"/>
      <c r="K1079" s="50"/>
      <c r="L1079" s="50"/>
      <c r="M1079" s="50" t="s">
        <v>6967</v>
      </c>
      <c r="N1079" s="50"/>
      <c r="O1079" s="53" t="s">
        <v>60</v>
      </c>
      <c r="P1079" s="55" t="s">
        <v>6968</v>
      </c>
      <c r="Q1079" s="50">
        <v>7154.0</v>
      </c>
      <c r="R1079" s="50">
        <v>247.0</v>
      </c>
      <c r="S1079" s="50" t="s">
        <v>6969</v>
      </c>
      <c r="T1079" s="56" t="s">
        <v>6970</v>
      </c>
      <c r="U1079" s="53" t="s">
        <v>370</v>
      </c>
    </row>
    <row r="1080">
      <c r="A1080" s="54" t="s">
        <v>6971</v>
      </c>
      <c r="B1080" s="50" t="s">
        <v>6972</v>
      </c>
      <c r="C1080" s="51" t="s">
        <v>367</v>
      </c>
      <c r="D1080" s="51"/>
      <c r="E1080" s="51"/>
      <c r="F1080" s="51"/>
      <c r="G1080" s="50" t="s">
        <v>6973</v>
      </c>
      <c r="H1080" s="52">
        <v>44683.36908564815</v>
      </c>
      <c r="I1080" s="50"/>
      <c r="J1080" s="50"/>
      <c r="K1080" s="50"/>
      <c r="L1080" s="50"/>
      <c r="M1080" s="50" t="s">
        <v>6974</v>
      </c>
      <c r="N1080" s="50"/>
      <c r="O1080" s="53" t="s">
        <v>92</v>
      </c>
      <c r="P1080" s="55" t="s">
        <v>6975</v>
      </c>
      <c r="Q1080" s="50">
        <v>25269.0</v>
      </c>
      <c r="R1080" s="50">
        <v>24926.0</v>
      </c>
      <c r="S1080" s="50" t="s">
        <v>6976</v>
      </c>
      <c r="T1080" s="56" t="s">
        <v>6977</v>
      </c>
      <c r="U1080" s="53" t="s">
        <v>370</v>
      </c>
    </row>
    <row r="1081">
      <c r="A1081" s="54" t="s">
        <v>6978</v>
      </c>
      <c r="B1081" s="50" t="s">
        <v>6979</v>
      </c>
      <c r="C1081" s="51" t="s">
        <v>6980</v>
      </c>
      <c r="D1081" s="51"/>
      <c r="E1081" s="51"/>
      <c r="F1081" s="51"/>
      <c r="G1081" s="50" t="s">
        <v>6981</v>
      </c>
      <c r="H1081" s="52">
        <v>44683.368993055556</v>
      </c>
      <c r="I1081" s="50"/>
      <c r="J1081" s="50"/>
      <c r="K1081" s="50"/>
      <c r="L1081" s="50"/>
      <c r="M1081" s="50" t="s">
        <v>6982</v>
      </c>
      <c r="N1081" s="50"/>
      <c r="O1081" s="53" t="s">
        <v>60</v>
      </c>
      <c r="P1081" s="55" t="s">
        <v>6983</v>
      </c>
      <c r="Q1081" s="50">
        <v>315.0</v>
      </c>
      <c r="R1081" s="50">
        <v>827.0</v>
      </c>
      <c r="S1081" s="50" t="s">
        <v>6984</v>
      </c>
      <c r="T1081" s="56" t="s">
        <v>6985</v>
      </c>
      <c r="U1081" s="53" t="s">
        <v>6986</v>
      </c>
    </row>
    <row r="1082">
      <c r="A1082" s="54" t="s">
        <v>6987</v>
      </c>
      <c r="B1082" s="50" t="s">
        <v>6988</v>
      </c>
      <c r="C1082" s="51" t="s">
        <v>6989</v>
      </c>
      <c r="D1082" s="51"/>
      <c r="E1082" s="51"/>
      <c r="F1082" s="51"/>
      <c r="G1082" s="50" t="s">
        <v>6990</v>
      </c>
      <c r="H1082" s="52">
        <v>44683.36890046296</v>
      </c>
      <c r="I1082" s="50"/>
      <c r="J1082" s="50"/>
      <c r="K1082" s="50"/>
      <c r="L1082" s="50"/>
      <c r="M1082" s="50" t="s">
        <v>6991</v>
      </c>
      <c r="N1082" s="50"/>
      <c r="O1082" s="53" t="s">
        <v>60</v>
      </c>
      <c r="P1082" s="55" t="s">
        <v>6992</v>
      </c>
      <c r="Q1082" s="50">
        <v>240.0</v>
      </c>
      <c r="R1082" s="50">
        <v>110.0</v>
      </c>
      <c r="S1082" s="50" t="s">
        <v>6993</v>
      </c>
      <c r="T1082" s="56" t="s">
        <v>6994</v>
      </c>
      <c r="U1082" s="53" t="s">
        <v>6995</v>
      </c>
    </row>
    <row r="1083">
      <c r="A1083" s="54" t="s">
        <v>6996</v>
      </c>
      <c r="B1083" s="50" t="s">
        <v>6997</v>
      </c>
      <c r="C1083" s="51" t="s">
        <v>2380</v>
      </c>
      <c r="D1083" s="51"/>
      <c r="E1083" s="51"/>
      <c r="F1083" s="51"/>
      <c r="G1083" s="50" t="s">
        <v>6998</v>
      </c>
      <c r="H1083" s="52">
        <v>44683.36887731482</v>
      </c>
      <c r="I1083" s="50"/>
      <c r="J1083" s="50"/>
      <c r="K1083" s="50"/>
      <c r="L1083" s="50"/>
      <c r="M1083" s="50" t="s">
        <v>6999</v>
      </c>
      <c r="N1083" s="50"/>
      <c r="O1083" s="53" t="s">
        <v>92</v>
      </c>
      <c r="P1083" s="55" t="s">
        <v>7000</v>
      </c>
      <c r="Q1083" s="50">
        <v>12958.0</v>
      </c>
      <c r="R1083" s="50">
        <v>1419.0</v>
      </c>
      <c r="S1083" s="50" t="s">
        <v>7001</v>
      </c>
      <c r="T1083" s="56" t="s">
        <v>7002</v>
      </c>
      <c r="U1083" s="53" t="s">
        <v>2385</v>
      </c>
    </row>
    <row r="1084">
      <c r="A1084" s="54" t="s">
        <v>7003</v>
      </c>
      <c r="B1084" s="50" t="s">
        <v>7004</v>
      </c>
      <c r="C1084" s="51" t="s">
        <v>316</v>
      </c>
      <c r="D1084" s="51"/>
      <c r="E1084" s="51"/>
      <c r="F1084" s="51"/>
      <c r="G1084" s="50" t="s">
        <v>7005</v>
      </c>
      <c r="H1084" s="52">
        <v>44683.36876157408</v>
      </c>
      <c r="I1084" s="50"/>
      <c r="J1084" s="50"/>
      <c r="K1084" s="50"/>
      <c r="L1084" s="50"/>
      <c r="M1084" s="50" t="s">
        <v>7006</v>
      </c>
      <c r="N1084" s="50"/>
      <c r="O1084" s="53" t="s">
        <v>70</v>
      </c>
      <c r="P1084" s="55" t="s">
        <v>7007</v>
      </c>
      <c r="Q1084" s="50">
        <v>345.0</v>
      </c>
      <c r="R1084" s="50">
        <v>1037.0</v>
      </c>
      <c r="S1084" s="50"/>
      <c r="T1084" s="56" t="s">
        <v>7008</v>
      </c>
      <c r="U1084" s="53" t="s">
        <v>322</v>
      </c>
    </row>
    <row r="1085">
      <c r="A1085" s="54" t="s">
        <v>7009</v>
      </c>
      <c r="B1085" s="50" t="s">
        <v>7010</v>
      </c>
      <c r="C1085" s="51" t="s">
        <v>687</v>
      </c>
      <c r="D1085" s="51"/>
      <c r="E1085" s="51"/>
      <c r="F1085" s="51"/>
      <c r="G1085" s="50" t="s">
        <v>7011</v>
      </c>
      <c r="H1085" s="52">
        <v>44683.368634259255</v>
      </c>
      <c r="I1085" s="50"/>
      <c r="J1085" s="50"/>
      <c r="K1085" s="50"/>
      <c r="L1085" s="50"/>
      <c r="M1085" s="50" t="s">
        <v>7012</v>
      </c>
      <c r="N1085" s="50"/>
      <c r="O1085" s="53" t="s">
        <v>60</v>
      </c>
      <c r="P1085" s="55" t="s">
        <v>354</v>
      </c>
      <c r="Q1085" s="50">
        <v>12.0</v>
      </c>
      <c r="R1085" s="50">
        <v>42.0</v>
      </c>
      <c r="S1085" s="50"/>
      <c r="T1085" s="56" t="s">
        <v>7013</v>
      </c>
      <c r="U1085" s="53" t="s">
        <v>691</v>
      </c>
    </row>
    <row r="1086">
      <c r="A1086" s="54" t="s">
        <v>7014</v>
      </c>
      <c r="B1086" s="50" t="s">
        <v>7015</v>
      </c>
      <c r="C1086" s="51" t="s">
        <v>367</v>
      </c>
      <c r="D1086" s="51"/>
      <c r="E1086" s="51"/>
      <c r="F1086" s="51"/>
      <c r="G1086" s="50" t="s">
        <v>7011</v>
      </c>
      <c r="H1086" s="52">
        <v>44683.368634259255</v>
      </c>
      <c r="I1086" s="50"/>
      <c r="J1086" s="50"/>
      <c r="K1086" s="50"/>
      <c r="L1086" s="50"/>
      <c r="M1086" s="50" t="s">
        <v>7016</v>
      </c>
      <c r="N1086" s="50"/>
      <c r="O1086" s="53" t="s">
        <v>70</v>
      </c>
      <c r="P1086" s="55" t="s">
        <v>7017</v>
      </c>
      <c r="Q1086" s="50">
        <v>388.0</v>
      </c>
      <c r="R1086" s="50">
        <v>223.0</v>
      </c>
      <c r="S1086" s="50" t="s">
        <v>7018</v>
      </c>
      <c r="T1086" s="56" t="s">
        <v>7019</v>
      </c>
      <c r="U1086" s="53" t="s">
        <v>370</v>
      </c>
    </row>
    <row r="1087">
      <c r="A1087" s="54" t="s">
        <v>7020</v>
      </c>
      <c r="B1087" s="50" t="s">
        <v>7021</v>
      </c>
      <c r="C1087" s="51" t="s">
        <v>7022</v>
      </c>
      <c r="D1087" s="51"/>
      <c r="E1087" s="51"/>
      <c r="F1087" s="51"/>
      <c r="G1087" s="50" t="s">
        <v>7023</v>
      </c>
      <c r="H1087" s="52">
        <v>44683.36857638889</v>
      </c>
      <c r="I1087" s="50"/>
      <c r="J1087" s="50"/>
      <c r="K1087" s="50" t="s">
        <v>7024</v>
      </c>
      <c r="L1087" s="50" t="s">
        <v>7025</v>
      </c>
      <c r="M1087" s="50" t="s">
        <v>7026</v>
      </c>
      <c r="N1087" s="50" t="s">
        <v>7027</v>
      </c>
      <c r="O1087" s="53" t="s">
        <v>92</v>
      </c>
      <c r="P1087" s="55" t="s">
        <v>354</v>
      </c>
      <c r="Q1087" s="50">
        <v>354.0</v>
      </c>
      <c r="R1087" s="50">
        <v>343.0</v>
      </c>
      <c r="S1087" s="50" t="s">
        <v>7028</v>
      </c>
      <c r="T1087" s="56" t="s">
        <v>7029</v>
      </c>
      <c r="U1087" s="53" t="s">
        <v>7030</v>
      </c>
    </row>
    <row r="1088">
      <c r="A1088" s="54" t="s">
        <v>7031</v>
      </c>
      <c r="B1088" s="50" t="s">
        <v>7032</v>
      </c>
      <c r="C1088" s="51" t="s">
        <v>367</v>
      </c>
      <c r="D1088" s="51"/>
      <c r="E1088" s="51"/>
      <c r="F1088" s="51"/>
      <c r="G1088" s="50" t="s">
        <v>7033</v>
      </c>
      <c r="H1088" s="52">
        <v>44683.36853009259</v>
      </c>
      <c r="I1088" s="50"/>
      <c r="J1088" s="50"/>
      <c r="K1088" s="50"/>
      <c r="L1088" s="50"/>
      <c r="M1088" s="50" t="s">
        <v>7034</v>
      </c>
      <c r="N1088" s="50"/>
      <c r="O1088" s="53" t="s">
        <v>92</v>
      </c>
      <c r="P1088" s="55" t="s">
        <v>354</v>
      </c>
      <c r="Q1088" s="50">
        <v>50.0</v>
      </c>
      <c r="R1088" s="50">
        <v>242.0</v>
      </c>
      <c r="S1088" s="50"/>
      <c r="T1088" s="56" t="s">
        <v>7035</v>
      </c>
      <c r="U1088" s="53" t="s">
        <v>370</v>
      </c>
    </row>
    <row r="1089">
      <c r="A1089" s="54" t="s">
        <v>7036</v>
      </c>
      <c r="B1089" s="50" t="s">
        <v>7037</v>
      </c>
      <c r="C1089" s="51" t="s">
        <v>367</v>
      </c>
      <c r="D1089" s="51"/>
      <c r="E1089" s="51"/>
      <c r="F1089" s="51"/>
      <c r="G1089" s="50" t="s">
        <v>7038</v>
      </c>
      <c r="H1089" s="52">
        <v>44683.368472222224</v>
      </c>
      <c r="I1089" s="50"/>
      <c r="J1089" s="50"/>
      <c r="K1089" s="50"/>
      <c r="L1089" s="50"/>
      <c r="M1089" s="50" t="s">
        <v>7039</v>
      </c>
      <c r="N1089" s="50"/>
      <c r="O1089" s="53" t="s">
        <v>70</v>
      </c>
      <c r="P1089" s="55" t="s">
        <v>354</v>
      </c>
      <c r="Q1089" s="50">
        <v>21.0</v>
      </c>
      <c r="R1089" s="50">
        <v>524.0</v>
      </c>
      <c r="S1089" s="50"/>
      <c r="T1089" s="56" t="s">
        <v>7040</v>
      </c>
      <c r="U1089" s="53" t="s">
        <v>370</v>
      </c>
    </row>
    <row r="1090">
      <c r="A1090" s="54" t="s">
        <v>7041</v>
      </c>
      <c r="B1090" s="50" t="s">
        <v>7042</v>
      </c>
      <c r="C1090" s="51" t="s">
        <v>367</v>
      </c>
      <c r="D1090" s="51"/>
      <c r="E1090" s="51"/>
      <c r="F1090" s="51"/>
      <c r="G1090" s="50" t="s">
        <v>7038</v>
      </c>
      <c r="H1090" s="52">
        <v>44683.368472222224</v>
      </c>
      <c r="I1090" s="50"/>
      <c r="J1090" s="50"/>
      <c r="K1090" s="50"/>
      <c r="L1090" s="50"/>
      <c r="M1090" s="50" t="s">
        <v>7043</v>
      </c>
      <c r="N1090" s="50"/>
      <c r="O1090" s="53" t="s">
        <v>92</v>
      </c>
      <c r="P1090" s="55" t="s">
        <v>7044</v>
      </c>
      <c r="Q1090" s="50">
        <v>821.0</v>
      </c>
      <c r="R1090" s="50">
        <v>1043.0</v>
      </c>
      <c r="S1090" s="50" t="s">
        <v>7045</v>
      </c>
      <c r="T1090" s="56" t="s">
        <v>7046</v>
      </c>
      <c r="U1090" s="53" t="s">
        <v>370</v>
      </c>
    </row>
    <row r="1091">
      <c r="A1091" s="54" t="s">
        <v>7047</v>
      </c>
      <c r="B1091" s="50" t="s">
        <v>7048</v>
      </c>
      <c r="C1091" s="51" t="s">
        <v>7049</v>
      </c>
      <c r="D1091" s="51"/>
      <c r="E1091" s="51"/>
      <c r="F1091" s="51"/>
      <c r="G1091" s="50" t="s">
        <v>7050</v>
      </c>
      <c r="H1091" s="52">
        <v>44683.36846064815</v>
      </c>
      <c r="I1091" s="50"/>
      <c r="J1091" s="50"/>
      <c r="K1091" s="50"/>
      <c r="L1091" s="50"/>
      <c r="M1091" s="50" t="s">
        <v>7051</v>
      </c>
      <c r="N1091" s="50"/>
      <c r="O1091" s="53" t="s">
        <v>60</v>
      </c>
      <c r="P1091" s="55" t="s">
        <v>7052</v>
      </c>
      <c r="Q1091" s="50">
        <v>7253.0</v>
      </c>
      <c r="R1091" s="50">
        <v>7263.0</v>
      </c>
      <c r="S1091" s="50" t="s">
        <v>1311</v>
      </c>
      <c r="T1091" s="56" t="s">
        <v>7053</v>
      </c>
      <c r="U1091" s="53" t="s">
        <v>7054</v>
      </c>
    </row>
    <row r="1092">
      <c r="A1092" s="54" t="s">
        <v>7055</v>
      </c>
      <c r="B1092" s="50" t="s">
        <v>7056</v>
      </c>
      <c r="C1092" s="51" t="s">
        <v>2869</v>
      </c>
      <c r="D1092" s="51"/>
      <c r="E1092" s="51"/>
      <c r="F1092" s="51"/>
      <c r="G1092" s="50" t="s">
        <v>7057</v>
      </c>
      <c r="H1092" s="52">
        <v>44683.36840277778</v>
      </c>
      <c r="I1092" s="50"/>
      <c r="J1092" s="50"/>
      <c r="K1092" s="50"/>
      <c r="L1092" s="50"/>
      <c r="M1092" s="50" t="s">
        <v>7058</v>
      </c>
      <c r="N1092" s="50"/>
      <c r="O1092" s="53" t="s">
        <v>60</v>
      </c>
      <c r="P1092" s="55" t="s">
        <v>7059</v>
      </c>
      <c r="Q1092" s="50">
        <v>1344.0</v>
      </c>
      <c r="R1092" s="50">
        <v>1239.0</v>
      </c>
      <c r="S1092" s="50" t="s">
        <v>7060</v>
      </c>
      <c r="T1092" s="56" t="s">
        <v>7061</v>
      </c>
      <c r="U1092" s="53" t="s">
        <v>2874</v>
      </c>
    </row>
    <row r="1093">
      <c r="A1093" s="54" t="s">
        <v>7062</v>
      </c>
      <c r="B1093" s="50" t="s">
        <v>7063</v>
      </c>
      <c r="C1093" s="51" t="s">
        <v>1772</v>
      </c>
      <c r="D1093" s="51"/>
      <c r="E1093" s="51"/>
      <c r="F1093" s="51"/>
      <c r="G1093" s="50" t="s">
        <v>7064</v>
      </c>
      <c r="H1093" s="52">
        <v>44683.368252314816</v>
      </c>
      <c r="I1093" s="50"/>
      <c r="J1093" s="50"/>
      <c r="K1093" s="50"/>
      <c r="L1093" s="50"/>
      <c r="M1093" s="50" t="s">
        <v>7065</v>
      </c>
      <c r="N1093" s="50"/>
      <c r="O1093" s="53" t="s">
        <v>70</v>
      </c>
      <c r="P1093" s="55" t="s">
        <v>7066</v>
      </c>
      <c r="Q1093" s="50">
        <v>1764.0</v>
      </c>
      <c r="R1093" s="50">
        <v>2649.0</v>
      </c>
      <c r="S1093" s="50"/>
      <c r="T1093" s="56" t="s">
        <v>7067</v>
      </c>
      <c r="U1093" s="53" t="s">
        <v>1777</v>
      </c>
    </row>
    <row r="1094">
      <c r="A1094" s="54" t="s">
        <v>7068</v>
      </c>
      <c r="B1094" s="50" t="s">
        <v>7069</v>
      </c>
      <c r="C1094" s="51" t="s">
        <v>316</v>
      </c>
      <c r="D1094" s="51"/>
      <c r="E1094" s="51"/>
      <c r="F1094" s="51"/>
      <c r="G1094" s="50" t="s">
        <v>7070</v>
      </c>
      <c r="H1094" s="52">
        <v>44683.368206018524</v>
      </c>
      <c r="I1094" s="50"/>
      <c r="J1094" s="50"/>
      <c r="K1094" s="50"/>
      <c r="L1094" s="50"/>
      <c r="M1094" s="50" t="s">
        <v>7071</v>
      </c>
      <c r="N1094" s="50"/>
      <c r="O1094" s="53" t="s">
        <v>92</v>
      </c>
      <c r="P1094" s="55" t="s">
        <v>7072</v>
      </c>
      <c r="Q1094" s="50">
        <v>344.0</v>
      </c>
      <c r="R1094" s="50">
        <v>98.0</v>
      </c>
      <c r="S1094" s="50" t="s">
        <v>1153</v>
      </c>
      <c r="T1094" s="56" t="s">
        <v>7073</v>
      </c>
      <c r="U1094" s="53" t="s">
        <v>322</v>
      </c>
    </row>
    <row r="1095">
      <c r="A1095" s="54" t="s">
        <v>7074</v>
      </c>
      <c r="B1095" s="50" t="s">
        <v>7075</v>
      </c>
      <c r="C1095" s="51" t="s">
        <v>363</v>
      </c>
      <c r="D1095" s="51"/>
      <c r="E1095" s="51"/>
      <c r="F1095" s="51"/>
      <c r="G1095" s="50" t="s">
        <v>7076</v>
      </c>
      <c r="H1095" s="52">
        <v>44683.3680787037</v>
      </c>
      <c r="I1095" s="50"/>
      <c r="J1095" s="50"/>
      <c r="K1095" s="50"/>
      <c r="L1095" s="50"/>
      <c r="M1095" s="50" t="s">
        <v>7077</v>
      </c>
      <c r="N1095" s="50"/>
      <c r="O1095" s="53" t="s">
        <v>92</v>
      </c>
      <c r="P1095" s="55" t="s">
        <v>354</v>
      </c>
      <c r="Q1095" s="50">
        <v>111.0</v>
      </c>
      <c r="R1095" s="50">
        <v>385.0</v>
      </c>
      <c r="S1095" s="50"/>
      <c r="T1095" s="56" t="s">
        <v>7078</v>
      </c>
      <c r="U1095" s="53" t="s">
        <v>332</v>
      </c>
    </row>
    <row r="1096">
      <c r="A1096" s="54" t="s">
        <v>7079</v>
      </c>
      <c r="B1096" s="50" t="s">
        <v>7069</v>
      </c>
      <c r="C1096" s="51" t="s">
        <v>329</v>
      </c>
      <c r="D1096" s="51"/>
      <c r="E1096" s="51"/>
      <c r="F1096" s="51"/>
      <c r="G1096" s="50" t="s">
        <v>7080</v>
      </c>
      <c r="H1096" s="52">
        <v>44683.36803240741</v>
      </c>
      <c r="I1096" s="50"/>
      <c r="J1096" s="50"/>
      <c r="K1096" s="50"/>
      <c r="L1096" s="50"/>
      <c r="M1096" s="50" t="s">
        <v>7071</v>
      </c>
      <c r="N1096" s="50"/>
      <c r="O1096" s="53" t="s">
        <v>92</v>
      </c>
      <c r="P1096" s="55" t="s">
        <v>7072</v>
      </c>
      <c r="Q1096" s="50">
        <v>344.0</v>
      </c>
      <c r="R1096" s="50">
        <v>98.0</v>
      </c>
      <c r="S1096" s="50" t="s">
        <v>1153</v>
      </c>
      <c r="T1096" s="56" t="s">
        <v>7081</v>
      </c>
      <c r="U1096" s="53" t="s">
        <v>332</v>
      </c>
    </row>
    <row r="1097">
      <c r="A1097" s="54" t="s">
        <v>7082</v>
      </c>
      <c r="B1097" s="50" t="s">
        <v>7083</v>
      </c>
      <c r="C1097" s="51" t="s">
        <v>367</v>
      </c>
      <c r="D1097" s="51"/>
      <c r="E1097" s="51"/>
      <c r="F1097" s="51"/>
      <c r="G1097" s="50" t="s">
        <v>7084</v>
      </c>
      <c r="H1097" s="52">
        <v>44683.36778935185</v>
      </c>
      <c r="I1097" s="50"/>
      <c r="J1097" s="50"/>
      <c r="K1097" s="50"/>
      <c r="L1097" s="50"/>
      <c r="M1097" s="50" t="s">
        <v>7085</v>
      </c>
      <c r="N1097" s="50"/>
      <c r="O1097" s="53" t="s">
        <v>60</v>
      </c>
      <c r="P1097" s="55" t="s">
        <v>7086</v>
      </c>
      <c r="Q1097" s="50">
        <v>2291.0</v>
      </c>
      <c r="R1097" s="50">
        <v>3556.0</v>
      </c>
      <c r="S1097" s="50" t="s">
        <v>129</v>
      </c>
      <c r="T1097" s="56" t="s">
        <v>7087</v>
      </c>
      <c r="U1097" s="53" t="s">
        <v>370</v>
      </c>
    </row>
    <row r="1098">
      <c r="A1098" s="54" t="s">
        <v>7088</v>
      </c>
      <c r="B1098" s="50" t="s">
        <v>7089</v>
      </c>
      <c r="C1098" s="51" t="s">
        <v>367</v>
      </c>
      <c r="D1098" s="51"/>
      <c r="E1098" s="51"/>
      <c r="F1098" s="51"/>
      <c r="G1098" s="50" t="s">
        <v>7090</v>
      </c>
      <c r="H1098" s="52">
        <v>44683.367731481485</v>
      </c>
      <c r="I1098" s="50"/>
      <c r="J1098" s="50"/>
      <c r="K1098" s="50"/>
      <c r="L1098" s="50"/>
      <c r="M1098" s="50" t="s">
        <v>7091</v>
      </c>
      <c r="N1098" s="50"/>
      <c r="O1098" s="53" t="s">
        <v>92</v>
      </c>
      <c r="P1098" s="55" t="s">
        <v>7092</v>
      </c>
      <c r="Q1098" s="50">
        <v>526.0</v>
      </c>
      <c r="R1098" s="50">
        <v>982.0</v>
      </c>
      <c r="S1098" s="50" t="s">
        <v>7093</v>
      </c>
      <c r="T1098" s="56" t="s">
        <v>7094</v>
      </c>
      <c r="U1098" s="53" t="s">
        <v>370</v>
      </c>
    </row>
    <row r="1099">
      <c r="A1099" s="54" t="s">
        <v>7095</v>
      </c>
      <c r="B1099" s="50" t="s">
        <v>7096</v>
      </c>
      <c r="C1099" s="51" t="s">
        <v>5961</v>
      </c>
      <c r="D1099" s="51"/>
      <c r="E1099" s="51"/>
      <c r="F1099" s="51"/>
      <c r="G1099" s="50" t="s">
        <v>7097</v>
      </c>
      <c r="H1099" s="52">
        <v>44683.36755787037</v>
      </c>
      <c r="I1099" s="50"/>
      <c r="J1099" s="50"/>
      <c r="K1099" s="50"/>
      <c r="L1099" s="50"/>
      <c r="M1099" s="50" t="s">
        <v>7098</v>
      </c>
      <c r="N1099" s="50"/>
      <c r="O1099" s="53" t="s">
        <v>60</v>
      </c>
      <c r="P1099" s="55" t="s">
        <v>7099</v>
      </c>
      <c r="Q1099" s="50">
        <v>7375.0</v>
      </c>
      <c r="R1099" s="50">
        <v>7617.0</v>
      </c>
      <c r="S1099" s="50" t="s">
        <v>1311</v>
      </c>
      <c r="T1099" s="56" t="s">
        <v>7100</v>
      </c>
      <c r="U1099" s="53" t="s">
        <v>5967</v>
      </c>
    </row>
    <row r="1100">
      <c r="A1100" s="54" t="s">
        <v>7101</v>
      </c>
      <c r="B1100" s="50" t="s">
        <v>7102</v>
      </c>
      <c r="C1100" s="51" t="s">
        <v>7103</v>
      </c>
      <c r="D1100" s="51"/>
      <c r="E1100" s="51"/>
      <c r="F1100" s="51"/>
      <c r="G1100" s="50" t="s">
        <v>7104</v>
      </c>
      <c r="H1100" s="52">
        <v>44683.36752314815</v>
      </c>
      <c r="I1100" s="50"/>
      <c r="J1100" s="50"/>
      <c r="K1100" s="50"/>
      <c r="L1100" s="50"/>
      <c r="M1100" s="50" t="s">
        <v>7105</v>
      </c>
      <c r="N1100" s="50"/>
      <c r="O1100" s="53" t="s">
        <v>92</v>
      </c>
      <c r="P1100" s="55" t="s">
        <v>7106</v>
      </c>
      <c r="Q1100" s="50">
        <v>162.0</v>
      </c>
      <c r="R1100" s="50">
        <v>201.0</v>
      </c>
      <c r="S1100" s="50" t="s">
        <v>7107</v>
      </c>
      <c r="T1100" s="56" t="s">
        <v>7108</v>
      </c>
      <c r="U1100" s="53" t="s">
        <v>7109</v>
      </c>
    </row>
    <row r="1101">
      <c r="A1101" s="54" t="s">
        <v>7110</v>
      </c>
      <c r="B1101" s="50" t="s">
        <v>7111</v>
      </c>
      <c r="C1101" s="51" t="s">
        <v>1772</v>
      </c>
      <c r="D1101" s="51"/>
      <c r="E1101" s="51"/>
      <c r="F1101" s="51"/>
      <c r="G1101" s="50" t="s">
        <v>7112</v>
      </c>
      <c r="H1101" s="52">
        <v>44683.36751157408</v>
      </c>
      <c r="I1101" s="50"/>
      <c r="J1101" s="50"/>
      <c r="K1101" s="50"/>
      <c r="L1101" s="50"/>
      <c r="M1101" s="50" t="s">
        <v>7113</v>
      </c>
      <c r="N1101" s="50"/>
      <c r="O1101" s="53" t="s">
        <v>60</v>
      </c>
      <c r="P1101" s="55" t="s">
        <v>7114</v>
      </c>
      <c r="Q1101" s="50">
        <v>97.0</v>
      </c>
      <c r="R1101" s="50">
        <v>166.0</v>
      </c>
      <c r="S1101" s="50" t="s">
        <v>379</v>
      </c>
      <c r="T1101" s="56" t="s">
        <v>7115</v>
      </c>
      <c r="U1101" s="53" t="s">
        <v>1777</v>
      </c>
    </row>
    <row r="1102">
      <c r="A1102" s="54" t="s">
        <v>7116</v>
      </c>
      <c r="B1102" s="50" t="s">
        <v>3675</v>
      </c>
      <c r="C1102" s="51" t="s">
        <v>367</v>
      </c>
      <c r="D1102" s="51"/>
      <c r="E1102" s="51"/>
      <c r="F1102" s="51"/>
      <c r="G1102" s="50" t="s">
        <v>7117</v>
      </c>
      <c r="H1102" s="52">
        <v>44683.367476851854</v>
      </c>
      <c r="I1102" s="50"/>
      <c r="J1102" s="50"/>
      <c r="K1102" s="50"/>
      <c r="L1102" s="50"/>
      <c r="M1102" s="50" t="s">
        <v>3677</v>
      </c>
      <c r="N1102" s="50"/>
      <c r="O1102" s="53" t="s">
        <v>60</v>
      </c>
      <c r="P1102" s="55" t="s">
        <v>3678</v>
      </c>
      <c r="Q1102" s="50">
        <v>131.0</v>
      </c>
      <c r="R1102" s="50">
        <v>54.0</v>
      </c>
      <c r="S1102" s="50"/>
      <c r="T1102" s="56" t="s">
        <v>7118</v>
      </c>
      <c r="U1102" s="53" t="s">
        <v>370</v>
      </c>
    </row>
    <row r="1103">
      <c r="A1103" s="54" t="s">
        <v>7119</v>
      </c>
      <c r="B1103" s="50" t="s">
        <v>7120</v>
      </c>
      <c r="C1103" s="51" t="s">
        <v>367</v>
      </c>
      <c r="D1103" s="51"/>
      <c r="E1103" s="51"/>
      <c r="F1103" s="51"/>
      <c r="G1103" s="50" t="s">
        <v>7121</v>
      </c>
      <c r="H1103" s="52">
        <v>44683.367314814815</v>
      </c>
      <c r="I1103" s="50"/>
      <c r="J1103" s="50"/>
      <c r="K1103" s="50"/>
      <c r="L1103" s="50"/>
      <c r="M1103" s="50" t="s">
        <v>7122</v>
      </c>
      <c r="N1103" s="50"/>
      <c r="O1103" s="53" t="s">
        <v>92</v>
      </c>
      <c r="P1103" s="55" t="s">
        <v>7123</v>
      </c>
      <c r="Q1103" s="50">
        <v>2461.0</v>
      </c>
      <c r="R1103" s="50">
        <v>3797.0</v>
      </c>
      <c r="S1103" s="50" t="s">
        <v>129</v>
      </c>
      <c r="T1103" s="56" t="s">
        <v>7124</v>
      </c>
      <c r="U1103" s="53" t="s">
        <v>370</v>
      </c>
    </row>
    <row r="1104">
      <c r="A1104" s="54" t="s">
        <v>7125</v>
      </c>
      <c r="B1104" s="50" t="s">
        <v>7126</v>
      </c>
      <c r="C1104" s="51" t="s">
        <v>5961</v>
      </c>
      <c r="D1104" s="51"/>
      <c r="E1104" s="51"/>
      <c r="F1104" s="51"/>
      <c r="G1104" s="50" t="s">
        <v>7127</v>
      </c>
      <c r="H1104" s="52">
        <v>44683.367256944446</v>
      </c>
      <c r="I1104" s="50"/>
      <c r="J1104" s="50"/>
      <c r="K1104" s="50"/>
      <c r="L1104" s="50"/>
      <c r="M1104" s="50" t="s">
        <v>7128</v>
      </c>
      <c r="N1104" s="50"/>
      <c r="O1104" s="53" t="s">
        <v>217</v>
      </c>
      <c r="P1104" s="55" t="s">
        <v>7129</v>
      </c>
      <c r="Q1104" s="50">
        <v>561.0</v>
      </c>
      <c r="R1104" s="50">
        <v>1665.0</v>
      </c>
      <c r="S1104" s="50"/>
      <c r="T1104" s="56" t="s">
        <v>7130</v>
      </c>
      <c r="U1104" s="53" t="s">
        <v>5967</v>
      </c>
    </row>
    <row r="1105">
      <c r="A1105" s="54" t="s">
        <v>7131</v>
      </c>
      <c r="B1105" s="50" t="s">
        <v>7132</v>
      </c>
      <c r="C1105" s="51" t="s">
        <v>7133</v>
      </c>
      <c r="D1105" s="51"/>
      <c r="E1105" s="51"/>
      <c r="F1105" s="51"/>
      <c r="G1105" s="50" t="s">
        <v>7134</v>
      </c>
      <c r="H1105" s="52">
        <v>44683.3668287037</v>
      </c>
      <c r="I1105" s="50"/>
      <c r="J1105" s="50"/>
      <c r="K1105" s="50"/>
      <c r="L1105" s="50"/>
      <c r="M1105" s="50" t="s">
        <v>7135</v>
      </c>
      <c r="N1105" s="50"/>
      <c r="O1105" s="53" t="s">
        <v>70</v>
      </c>
      <c r="P1105" s="55" t="s">
        <v>7136</v>
      </c>
      <c r="Q1105" s="50">
        <v>818.0</v>
      </c>
      <c r="R1105" s="50">
        <v>1157.0</v>
      </c>
      <c r="S1105" s="50" t="s">
        <v>7137</v>
      </c>
      <c r="T1105" s="56" t="s">
        <v>7138</v>
      </c>
      <c r="U1105" s="53" t="s">
        <v>7139</v>
      </c>
    </row>
    <row r="1106">
      <c r="A1106" s="54" t="s">
        <v>7140</v>
      </c>
      <c r="B1106" s="50" t="s">
        <v>7141</v>
      </c>
      <c r="C1106" s="51" t="s">
        <v>7142</v>
      </c>
      <c r="D1106" s="51"/>
      <c r="E1106" s="51"/>
      <c r="F1106" s="51"/>
      <c r="G1106" s="50" t="s">
        <v>7143</v>
      </c>
      <c r="H1106" s="52">
        <v>44683.36680555556</v>
      </c>
      <c r="I1106" s="50"/>
      <c r="J1106" s="50"/>
      <c r="K1106" s="50"/>
      <c r="L1106" s="50"/>
      <c r="M1106" s="50" t="s">
        <v>7144</v>
      </c>
      <c r="N1106" s="50"/>
      <c r="O1106" s="53" t="s">
        <v>92</v>
      </c>
      <c r="P1106" s="55" t="s">
        <v>7145</v>
      </c>
      <c r="Q1106" s="50">
        <v>507.0</v>
      </c>
      <c r="R1106" s="50">
        <v>1560.0</v>
      </c>
      <c r="S1106" s="50" t="s">
        <v>7146</v>
      </c>
      <c r="T1106" s="56" t="s">
        <v>7147</v>
      </c>
      <c r="U1106" s="53" t="s">
        <v>7148</v>
      </c>
    </row>
    <row r="1107">
      <c r="A1107" s="54" t="s">
        <v>7149</v>
      </c>
      <c r="B1107" s="50" t="s">
        <v>7150</v>
      </c>
      <c r="C1107" s="51" t="s">
        <v>2869</v>
      </c>
      <c r="D1107" s="51"/>
      <c r="E1107" s="51"/>
      <c r="F1107" s="51"/>
      <c r="G1107" s="50" t="s">
        <v>7151</v>
      </c>
      <c r="H1107" s="52">
        <v>44683.366689814815</v>
      </c>
      <c r="I1107" s="50"/>
      <c r="J1107" s="50"/>
      <c r="K1107" s="50"/>
      <c r="L1107" s="50"/>
      <c r="M1107" s="50" t="s">
        <v>7152</v>
      </c>
      <c r="N1107" s="50"/>
      <c r="O1107" s="53" t="s">
        <v>70</v>
      </c>
      <c r="P1107" s="55" t="s">
        <v>7153</v>
      </c>
      <c r="Q1107" s="50">
        <v>7289.0</v>
      </c>
      <c r="R1107" s="50">
        <v>3564.0</v>
      </c>
      <c r="S1107" s="50" t="s">
        <v>7154</v>
      </c>
      <c r="T1107" s="56" t="s">
        <v>7155</v>
      </c>
      <c r="U1107" s="53" t="s">
        <v>2874</v>
      </c>
    </row>
    <row r="1108">
      <c r="A1108" s="54" t="s">
        <v>7156</v>
      </c>
      <c r="B1108" s="50" t="s">
        <v>7157</v>
      </c>
      <c r="C1108" s="51" t="s">
        <v>367</v>
      </c>
      <c r="D1108" s="51"/>
      <c r="E1108" s="51"/>
      <c r="F1108" s="51"/>
      <c r="G1108" s="50" t="s">
        <v>7158</v>
      </c>
      <c r="H1108" s="52">
        <v>44683.36667824074</v>
      </c>
      <c r="I1108" s="50"/>
      <c r="J1108" s="50"/>
      <c r="K1108" s="50"/>
      <c r="L1108" s="50"/>
      <c r="M1108" s="50" t="s">
        <v>7159</v>
      </c>
      <c r="N1108" s="50"/>
      <c r="O1108" s="53" t="s">
        <v>92</v>
      </c>
      <c r="P1108" s="55" t="s">
        <v>7160</v>
      </c>
      <c r="Q1108" s="50">
        <v>1660.0</v>
      </c>
      <c r="R1108" s="50">
        <v>2164.0</v>
      </c>
      <c r="S1108" s="50" t="s">
        <v>1139</v>
      </c>
      <c r="T1108" s="56" t="s">
        <v>7161</v>
      </c>
      <c r="U1108" s="53" t="s">
        <v>370</v>
      </c>
    </row>
    <row r="1109">
      <c r="A1109" s="54" t="s">
        <v>7162</v>
      </c>
      <c r="B1109" s="50" t="s">
        <v>7163</v>
      </c>
      <c r="C1109" s="51" t="s">
        <v>5661</v>
      </c>
      <c r="D1109" s="51"/>
      <c r="E1109" s="51"/>
      <c r="F1109" s="51"/>
      <c r="G1109" s="50" t="s">
        <v>7164</v>
      </c>
      <c r="H1109" s="52">
        <v>44683.366631944446</v>
      </c>
      <c r="I1109" s="50"/>
      <c r="J1109" s="50"/>
      <c r="K1109" s="50"/>
      <c r="L1109" s="50"/>
      <c r="M1109" s="50" t="s">
        <v>7165</v>
      </c>
      <c r="N1109" s="50"/>
      <c r="O1109" s="53" t="s">
        <v>60</v>
      </c>
      <c r="P1109" s="55" t="s">
        <v>7166</v>
      </c>
      <c r="Q1109" s="50">
        <v>28496.0</v>
      </c>
      <c r="R1109" s="50">
        <v>4869.0</v>
      </c>
      <c r="S1109" s="50" t="s">
        <v>1793</v>
      </c>
      <c r="T1109" s="56" t="s">
        <v>7167</v>
      </c>
      <c r="U1109" s="53" t="s">
        <v>5667</v>
      </c>
    </row>
    <row r="1110">
      <c r="A1110" s="54" t="s">
        <v>7168</v>
      </c>
      <c r="B1110" s="50" t="s">
        <v>7169</v>
      </c>
      <c r="C1110" s="51" t="s">
        <v>6828</v>
      </c>
      <c r="D1110" s="51"/>
      <c r="E1110" s="51"/>
      <c r="F1110" s="51"/>
      <c r="G1110" s="50" t="s">
        <v>7164</v>
      </c>
      <c r="H1110" s="52">
        <v>44683.366631944446</v>
      </c>
      <c r="I1110" s="50"/>
      <c r="J1110" s="50"/>
      <c r="K1110" s="50"/>
      <c r="L1110" s="50"/>
      <c r="M1110" s="50" t="s">
        <v>7170</v>
      </c>
      <c r="N1110" s="50"/>
      <c r="O1110" s="53" t="s">
        <v>70</v>
      </c>
      <c r="P1110" s="55" t="s">
        <v>7171</v>
      </c>
      <c r="Q1110" s="50">
        <v>4125.0</v>
      </c>
      <c r="R1110" s="50">
        <v>4283.0</v>
      </c>
      <c r="S1110" s="50" t="s">
        <v>7172</v>
      </c>
      <c r="T1110" s="56" t="s">
        <v>7173</v>
      </c>
      <c r="U1110" s="53" t="s">
        <v>6833</v>
      </c>
    </row>
    <row r="1111">
      <c r="A1111" s="54" t="s">
        <v>7174</v>
      </c>
      <c r="B1111" s="50" t="s">
        <v>7175</v>
      </c>
      <c r="C1111" s="51" t="s">
        <v>363</v>
      </c>
      <c r="D1111" s="51"/>
      <c r="E1111" s="51"/>
      <c r="F1111" s="51"/>
      <c r="G1111" s="50" t="s">
        <v>7176</v>
      </c>
      <c r="H1111" s="52">
        <v>44683.36640046297</v>
      </c>
      <c r="I1111" s="50"/>
      <c r="J1111" s="50"/>
      <c r="K1111" s="50"/>
      <c r="L1111" s="50"/>
      <c r="M1111" s="50" t="s">
        <v>7177</v>
      </c>
      <c r="N1111" s="50"/>
      <c r="O1111" s="53" t="s">
        <v>70</v>
      </c>
      <c r="P1111" s="55" t="s">
        <v>7178</v>
      </c>
      <c r="Q1111" s="50">
        <v>5012.0</v>
      </c>
      <c r="R1111" s="50">
        <v>5512.0</v>
      </c>
      <c r="S1111" s="50" t="s">
        <v>7179</v>
      </c>
      <c r="T1111" s="56" t="s">
        <v>7180</v>
      </c>
      <c r="U1111" s="53" t="s">
        <v>332</v>
      </c>
    </row>
    <row r="1112">
      <c r="A1112" s="54" t="s">
        <v>7181</v>
      </c>
      <c r="B1112" s="50" t="s">
        <v>7182</v>
      </c>
      <c r="C1112" s="51" t="s">
        <v>1307</v>
      </c>
      <c r="D1112" s="51"/>
      <c r="E1112" s="51"/>
      <c r="F1112" s="51"/>
      <c r="G1112" s="50" t="s">
        <v>7183</v>
      </c>
      <c r="H1112" s="52">
        <v>44683.36628472222</v>
      </c>
      <c r="I1112" s="50"/>
      <c r="J1112" s="50"/>
      <c r="K1112" s="50"/>
      <c r="L1112" s="50"/>
      <c r="M1112" s="50" t="s">
        <v>7184</v>
      </c>
      <c r="N1112" s="50"/>
      <c r="O1112" s="53" t="s">
        <v>60</v>
      </c>
      <c r="P1112" s="55" t="s">
        <v>354</v>
      </c>
      <c r="Q1112" s="50">
        <v>2095.0</v>
      </c>
      <c r="R1112" s="50">
        <v>3958.0</v>
      </c>
      <c r="S1112" s="50"/>
      <c r="T1112" s="56" t="s">
        <v>7185</v>
      </c>
      <c r="U1112" s="53" t="s">
        <v>1313</v>
      </c>
    </row>
    <row r="1113">
      <c r="A1113" s="54" t="s">
        <v>7186</v>
      </c>
      <c r="B1113" s="50" t="s">
        <v>7187</v>
      </c>
      <c r="C1113" s="51" t="s">
        <v>2869</v>
      </c>
      <c r="D1113" s="51"/>
      <c r="E1113" s="51"/>
      <c r="F1113" s="51"/>
      <c r="G1113" s="50" t="s">
        <v>7188</v>
      </c>
      <c r="H1113" s="52">
        <v>44683.36625</v>
      </c>
      <c r="I1113" s="50"/>
      <c r="J1113" s="50"/>
      <c r="K1113" s="50"/>
      <c r="L1113" s="50"/>
      <c r="M1113" s="50" t="s">
        <v>7189</v>
      </c>
      <c r="N1113" s="50"/>
      <c r="O1113" s="53" t="s">
        <v>70</v>
      </c>
      <c r="P1113" s="55" t="s">
        <v>7190</v>
      </c>
      <c r="Q1113" s="50">
        <v>548.0</v>
      </c>
      <c r="R1113" s="50">
        <v>380.0</v>
      </c>
      <c r="S1113" s="50"/>
      <c r="T1113" s="56" t="s">
        <v>7191</v>
      </c>
      <c r="U1113" s="53" t="s">
        <v>2874</v>
      </c>
    </row>
    <row r="1114">
      <c r="A1114" s="54" t="s">
        <v>7192</v>
      </c>
      <c r="B1114" s="50" t="s">
        <v>7193</v>
      </c>
      <c r="C1114" s="51" t="s">
        <v>7194</v>
      </c>
      <c r="D1114" s="51"/>
      <c r="E1114" s="51"/>
      <c r="F1114" s="51"/>
      <c r="G1114" s="50" t="s">
        <v>7195</v>
      </c>
      <c r="H1114" s="52">
        <v>44683.36609953704</v>
      </c>
      <c r="I1114" s="50"/>
      <c r="J1114" s="50"/>
      <c r="K1114" s="50"/>
      <c r="L1114" s="50"/>
      <c r="M1114" s="50" t="s">
        <v>7196</v>
      </c>
      <c r="N1114" s="50"/>
      <c r="O1114" s="53" t="s">
        <v>60</v>
      </c>
      <c r="P1114" s="55" t="s">
        <v>7197</v>
      </c>
      <c r="Q1114" s="50">
        <v>14319.0</v>
      </c>
      <c r="R1114" s="50">
        <v>13943.0</v>
      </c>
      <c r="S1114" s="50" t="s">
        <v>7198</v>
      </c>
      <c r="T1114" s="56" t="s">
        <v>7199</v>
      </c>
      <c r="U1114" s="53" t="s">
        <v>7200</v>
      </c>
    </row>
    <row r="1115">
      <c r="A1115" s="54" t="s">
        <v>7201</v>
      </c>
      <c r="B1115" s="50" t="s">
        <v>7202</v>
      </c>
      <c r="C1115" s="51" t="s">
        <v>367</v>
      </c>
      <c r="D1115" s="51"/>
      <c r="E1115" s="51"/>
      <c r="F1115" s="51"/>
      <c r="G1115" s="50" t="s">
        <v>7203</v>
      </c>
      <c r="H1115" s="52">
        <v>44683.366006944445</v>
      </c>
      <c r="I1115" s="50"/>
      <c r="J1115" s="50"/>
      <c r="K1115" s="50"/>
      <c r="L1115" s="50"/>
      <c r="M1115" s="50" t="s">
        <v>7204</v>
      </c>
      <c r="N1115" s="50"/>
      <c r="O1115" s="53" t="s">
        <v>92</v>
      </c>
      <c r="P1115" s="55" t="s">
        <v>7205</v>
      </c>
      <c r="Q1115" s="50">
        <v>2345.0</v>
      </c>
      <c r="R1115" s="50">
        <v>4023.0</v>
      </c>
      <c r="S1115" s="50" t="s">
        <v>7206</v>
      </c>
      <c r="T1115" s="56" t="s">
        <v>7207</v>
      </c>
      <c r="U1115" s="53" t="s">
        <v>370</v>
      </c>
    </row>
    <row r="1116">
      <c r="A1116" s="54" t="s">
        <v>7208</v>
      </c>
      <c r="B1116" s="50" t="s">
        <v>7209</v>
      </c>
      <c r="C1116" s="51" t="s">
        <v>2869</v>
      </c>
      <c r="D1116" s="51"/>
      <c r="E1116" s="51"/>
      <c r="F1116" s="51"/>
      <c r="G1116" s="50" t="s">
        <v>7210</v>
      </c>
      <c r="H1116" s="52">
        <v>44683.36597222222</v>
      </c>
      <c r="I1116" s="50"/>
      <c r="J1116" s="50"/>
      <c r="K1116" s="50"/>
      <c r="L1116" s="50"/>
      <c r="M1116" s="50" t="s">
        <v>7211</v>
      </c>
      <c r="N1116" s="50"/>
      <c r="O1116" s="53" t="s">
        <v>92</v>
      </c>
      <c r="P1116" s="55" t="s">
        <v>7212</v>
      </c>
      <c r="Q1116" s="50">
        <v>2945.0</v>
      </c>
      <c r="R1116" s="50">
        <v>1674.0</v>
      </c>
      <c r="S1116" s="50" t="s">
        <v>7213</v>
      </c>
      <c r="T1116" s="56" t="s">
        <v>7214</v>
      </c>
      <c r="U1116" s="53" t="s">
        <v>2874</v>
      </c>
    </row>
    <row r="1117">
      <c r="A1117" s="54" t="s">
        <v>7215</v>
      </c>
      <c r="B1117" s="50" t="s">
        <v>7216</v>
      </c>
      <c r="C1117" s="51" t="s">
        <v>687</v>
      </c>
      <c r="D1117" s="51"/>
      <c r="E1117" s="51"/>
      <c r="F1117" s="51"/>
      <c r="G1117" s="50" t="s">
        <v>7217</v>
      </c>
      <c r="H1117" s="52">
        <v>44683.36559027778</v>
      </c>
      <c r="I1117" s="50"/>
      <c r="J1117" s="50"/>
      <c r="K1117" s="50"/>
      <c r="L1117" s="50"/>
      <c r="M1117" s="50" t="s">
        <v>7218</v>
      </c>
      <c r="N1117" s="50"/>
      <c r="O1117" s="53" t="s">
        <v>60</v>
      </c>
      <c r="P1117" s="55" t="s">
        <v>7219</v>
      </c>
      <c r="Q1117" s="50">
        <v>22580.0</v>
      </c>
      <c r="R1117" s="50">
        <v>11738.0</v>
      </c>
      <c r="S1117" s="50" t="s">
        <v>7220</v>
      </c>
      <c r="T1117" s="56" t="s">
        <v>7221</v>
      </c>
      <c r="U1117" s="53" t="s">
        <v>691</v>
      </c>
    </row>
    <row r="1118">
      <c r="A1118" s="54" t="s">
        <v>7222</v>
      </c>
      <c r="B1118" s="50" t="s">
        <v>7223</v>
      </c>
      <c r="C1118" s="51" t="s">
        <v>367</v>
      </c>
      <c r="D1118" s="51"/>
      <c r="E1118" s="51"/>
      <c r="F1118" s="51"/>
      <c r="G1118" s="50" t="s">
        <v>7224</v>
      </c>
      <c r="H1118" s="52">
        <v>44683.36530092593</v>
      </c>
      <c r="I1118" s="50"/>
      <c r="J1118" s="50"/>
      <c r="K1118" s="50"/>
      <c r="L1118" s="50"/>
      <c r="M1118" s="50" t="s">
        <v>7225</v>
      </c>
      <c r="N1118" s="50"/>
      <c r="O1118" s="53" t="s">
        <v>92</v>
      </c>
      <c r="P1118" s="55" t="s">
        <v>7226</v>
      </c>
      <c r="Q1118" s="50">
        <v>9754.0</v>
      </c>
      <c r="R1118" s="50">
        <v>2539.0</v>
      </c>
      <c r="S1118" s="50" t="s">
        <v>7227</v>
      </c>
      <c r="T1118" s="56" t="s">
        <v>7228</v>
      </c>
      <c r="U1118" s="53" t="s">
        <v>370</v>
      </c>
    </row>
    <row r="1119">
      <c r="A1119" s="54" t="s">
        <v>7229</v>
      </c>
      <c r="B1119" s="50" t="s">
        <v>7230</v>
      </c>
      <c r="C1119" s="51" t="s">
        <v>316</v>
      </c>
      <c r="D1119" s="51"/>
      <c r="E1119" s="51"/>
      <c r="F1119" s="51"/>
      <c r="G1119" s="50" t="s">
        <v>7231</v>
      </c>
      <c r="H1119" s="52">
        <v>44683.365266203706</v>
      </c>
      <c r="I1119" s="50"/>
      <c r="J1119" s="50"/>
      <c r="K1119" s="50"/>
      <c r="L1119" s="50"/>
      <c r="M1119" s="50" t="s">
        <v>7232</v>
      </c>
      <c r="N1119" s="50"/>
      <c r="O1119" s="53" t="s">
        <v>92</v>
      </c>
      <c r="P1119" s="55" t="s">
        <v>7233</v>
      </c>
      <c r="Q1119" s="50">
        <v>1616.0</v>
      </c>
      <c r="R1119" s="50">
        <v>1554.0</v>
      </c>
      <c r="S1119" s="50"/>
      <c r="T1119" s="56" t="s">
        <v>7234</v>
      </c>
      <c r="U1119" s="53" t="s">
        <v>322</v>
      </c>
    </row>
    <row r="1120">
      <c r="A1120" s="54" t="s">
        <v>7235</v>
      </c>
      <c r="B1120" s="50" t="s">
        <v>7236</v>
      </c>
      <c r="C1120" s="51" t="s">
        <v>367</v>
      </c>
      <c r="D1120" s="51"/>
      <c r="E1120" s="51"/>
      <c r="F1120" s="51"/>
      <c r="G1120" s="50" t="s">
        <v>7237</v>
      </c>
      <c r="H1120" s="52">
        <v>44683.365219907406</v>
      </c>
      <c r="I1120" s="50"/>
      <c r="J1120" s="50"/>
      <c r="K1120" s="50"/>
      <c r="L1120" s="50"/>
      <c r="M1120" s="50" t="s">
        <v>7238</v>
      </c>
      <c r="N1120" s="50"/>
      <c r="O1120" s="53" t="s">
        <v>60</v>
      </c>
      <c r="P1120" s="55" t="s">
        <v>7239</v>
      </c>
      <c r="Q1120" s="50">
        <v>8.0</v>
      </c>
      <c r="R1120" s="50">
        <v>78.0</v>
      </c>
      <c r="S1120" s="50"/>
      <c r="T1120" s="56" t="s">
        <v>7240</v>
      </c>
      <c r="U1120" s="53" t="s">
        <v>370</v>
      </c>
    </row>
    <row r="1121">
      <c r="A1121" s="54" t="s">
        <v>7241</v>
      </c>
      <c r="B1121" s="50" t="s">
        <v>7230</v>
      </c>
      <c r="C1121" s="51" t="s">
        <v>335</v>
      </c>
      <c r="D1121" s="51"/>
      <c r="E1121" s="51"/>
      <c r="F1121" s="51"/>
      <c r="G1121" s="50" t="s">
        <v>7242</v>
      </c>
      <c r="H1121" s="52">
        <v>44683.36516203704</v>
      </c>
      <c r="I1121" s="50"/>
      <c r="J1121" s="50"/>
      <c r="K1121" s="50"/>
      <c r="L1121" s="50"/>
      <c r="M1121" s="50" t="s">
        <v>7232</v>
      </c>
      <c r="N1121" s="50"/>
      <c r="O1121" s="53" t="s">
        <v>92</v>
      </c>
      <c r="P1121" s="55" t="s">
        <v>7233</v>
      </c>
      <c r="Q1121" s="50">
        <v>1616.0</v>
      </c>
      <c r="R1121" s="50">
        <v>1554.0</v>
      </c>
      <c r="S1121" s="50"/>
      <c r="T1121" s="56" t="s">
        <v>7243</v>
      </c>
      <c r="U1121" s="53" t="s">
        <v>339</v>
      </c>
    </row>
    <row r="1122">
      <c r="A1122" s="54" t="s">
        <v>7244</v>
      </c>
      <c r="B1122" s="50" t="s">
        <v>7245</v>
      </c>
      <c r="C1122" s="51" t="s">
        <v>367</v>
      </c>
      <c r="D1122" s="51"/>
      <c r="E1122" s="51"/>
      <c r="F1122" s="51"/>
      <c r="G1122" s="50" t="s">
        <v>7246</v>
      </c>
      <c r="H1122" s="52">
        <v>44683.36498842592</v>
      </c>
      <c r="I1122" s="50"/>
      <c r="J1122" s="50"/>
      <c r="K1122" s="50"/>
      <c r="L1122" s="50"/>
      <c r="M1122" s="50" t="s">
        <v>7247</v>
      </c>
      <c r="N1122" s="50"/>
      <c r="O1122" s="53" t="s">
        <v>70</v>
      </c>
      <c r="P1122" s="55" t="s">
        <v>7248</v>
      </c>
      <c r="Q1122" s="50">
        <v>96.0</v>
      </c>
      <c r="R1122" s="50">
        <v>268.0</v>
      </c>
      <c r="S1122" s="50"/>
      <c r="T1122" s="56" t="s">
        <v>7249</v>
      </c>
      <c r="U1122" s="53" t="s">
        <v>370</v>
      </c>
    </row>
    <row r="1123">
      <c r="A1123" s="54" t="s">
        <v>7250</v>
      </c>
      <c r="B1123" s="50" t="s">
        <v>7251</v>
      </c>
      <c r="C1123" s="51" t="s">
        <v>7252</v>
      </c>
      <c r="D1123" s="51"/>
      <c r="E1123" s="51"/>
      <c r="F1123" s="51"/>
      <c r="G1123" s="50" t="s">
        <v>7253</v>
      </c>
      <c r="H1123" s="52">
        <v>44683.364895833336</v>
      </c>
      <c r="I1123" s="50"/>
      <c r="J1123" s="50"/>
      <c r="K1123" s="50"/>
      <c r="L1123" s="50"/>
      <c r="M1123" s="50" t="s">
        <v>7254</v>
      </c>
      <c r="N1123" s="50"/>
      <c r="O1123" s="53" t="s">
        <v>70</v>
      </c>
      <c r="P1123" s="55" t="s">
        <v>7255</v>
      </c>
      <c r="Q1123" s="50">
        <v>3159.0</v>
      </c>
      <c r="R1123" s="50">
        <v>4025.0</v>
      </c>
      <c r="S1123" s="50" t="s">
        <v>7256</v>
      </c>
      <c r="T1123" s="56" t="s">
        <v>7257</v>
      </c>
      <c r="U1123" s="53" t="s">
        <v>7258</v>
      </c>
    </row>
    <row r="1124">
      <c r="A1124" s="54" t="s">
        <v>7259</v>
      </c>
      <c r="B1124" s="50" t="s">
        <v>7230</v>
      </c>
      <c r="C1124" s="51" t="s">
        <v>367</v>
      </c>
      <c r="D1124" s="51"/>
      <c r="E1124" s="51"/>
      <c r="F1124" s="51"/>
      <c r="G1124" s="50" t="s">
        <v>7260</v>
      </c>
      <c r="H1124" s="52">
        <v>44683.3647800926</v>
      </c>
      <c r="I1124" s="50"/>
      <c r="J1124" s="50"/>
      <c r="K1124" s="50"/>
      <c r="L1124" s="50"/>
      <c r="M1124" s="50" t="s">
        <v>7232</v>
      </c>
      <c r="N1124" s="50"/>
      <c r="O1124" s="53" t="s">
        <v>92</v>
      </c>
      <c r="P1124" s="55" t="s">
        <v>7233</v>
      </c>
      <c r="Q1124" s="50">
        <v>1616.0</v>
      </c>
      <c r="R1124" s="50">
        <v>1554.0</v>
      </c>
      <c r="S1124" s="50"/>
      <c r="T1124" s="56" t="s">
        <v>7261</v>
      </c>
      <c r="U1124" s="53" t="s">
        <v>370</v>
      </c>
    </row>
    <row r="1125">
      <c r="A1125" s="54" t="s">
        <v>7262</v>
      </c>
      <c r="B1125" s="50" t="s">
        <v>7263</v>
      </c>
      <c r="C1125" s="51" t="s">
        <v>1307</v>
      </c>
      <c r="D1125" s="51"/>
      <c r="E1125" s="51"/>
      <c r="F1125" s="51"/>
      <c r="G1125" s="50" t="s">
        <v>7260</v>
      </c>
      <c r="H1125" s="52">
        <v>44683.3647800926</v>
      </c>
      <c r="I1125" s="50"/>
      <c r="J1125" s="50"/>
      <c r="K1125" s="50"/>
      <c r="L1125" s="50"/>
      <c r="M1125" s="50" t="s">
        <v>7264</v>
      </c>
      <c r="N1125" s="50"/>
      <c r="O1125" s="53" t="s">
        <v>92</v>
      </c>
      <c r="P1125" s="55" t="s">
        <v>7265</v>
      </c>
      <c r="Q1125" s="50">
        <v>174.0</v>
      </c>
      <c r="R1125" s="50">
        <v>327.0</v>
      </c>
      <c r="S1125" s="50" t="s">
        <v>3699</v>
      </c>
      <c r="T1125" s="56" t="s">
        <v>7266</v>
      </c>
      <c r="U1125" s="53" t="s">
        <v>1313</v>
      </c>
    </row>
    <row r="1126">
      <c r="A1126" s="54" t="s">
        <v>7267</v>
      </c>
      <c r="B1126" s="50" t="s">
        <v>7268</v>
      </c>
      <c r="C1126" s="51" t="s">
        <v>3234</v>
      </c>
      <c r="D1126" s="51"/>
      <c r="E1126" s="51"/>
      <c r="F1126" s="51"/>
      <c r="G1126" s="50" t="s">
        <v>7269</v>
      </c>
      <c r="H1126" s="52">
        <v>44683.36476851851</v>
      </c>
      <c r="I1126" s="50"/>
      <c r="J1126" s="50"/>
      <c r="K1126" s="50"/>
      <c r="L1126" s="50"/>
      <c r="M1126" s="50" t="s">
        <v>7270</v>
      </c>
      <c r="N1126" s="50"/>
      <c r="O1126" s="53" t="s">
        <v>60</v>
      </c>
      <c r="P1126" s="55" t="s">
        <v>354</v>
      </c>
      <c r="Q1126" s="50">
        <v>348.0</v>
      </c>
      <c r="R1126" s="50">
        <v>11.0</v>
      </c>
      <c r="S1126" s="50"/>
      <c r="T1126" s="56" t="s">
        <v>7271</v>
      </c>
      <c r="U1126" s="53" t="s">
        <v>3240</v>
      </c>
    </row>
    <row r="1127">
      <c r="A1127" s="54" t="s">
        <v>7272</v>
      </c>
      <c r="B1127" s="50" t="s">
        <v>7273</v>
      </c>
      <c r="C1127" s="51" t="s">
        <v>1307</v>
      </c>
      <c r="D1127" s="51"/>
      <c r="E1127" s="51"/>
      <c r="F1127" s="51"/>
      <c r="G1127" s="50" t="s">
        <v>7274</v>
      </c>
      <c r="H1127" s="52">
        <v>44683.364745370374</v>
      </c>
      <c r="I1127" s="50"/>
      <c r="J1127" s="50"/>
      <c r="K1127" s="50"/>
      <c r="L1127" s="50"/>
      <c r="M1127" s="50" t="s">
        <v>7275</v>
      </c>
      <c r="N1127" s="50"/>
      <c r="O1127" s="53" t="s">
        <v>70</v>
      </c>
      <c r="P1127" s="55" t="s">
        <v>7276</v>
      </c>
      <c r="Q1127" s="50">
        <v>418.0</v>
      </c>
      <c r="R1127" s="50">
        <v>754.0</v>
      </c>
      <c r="S1127" s="50"/>
      <c r="T1127" s="56" t="s">
        <v>7277</v>
      </c>
      <c r="U1127" s="53" t="s">
        <v>1313</v>
      </c>
    </row>
    <row r="1128">
      <c r="A1128" s="54" t="s">
        <v>7278</v>
      </c>
      <c r="B1128" s="50" t="s">
        <v>7279</v>
      </c>
      <c r="C1128" s="51" t="s">
        <v>367</v>
      </c>
      <c r="D1128" s="51"/>
      <c r="E1128" s="51"/>
      <c r="F1128" s="51"/>
      <c r="G1128" s="50" t="s">
        <v>7280</v>
      </c>
      <c r="H1128" s="52">
        <v>44683.36461805555</v>
      </c>
      <c r="I1128" s="50"/>
      <c r="J1128" s="50"/>
      <c r="K1128" s="50"/>
      <c r="L1128" s="50"/>
      <c r="M1128" s="50" t="s">
        <v>7281</v>
      </c>
      <c r="N1128" s="50"/>
      <c r="O1128" s="53" t="s">
        <v>70</v>
      </c>
      <c r="P1128" s="55" t="s">
        <v>7282</v>
      </c>
      <c r="Q1128" s="50">
        <v>1023.0</v>
      </c>
      <c r="R1128" s="50">
        <v>2889.0</v>
      </c>
      <c r="S1128" s="50" t="s">
        <v>1525</v>
      </c>
      <c r="T1128" s="56" t="s">
        <v>7283</v>
      </c>
      <c r="U1128" s="53" t="s">
        <v>370</v>
      </c>
    </row>
    <row r="1129">
      <c r="A1129" s="54" t="s">
        <v>7284</v>
      </c>
      <c r="B1129" s="50" t="s">
        <v>7285</v>
      </c>
      <c r="C1129" s="51" t="s">
        <v>7252</v>
      </c>
      <c r="D1129" s="51"/>
      <c r="E1129" s="51"/>
      <c r="F1129" s="51"/>
      <c r="G1129" s="50" t="s">
        <v>7280</v>
      </c>
      <c r="H1129" s="52">
        <v>44683.36461805555</v>
      </c>
      <c r="I1129" s="50"/>
      <c r="J1129" s="50"/>
      <c r="K1129" s="50"/>
      <c r="L1129" s="50"/>
      <c r="M1129" s="50" t="s">
        <v>7286</v>
      </c>
      <c r="N1129" s="50"/>
      <c r="O1129" s="53" t="s">
        <v>70</v>
      </c>
      <c r="P1129" s="55" t="s">
        <v>7287</v>
      </c>
      <c r="Q1129" s="50">
        <v>23317.0</v>
      </c>
      <c r="R1129" s="50">
        <v>15703.0</v>
      </c>
      <c r="S1129" s="50" t="s">
        <v>7288</v>
      </c>
      <c r="T1129" s="56" t="s">
        <v>7289</v>
      </c>
      <c r="U1129" s="53" t="s">
        <v>7258</v>
      </c>
    </row>
    <row r="1130">
      <c r="A1130" s="54" t="s">
        <v>7290</v>
      </c>
      <c r="B1130" s="50" t="s">
        <v>7291</v>
      </c>
      <c r="C1130" s="51" t="s">
        <v>7292</v>
      </c>
      <c r="D1130" s="51"/>
      <c r="E1130" s="51"/>
      <c r="F1130" s="51"/>
      <c r="G1130" s="50" t="s">
        <v>7293</v>
      </c>
      <c r="H1130" s="52">
        <v>44683.36452546297</v>
      </c>
      <c r="I1130" s="50"/>
      <c r="J1130" s="50"/>
      <c r="K1130" s="50"/>
      <c r="L1130" s="50"/>
      <c r="M1130" s="50" t="s">
        <v>7294</v>
      </c>
      <c r="N1130" s="50"/>
      <c r="O1130" s="53" t="s">
        <v>92</v>
      </c>
      <c r="P1130" s="55" t="s">
        <v>7295</v>
      </c>
      <c r="Q1130" s="50">
        <v>133.0</v>
      </c>
      <c r="R1130" s="50">
        <v>483.0</v>
      </c>
      <c r="S1130" s="50"/>
      <c r="T1130" s="56" t="s">
        <v>7296</v>
      </c>
      <c r="U1130" s="53" t="s">
        <v>7297</v>
      </c>
    </row>
    <row r="1131">
      <c r="A1131" s="54" t="s">
        <v>7298</v>
      </c>
      <c r="B1131" s="50" t="s">
        <v>7299</v>
      </c>
      <c r="C1131" s="51" t="s">
        <v>367</v>
      </c>
      <c r="D1131" s="51"/>
      <c r="E1131" s="51"/>
      <c r="F1131" s="51"/>
      <c r="G1131" s="50" t="s">
        <v>7300</v>
      </c>
      <c r="H1131" s="52">
        <v>44683.36434027778</v>
      </c>
      <c r="I1131" s="50"/>
      <c r="J1131" s="50"/>
      <c r="K1131" s="50"/>
      <c r="L1131" s="50"/>
      <c r="M1131" s="50" t="s">
        <v>7301</v>
      </c>
      <c r="N1131" s="50"/>
      <c r="O1131" s="53" t="s">
        <v>92</v>
      </c>
      <c r="P1131" s="55" t="s">
        <v>7302</v>
      </c>
      <c r="Q1131" s="50">
        <v>12866.0</v>
      </c>
      <c r="R1131" s="50">
        <v>2239.0</v>
      </c>
      <c r="S1131" s="50"/>
      <c r="T1131" s="56" t="s">
        <v>7303</v>
      </c>
      <c r="U1131" s="53" t="s">
        <v>370</v>
      </c>
    </row>
    <row r="1132">
      <c r="A1132" s="54" t="s">
        <v>7304</v>
      </c>
      <c r="B1132" s="50" t="s">
        <v>7305</v>
      </c>
      <c r="C1132" s="51" t="s">
        <v>367</v>
      </c>
      <c r="D1132" s="51"/>
      <c r="E1132" s="51"/>
      <c r="F1132" s="51"/>
      <c r="G1132" s="50" t="s">
        <v>7306</v>
      </c>
      <c r="H1132" s="52">
        <v>44683.36431712963</v>
      </c>
      <c r="I1132" s="50"/>
      <c r="J1132" s="50"/>
      <c r="K1132" s="50"/>
      <c r="L1132" s="50"/>
      <c r="M1132" s="50" t="s">
        <v>7307</v>
      </c>
      <c r="N1132" s="50"/>
      <c r="O1132" s="53" t="s">
        <v>217</v>
      </c>
      <c r="P1132" s="55" t="s">
        <v>7308</v>
      </c>
      <c r="Q1132" s="50">
        <v>2106.0</v>
      </c>
      <c r="R1132" s="50">
        <v>3420.0</v>
      </c>
      <c r="S1132" s="50" t="s">
        <v>7309</v>
      </c>
      <c r="T1132" s="56" t="s">
        <v>7310</v>
      </c>
      <c r="U1132" s="53" t="s">
        <v>370</v>
      </c>
    </row>
    <row r="1133">
      <c r="A1133" s="54" t="s">
        <v>7311</v>
      </c>
      <c r="B1133" s="50" t="s">
        <v>7312</v>
      </c>
      <c r="C1133" s="51" t="s">
        <v>7313</v>
      </c>
      <c r="D1133" s="51"/>
      <c r="E1133" s="51"/>
      <c r="F1133" s="51"/>
      <c r="G1133" s="50" t="s">
        <v>7314</v>
      </c>
      <c r="H1133" s="52">
        <v>44683.36409722222</v>
      </c>
      <c r="I1133" s="50"/>
      <c r="J1133" s="50"/>
      <c r="K1133" s="50"/>
      <c r="L1133" s="50"/>
      <c r="M1133" s="50" t="s">
        <v>7315</v>
      </c>
      <c r="N1133" s="50"/>
      <c r="O1133" s="53" t="s">
        <v>783</v>
      </c>
      <c r="P1133" s="55" t="s">
        <v>7316</v>
      </c>
      <c r="Q1133" s="50">
        <v>52.0</v>
      </c>
      <c r="R1133" s="50">
        <v>118.0</v>
      </c>
      <c r="S1133" s="50" t="s">
        <v>7317</v>
      </c>
      <c r="T1133" s="56" t="s">
        <v>7318</v>
      </c>
      <c r="U1133" s="53" t="s">
        <v>7319</v>
      </c>
    </row>
    <row r="1134">
      <c r="A1134" s="54" t="s">
        <v>7320</v>
      </c>
      <c r="B1134" s="50" t="s">
        <v>7321</v>
      </c>
      <c r="C1134" s="51" t="s">
        <v>367</v>
      </c>
      <c r="D1134" s="51"/>
      <c r="E1134" s="51"/>
      <c r="F1134" s="51"/>
      <c r="G1134" s="50" t="s">
        <v>7322</v>
      </c>
      <c r="H1134" s="52">
        <v>44683.3640625</v>
      </c>
      <c r="I1134" s="50"/>
      <c r="J1134" s="50"/>
      <c r="K1134" s="50"/>
      <c r="L1134" s="50"/>
      <c r="M1134" s="50" t="s">
        <v>7323</v>
      </c>
      <c r="N1134" s="50"/>
      <c r="O1134" s="53" t="s">
        <v>217</v>
      </c>
      <c r="P1134" s="55" t="s">
        <v>7324</v>
      </c>
      <c r="Q1134" s="50">
        <v>158.0</v>
      </c>
      <c r="R1134" s="50">
        <v>121.0</v>
      </c>
      <c r="S1134" s="50"/>
      <c r="T1134" s="56" t="s">
        <v>7325</v>
      </c>
      <c r="U1134" s="53" t="s">
        <v>370</v>
      </c>
    </row>
    <row r="1135">
      <c r="A1135" s="54" t="s">
        <v>7326</v>
      </c>
      <c r="B1135" s="50" t="s">
        <v>7327</v>
      </c>
      <c r="C1135" s="51" t="s">
        <v>367</v>
      </c>
      <c r="D1135" s="51"/>
      <c r="E1135" s="51"/>
      <c r="F1135" s="51"/>
      <c r="G1135" s="50" t="s">
        <v>7328</v>
      </c>
      <c r="H1135" s="52">
        <v>44683.36395833333</v>
      </c>
      <c r="I1135" s="50"/>
      <c r="J1135" s="50"/>
      <c r="K1135" s="50"/>
      <c r="L1135" s="50"/>
      <c r="M1135" s="50" t="s">
        <v>7329</v>
      </c>
      <c r="N1135" s="50"/>
      <c r="O1135" s="53" t="s">
        <v>60</v>
      </c>
      <c r="P1135" s="55" t="s">
        <v>7330</v>
      </c>
      <c r="Q1135" s="50">
        <v>456.0</v>
      </c>
      <c r="R1135" s="50">
        <v>423.0</v>
      </c>
      <c r="S1135" s="50"/>
      <c r="T1135" s="56" t="s">
        <v>7331</v>
      </c>
      <c r="U1135" s="53" t="s">
        <v>370</v>
      </c>
    </row>
    <row r="1136">
      <c r="A1136" s="54" t="s">
        <v>7332</v>
      </c>
      <c r="B1136" s="50" t="s">
        <v>7333</v>
      </c>
      <c r="C1136" s="51" t="s">
        <v>316</v>
      </c>
      <c r="D1136" s="51"/>
      <c r="E1136" s="51"/>
      <c r="F1136" s="51"/>
      <c r="G1136" s="50" t="s">
        <v>7334</v>
      </c>
      <c r="H1136" s="52">
        <v>44683.36376157407</v>
      </c>
      <c r="I1136" s="50"/>
      <c r="J1136" s="50"/>
      <c r="K1136" s="50"/>
      <c r="L1136" s="50"/>
      <c r="M1136" s="50" t="s">
        <v>7335</v>
      </c>
      <c r="N1136" s="50"/>
      <c r="O1136" s="53" t="s">
        <v>92</v>
      </c>
      <c r="P1136" s="55" t="s">
        <v>7336</v>
      </c>
      <c r="Q1136" s="50">
        <v>24.0</v>
      </c>
      <c r="R1136" s="50">
        <v>53.0</v>
      </c>
      <c r="S1136" s="50" t="s">
        <v>7337</v>
      </c>
      <c r="T1136" s="56" t="s">
        <v>7338</v>
      </c>
      <c r="U1136" s="53" t="s">
        <v>322</v>
      </c>
    </row>
    <row r="1137">
      <c r="A1137" s="54" t="s">
        <v>7339</v>
      </c>
      <c r="B1137" s="50" t="s">
        <v>7340</v>
      </c>
      <c r="C1137" s="51" t="s">
        <v>7341</v>
      </c>
      <c r="D1137" s="51"/>
      <c r="E1137" s="51"/>
      <c r="F1137" s="51"/>
      <c r="G1137" s="50" t="s">
        <v>7342</v>
      </c>
      <c r="H1137" s="52">
        <v>44683.36366898148</v>
      </c>
      <c r="I1137" s="50"/>
      <c r="J1137" s="50"/>
      <c r="K1137" s="50" t="s">
        <v>7343</v>
      </c>
      <c r="L1137" s="50" t="s">
        <v>7344</v>
      </c>
      <c r="M1137" s="50" t="s">
        <v>7345</v>
      </c>
      <c r="N1137" s="50"/>
      <c r="O1137" s="53" t="s">
        <v>92</v>
      </c>
      <c r="P1137" s="55" t="s">
        <v>7346</v>
      </c>
      <c r="Q1137" s="50">
        <v>69.0</v>
      </c>
      <c r="R1137" s="50">
        <v>171.0</v>
      </c>
      <c r="S1137" s="50"/>
      <c r="T1137" s="56" t="s">
        <v>7347</v>
      </c>
      <c r="U1137" s="53" t="s">
        <v>7348</v>
      </c>
    </row>
    <row r="1138">
      <c r="A1138" s="54" t="s">
        <v>7349</v>
      </c>
      <c r="B1138" s="50" t="s">
        <v>7333</v>
      </c>
      <c r="C1138" s="51" t="s">
        <v>329</v>
      </c>
      <c r="D1138" s="51"/>
      <c r="E1138" s="51"/>
      <c r="F1138" s="51"/>
      <c r="G1138" s="50" t="s">
        <v>7350</v>
      </c>
      <c r="H1138" s="52">
        <v>44683.36357638889</v>
      </c>
      <c r="I1138" s="50"/>
      <c r="J1138" s="50"/>
      <c r="K1138" s="50"/>
      <c r="L1138" s="50"/>
      <c r="M1138" s="50" t="s">
        <v>7335</v>
      </c>
      <c r="N1138" s="50"/>
      <c r="O1138" s="53" t="s">
        <v>92</v>
      </c>
      <c r="P1138" s="55" t="s">
        <v>7336</v>
      </c>
      <c r="Q1138" s="50">
        <v>24.0</v>
      </c>
      <c r="R1138" s="50">
        <v>53.0</v>
      </c>
      <c r="S1138" s="50" t="s">
        <v>7337</v>
      </c>
      <c r="T1138" s="56" t="s">
        <v>7351</v>
      </c>
      <c r="U1138" s="53" t="s">
        <v>332</v>
      </c>
    </row>
    <row r="1139">
      <c r="A1139" s="54" t="s">
        <v>7352</v>
      </c>
      <c r="B1139" s="50" t="s">
        <v>7353</v>
      </c>
      <c r="C1139" s="51" t="s">
        <v>726</v>
      </c>
      <c r="D1139" s="51"/>
      <c r="E1139" s="51"/>
      <c r="F1139" s="51"/>
      <c r="G1139" s="50" t="s">
        <v>7354</v>
      </c>
      <c r="H1139" s="52">
        <v>44683.36351851852</v>
      </c>
      <c r="I1139" s="50"/>
      <c r="J1139" s="50"/>
      <c r="K1139" s="50"/>
      <c r="L1139" s="50"/>
      <c r="M1139" s="50" t="s">
        <v>7355</v>
      </c>
      <c r="N1139" s="50"/>
      <c r="O1139" s="53" t="s">
        <v>92</v>
      </c>
      <c r="P1139" s="55" t="s">
        <v>354</v>
      </c>
      <c r="Q1139" s="50">
        <v>331.0</v>
      </c>
      <c r="R1139" s="50">
        <v>827.0</v>
      </c>
      <c r="S1139" s="50"/>
      <c r="T1139" s="56" t="s">
        <v>7356</v>
      </c>
      <c r="U1139" s="53" t="s">
        <v>731</v>
      </c>
    </row>
    <row r="1140">
      <c r="A1140" s="54" t="s">
        <v>7357</v>
      </c>
      <c r="B1140" s="50" t="s">
        <v>7333</v>
      </c>
      <c r="C1140" s="51" t="s">
        <v>335</v>
      </c>
      <c r="D1140" s="51"/>
      <c r="E1140" s="51"/>
      <c r="F1140" s="51"/>
      <c r="G1140" s="50" t="s">
        <v>7358</v>
      </c>
      <c r="H1140" s="52">
        <v>44683.36342592593</v>
      </c>
      <c r="I1140" s="50"/>
      <c r="J1140" s="50"/>
      <c r="K1140" s="50"/>
      <c r="L1140" s="50"/>
      <c r="M1140" s="50" t="s">
        <v>7335</v>
      </c>
      <c r="N1140" s="50"/>
      <c r="O1140" s="53" t="s">
        <v>92</v>
      </c>
      <c r="P1140" s="55" t="s">
        <v>7336</v>
      </c>
      <c r="Q1140" s="50">
        <v>24.0</v>
      </c>
      <c r="R1140" s="50">
        <v>53.0</v>
      </c>
      <c r="S1140" s="50" t="s">
        <v>7337</v>
      </c>
      <c r="T1140" s="56" t="s">
        <v>7359</v>
      </c>
      <c r="U1140" s="53" t="s">
        <v>339</v>
      </c>
    </row>
    <row r="1141">
      <c r="A1141" s="54" t="s">
        <v>7360</v>
      </c>
      <c r="B1141" s="50" t="s">
        <v>7361</v>
      </c>
      <c r="C1141" s="51" t="s">
        <v>2869</v>
      </c>
      <c r="D1141" s="51"/>
      <c r="E1141" s="51"/>
      <c r="F1141" s="51"/>
      <c r="G1141" s="50" t="s">
        <v>7362</v>
      </c>
      <c r="H1141" s="52">
        <v>44683.36340277777</v>
      </c>
      <c r="I1141" s="50"/>
      <c r="J1141" s="50"/>
      <c r="K1141" s="50"/>
      <c r="L1141" s="50"/>
      <c r="M1141" s="50" t="s">
        <v>7363</v>
      </c>
      <c r="N1141" s="50"/>
      <c r="O1141" s="53" t="s">
        <v>70</v>
      </c>
      <c r="P1141" s="55" t="s">
        <v>7364</v>
      </c>
      <c r="Q1141" s="50">
        <v>1525.0</v>
      </c>
      <c r="R1141" s="50">
        <v>3820.0</v>
      </c>
      <c r="S1141" s="50" t="s">
        <v>7365</v>
      </c>
      <c r="T1141" s="56" t="s">
        <v>7366</v>
      </c>
      <c r="U1141" s="53" t="s">
        <v>2874</v>
      </c>
    </row>
    <row r="1142">
      <c r="A1142" s="54" t="s">
        <v>7367</v>
      </c>
      <c r="B1142" s="50" t="s">
        <v>7333</v>
      </c>
      <c r="C1142" s="51" t="s">
        <v>363</v>
      </c>
      <c r="D1142" s="51"/>
      <c r="E1142" s="51"/>
      <c r="F1142" s="51"/>
      <c r="G1142" s="50" t="s">
        <v>7368</v>
      </c>
      <c r="H1142" s="52">
        <v>44683.363275462965</v>
      </c>
      <c r="I1142" s="50"/>
      <c r="J1142" s="50"/>
      <c r="K1142" s="50"/>
      <c r="L1142" s="50"/>
      <c r="M1142" s="50" t="s">
        <v>7335</v>
      </c>
      <c r="N1142" s="50"/>
      <c r="O1142" s="53" t="s">
        <v>92</v>
      </c>
      <c r="P1142" s="55" t="s">
        <v>7336</v>
      </c>
      <c r="Q1142" s="50">
        <v>24.0</v>
      </c>
      <c r="R1142" s="50">
        <v>53.0</v>
      </c>
      <c r="S1142" s="50" t="s">
        <v>7337</v>
      </c>
      <c r="T1142" s="56" t="s">
        <v>7369</v>
      </c>
      <c r="U1142" s="53" t="s">
        <v>332</v>
      </c>
    </row>
    <row r="1143">
      <c r="A1143" s="54" t="s">
        <v>7370</v>
      </c>
      <c r="B1143" s="50" t="s">
        <v>7333</v>
      </c>
      <c r="C1143" s="51" t="s">
        <v>367</v>
      </c>
      <c r="D1143" s="51"/>
      <c r="E1143" s="51"/>
      <c r="F1143" s="51"/>
      <c r="G1143" s="50" t="s">
        <v>7371</v>
      </c>
      <c r="H1143" s="52">
        <v>44683.363171296296</v>
      </c>
      <c r="I1143" s="50"/>
      <c r="J1143" s="50"/>
      <c r="K1143" s="50"/>
      <c r="L1143" s="50"/>
      <c r="M1143" s="50" t="s">
        <v>7335</v>
      </c>
      <c r="N1143" s="50"/>
      <c r="O1143" s="53" t="s">
        <v>92</v>
      </c>
      <c r="P1143" s="55" t="s">
        <v>7336</v>
      </c>
      <c r="Q1143" s="50">
        <v>24.0</v>
      </c>
      <c r="R1143" s="50">
        <v>53.0</v>
      </c>
      <c r="S1143" s="50" t="s">
        <v>7337</v>
      </c>
      <c r="T1143" s="56" t="s">
        <v>7372</v>
      </c>
      <c r="U1143" s="53" t="s">
        <v>370</v>
      </c>
    </row>
    <row r="1144">
      <c r="A1144" s="54" t="s">
        <v>7373</v>
      </c>
      <c r="B1144" s="50" t="s">
        <v>5474</v>
      </c>
      <c r="C1144" s="51" t="s">
        <v>316</v>
      </c>
      <c r="D1144" s="51"/>
      <c r="E1144" s="51"/>
      <c r="F1144" s="51"/>
      <c r="G1144" s="50" t="s">
        <v>7374</v>
      </c>
      <c r="H1144" s="52">
        <v>44683.36292824074</v>
      </c>
      <c r="I1144" s="50"/>
      <c r="J1144" s="50"/>
      <c r="K1144" s="50"/>
      <c r="L1144" s="50"/>
      <c r="M1144" s="50" t="s">
        <v>5476</v>
      </c>
      <c r="N1144" s="50"/>
      <c r="O1144" s="53" t="s">
        <v>60</v>
      </c>
      <c r="P1144" s="55" t="s">
        <v>5477</v>
      </c>
      <c r="Q1144" s="50">
        <v>40.0</v>
      </c>
      <c r="R1144" s="50">
        <v>184.0</v>
      </c>
      <c r="S1144" s="50"/>
      <c r="T1144" s="56" t="s">
        <v>7375</v>
      </c>
      <c r="U1144" s="53" t="s">
        <v>322</v>
      </c>
    </row>
    <row r="1145">
      <c r="A1145" s="54" t="s">
        <v>7376</v>
      </c>
      <c r="B1145" s="50" t="s">
        <v>5474</v>
      </c>
      <c r="C1145" s="51" t="s">
        <v>363</v>
      </c>
      <c r="D1145" s="51"/>
      <c r="E1145" s="51"/>
      <c r="F1145" s="51"/>
      <c r="G1145" s="50" t="s">
        <v>7377</v>
      </c>
      <c r="H1145" s="52">
        <v>44683.36287037037</v>
      </c>
      <c r="I1145" s="50"/>
      <c r="J1145" s="50"/>
      <c r="K1145" s="50"/>
      <c r="L1145" s="50"/>
      <c r="M1145" s="50" t="s">
        <v>5476</v>
      </c>
      <c r="N1145" s="50"/>
      <c r="O1145" s="53" t="s">
        <v>60</v>
      </c>
      <c r="P1145" s="55" t="s">
        <v>5477</v>
      </c>
      <c r="Q1145" s="50">
        <v>40.0</v>
      </c>
      <c r="R1145" s="50">
        <v>184.0</v>
      </c>
      <c r="S1145" s="50"/>
      <c r="T1145" s="56" t="s">
        <v>7378</v>
      </c>
      <c r="U1145" s="53" t="s">
        <v>332</v>
      </c>
    </row>
    <row r="1146">
      <c r="A1146" s="54" t="s">
        <v>7379</v>
      </c>
      <c r="B1146" s="50" t="s">
        <v>6805</v>
      </c>
      <c r="C1146" s="51" t="s">
        <v>316</v>
      </c>
      <c r="D1146" s="51"/>
      <c r="E1146" s="51"/>
      <c r="F1146" s="51"/>
      <c r="G1146" s="50" t="s">
        <v>7380</v>
      </c>
      <c r="H1146" s="52">
        <v>44683.36284722222</v>
      </c>
      <c r="I1146" s="50"/>
      <c r="J1146" s="50"/>
      <c r="K1146" s="50"/>
      <c r="L1146" s="50"/>
      <c r="M1146" s="50" t="s">
        <v>6807</v>
      </c>
      <c r="N1146" s="50"/>
      <c r="O1146" s="53" t="s">
        <v>70</v>
      </c>
      <c r="P1146" s="55" t="s">
        <v>6808</v>
      </c>
      <c r="Q1146" s="50">
        <v>2170.0</v>
      </c>
      <c r="R1146" s="50">
        <v>3551.0</v>
      </c>
      <c r="S1146" s="50" t="s">
        <v>6809</v>
      </c>
      <c r="T1146" s="56" t="s">
        <v>7381</v>
      </c>
      <c r="U1146" s="53" t="s">
        <v>322</v>
      </c>
    </row>
    <row r="1147">
      <c r="A1147" s="54" t="s">
        <v>7382</v>
      </c>
      <c r="B1147" s="50" t="s">
        <v>5474</v>
      </c>
      <c r="C1147" s="51" t="s">
        <v>367</v>
      </c>
      <c r="D1147" s="51"/>
      <c r="E1147" s="51"/>
      <c r="F1147" s="51"/>
      <c r="G1147" s="50" t="s">
        <v>7383</v>
      </c>
      <c r="H1147" s="52">
        <v>44683.36283564815</v>
      </c>
      <c r="I1147" s="50"/>
      <c r="J1147" s="50"/>
      <c r="K1147" s="50"/>
      <c r="L1147" s="50"/>
      <c r="M1147" s="50" t="s">
        <v>5476</v>
      </c>
      <c r="N1147" s="50"/>
      <c r="O1147" s="53" t="s">
        <v>60</v>
      </c>
      <c r="P1147" s="55" t="s">
        <v>5477</v>
      </c>
      <c r="Q1147" s="50">
        <v>40.0</v>
      </c>
      <c r="R1147" s="50">
        <v>184.0</v>
      </c>
      <c r="S1147" s="50"/>
      <c r="T1147" s="56" t="s">
        <v>7384</v>
      </c>
      <c r="U1147" s="53" t="s">
        <v>370</v>
      </c>
    </row>
    <row r="1148">
      <c r="A1148" s="54" t="s">
        <v>7385</v>
      </c>
      <c r="B1148" s="50" t="s">
        <v>7386</v>
      </c>
      <c r="C1148" s="51" t="s">
        <v>1772</v>
      </c>
      <c r="D1148" s="51"/>
      <c r="E1148" s="51"/>
      <c r="F1148" s="51"/>
      <c r="G1148" s="50" t="s">
        <v>7387</v>
      </c>
      <c r="H1148" s="52">
        <v>44683.36274305556</v>
      </c>
      <c r="I1148" s="50"/>
      <c r="J1148" s="50"/>
      <c r="K1148" s="50"/>
      <c r="L1148" s="50"/>
      <c r="M1148" s="50" t="s">
        <v>7388</v>
      </c>
      <c r="N1148" s="50"/>
      <c r="O1148" s="53" t="s">
        <v>92</v>
      </c>
      <c r="P1148" s="55" t="s">
        <v>7389</v>
      </c>
      <c r="Q1148" s="50">
        <v>5264.0</v>
      </c>
      <c r="R1148" s="50">
        <v>2059.0</v>
      </c>
      <c r="S1148" s="50" t="s">
        <v>7390</v>
      </c>
      <c r="T1148" s="56" t="s">
        <v>7391</v>
      </c>
      <c r="U1148" s="53" t="s">
        <v>1777</v>
      </c>
    </row>
    <row r="1149">
      <c r="A1149" s="54" t="s">
        <v>7392</v>
      </c>
      <c r="B1149" s="50" t="s">
        <v>836</v>
      </c>
      <c r="C1149" s="51" t="s">
        <v>7393</v>
      </c>
      <c r="D1149" s="51"/>
      <c r="E1149" s="51"/>
      <c r="F1149" s="51"/>
      <c r="G1149" s="50" t="s">
        <v>7387</v>
      </c>
      <c r="H1149" s="52">
        <v>44683.36274305556</v>
      </c>
      <c r="I1149" s="50"/>
      <c r="J1149" s="50"/>
      <c r="K1149" s="50" t="s">
        <v>7394</v>
      </c>
      <c r="L1149" s="50" t="s">
        <v>7395</v>
      </c>
      <c r="M1149" s="50" t="s">
        <v>838</v>
      </c>
      <c r="N1149" s="50" t="s">
        <v>7396</v>
      </c>
      <c r="O1149" s="53" t="s">
        <v>70</v>
      </c>
      <c r="P1149" s="55" t="s">
        <v>839</v>
      </c>
      <c r="Q1149" s="50">
        <v>12689.0</v>
      </c>
      <c r="R1149" s="50">
        <v>11901.0</v>
      </c>
      <c r="S1149" s="50" t="s">
        <v>246</v>
      </c>
      <c r="T1149" s="56" t="s">
        <v>7397</v>
      </c>
      <c r="U1149" s="53" t="s">
        <v>7398</v>
      </c>
    </row>
    <row r="1150">
      <c r="A1150" s="54" t="s">
        <v>7399</v>
      </c>
      <c r="B1150" s="50" t="s">
        <v>7400</v>
      </c>
      <c r="C1150" s="51" t="s">
        <v>367</v>
      </c>
      <c r="D1150" s="51"/>
      <c r="E1150" s="51"/>
      <c r="F1150" s="51"/>
      <c r="G1150" s="50" t="s">
        <v>7401</v>
      </c>
      <c r="H1150" s="52">
        <v>44683.36263888889</v>
      </c>
      <c r="I1150" s="50"/>
      <c r="J1150" s="50"/>
      <c r="K1150" s="50"/>
      <c r="L1150" s="50"/>
      <c r="M1150" s="50" t="s">
        <v>7402</v>
      </c>
      <c r="N1150" s="50"/>
      <c r="O1150" s="53" t="s">
        <v>92</v>
      </c>
      <c r="P1150" s="55" t="s">
        <v>7403</v>
      </c>
      <c r="Q1150" s="50">
        <v>583.0</v>
      </c>
      <c r="R1150" s="50">
        <v>338.0</v>
      </c>
      <c r="S1150" s="50" t="s">
        <v>4698</v>
      </c>
      <c r="T1150" s="56" t="s">
        <v>7404</v>
      </c>
      <c r="U1150" s="53" t="s">
        <v>370</v>
      </c>
    </row>
    <row r="1151">
      <c r="A1151" s="54" t="s">
        <v>7405</v>
      </c>
      <c r="B1151" s="50" t="s">
        <v>6805</v>
      </c>
      <c r="C1151" s="51" t="s">
        <v>329</v>
      </c>
      <c r="D1151" s="51"/>
      <c r="E1151" s="51"/>
      <c r="F1151" s="51"/>
      <c r="G1151" s="50" t="s">
        <v>7406</v>
      </c>
      <c r="H1151" s="52">
        <v>44683.36261574074</v>
      </c>
      <c r="I1151" s="50"/>
      <c r="J1151" s="50"/>
      <c r="K1151" s="50"/>
      <c r="L1151" s="50"/>
      <c r="M1151" s="50" t="s">
        <v>6807</v>
      </c>
      <c r="N1151" s="50"/>
      <c r="O1151" s="53" t="s">
        <v>70</v>
      </c>
      <c r="P1151" s="55" t="s">
        <v>6808</v>
      </c>
      <c r="Q1151" s="50">
        <v>2170.0</v>
      </c>
      <c r="R1151" s="50">
        <v>3551.0</v>
      </c>
      <c r="S1151" s="50" t="s">
        <v>6809</v>
      </c>
      <c r="T1151" s="56" t="s">
        <v>7407</v>
      </c>
      <c r="U1151" s="53" t="s">
        <v>332</v>
      </c>
    </row>
    <row r="1152">
      <c r="A1152" s="54" t="s">
        <v>7408</v>
      </c>
      <c r="B1152" s="50" t="s">
        <v>7409</v>
      </c>
      <c r="C1152" s="51" t="s">
        <v>367</v>
      </c>
      <c r="D1152" s="51"/>
      <c r="E1152" s="51"/>
      <c r="F1152" s="51"/>
      <c r="G1152" s="50" t="s">
        <v>7410</v>
      </c>
      <c r="H1152" s="52">
        <v>44683.36256944445</v>
      </c>
      <c r="I1152" s="50"/>
      <c r="J1152" s="50"/>
      <c r="K1152" s="50"/>
      <c r="L1152" s="50"/>
      <c r="M1152" s="50" t="s">
        <v>7411</v>
      </c>
      <c r="N1152" s="50"/>
      <c r="O1152" s="53" t="s">
        <v>70</v>
      </c>
      <c r="P1152" s="55" t="s">
        <v>7412</v>
      </c>
      <c r="Q1152" s="50">
        <v>255.0</v>
      </c>
      <c r="R1152" s="50">
        <v>1720.0</v>
      </c>
      <c r="S1152" s="50" t="s">
        <v>658</v>
      </c>
      <c r="T1152" s="56" t="s">
        <v>7413</v>
      </c>
      <c r="U1152" s="53" t="s">
        <v>370</v>
      </c>
    </row>
    <row r="1153">
      <c r="A1153" s="54" t="s">
        <v>7414</v>
      </c>
      <c r="B1153" s="50" t="s">
        <v>7415</v>
      </c>
      <c r="C1153" s="51" t="s">
        <v>367</v>
      </c>
      <c r="D1153" s="51"/>
      <c r="E1153" s="51"/>
      <c r="F1153" s="51"/>
      <c r="G1153" s="50" t="s">
        <v>7416</v>
      </c>
      <c r="H1153" s="52">
        <v>44683.362488425926</v>
      </c>
      <c r="I1153" s="50"/>
      <c r="J1153" s="50"/>
      <c r="K1153" s="50"/>
      <c r="L1153" s="50"/>
      <c r="M1153" s="50" t="s">
        <v>7417</v>
      </c>
      <c r="N1153" s="50"/>
      <c r="O1153" s="53" t="s">
        <v>70</v>
      </c>
      <c r="P1153" s="55" t="s">
        <v>7418</v>
      </c>
      <c r="Q1153" s="50">
        <v>40.0</v>
      </c>
      <c r="R1153" s="50">
        <v>247.0</v>
      </c>
      <c r="S1153" s="50" t="s">
        <v>1311</v>
      </c>
      <c r="T1153" s="56" t="s">
        <v>7419</v>
      </c>
      <c r="U1153" s="53" t="s">
        <v>370</v>
      </c>
    </row>
    <row r="1154">
      <c r="A1154" s="54" t="s">
        <v>7420</v>
      </c>
      <c r="B1154" s="50" t="s">
        <v>6805</v>
      </c>
      <c r="C1154" s="51" t="s">
        <v>335</v>
      </c>
      <c r="D1154" s="51"/>
      <c r="E1154" s="51"/>
      <c r="F1154" s="51"/>
      <c r="G1154" s="50" t="s">
        <v>7421</v>
      </c>
      <c r="H1154" s="52">
        <v>44683.36236111111</v>
      </c>
      <c r="I1154" s="50"/>
      <c r="J1154" s="50"/>
      <c r="K1154" s="50"/>
      <c r="L1154" s="50"/>
      <c r="M1154" s="50" t="s">
        <v>6807</v>
      </c>
      <c r="N1154" s="50"/>
      <c r="O1154" s="53" t="s">
        <v>70</v>
      </c>
      <c r="P1154" s="55" t="s">
        <v>6808</v>
      </c>
      <c r="Q1154" s="50">
        <v>2170.0</v>
      </c>
      <c r="R1154" s="50">
        <v>3551.0</v>
      </c>
      <c r="S1154" s="50" t="s">
        <v>6809</v>
      </c>
      <c r="T1154" s="56" t="s">
        <v>7422</v>
      </c>
      <c r="U1154" s="53" t="s">
        <v>339</v>
      </c>
    </row>
    <row r="1155">
      <c r="A1155" s="54" t="s">
        <v>7423</v>
      </c>
      <c r="B1155" s="50" t="s">
        <v>7424</v>
      </c>
      <c r="C1155" s="51" t="s">
        <v>7425</v>
      </c>
      <c r="D1155" s="51"/>
      <c r="E1155" s="51"/>
      <c r="F1155" s="51"/>
      <c r="G1155" s="50" t="s">
        <v>7421</v>
      </c>
      <c r="H1155" s="52">
        <v>44683.36236111111</v>
      </c>
      <c r="I1155" s="50"/>
      <c r="J1155" s="50"/>
      <c r="K1155" s="50" t="s">
        <v>7426</v>
      </c>
      <c r="L1155" s="50" t="s">
        <v>7427</v>
      </c>
      <c r="M1155" s="50" t="s">
        <v>7428</v>
      </c>
      <c r="N1155" s="50" t="s">
        <v>7429</v>
      </c>
      <c r="O1155" s="53" t="s">
        <v>70</v>
      </c>
      <c r="P1155" s="55" t="s">
        <v>7430</v>
      </c>
      <c r="Q1155" s="50">
        <v>5029.0</v>
      </c>
      <c r="R1155" s="50">
        <v>589.0</v>
      </c>
      <c r="S1155" s="50" t="s">
        <v>7431</v>
      </c>
      <c r="T1155" s="56" t="s">
        <v>7432</v>
      </c>
      <c r="U1155" s="53" t="s">
        <v>7433</v>
      </c>
    </row>
    <row r="1156">
      <c r="A1156" s="54" t="s">
        <v>7434</v>
      </c>
      <c r="B1156" s="50" t="s">
        <v>7435</v>
      </c>
      <c r="C1156" s="51" t="s">
        <v>335</v>
      </c>
      <c r="D1156" s="51"/>
      <c r="E1156" s="51"/>
      <c r="F1156" s="51"/>
      <c r="G1156" s="50" t="s">
        <v>7436</v>
      </c>
      <c r="H1156" s="52">
        <v>44683.362337962964</v>
      </c>
      <c r="I1156" s="50"/>
      <c r="J1156" s="50"/>
      <c r="K1156" s="50"/>
      <c r="L1156" s="50"/>
      <c r="M1156" s="50" t="s">
        <v>7437</v>
      </c>
      <c r="N1156" s="50"/>
      <c r="O1156" s="53" t="s">
        <v>217</v>
      </c>
      <c r="P1156" s="55" t="s">
        <v>7438</v>
      </c>
      <c r="Q1156" s="50">
        <v>2842.0</v>
      </c>
      <c r="R1156" s="50">
        <v>4831.0</v>
      </c>
      <c r="S1156" s="50" t="s">
        <v>7439</v>
      </c>
      <c r="T1156" s="56" t="s">
        <v>7440</v>
      </c>
      <c r="U1156" s="53" t="s">
        <v>339</v>
      </c>
    </row>
    <row r="1157">
      <c r="A1157" s="54" t="s">
        <v>7441</v>
      </c>
      <c r="B1157" s="50" t="s">
        <v>7442</v>
      </c>
      <c r="C1157" s="51" t="s">
        <v>367</v>
      </c>
      <c r="D1157" s="51"/>
      <c r="E1157" s="51"/>
      <c r="F1157" s="51"/>
      <c r="G1157" s="50" t="s">
        <v>7443</v>
      </c>
      <c r="H1157" s="52">
        <v>44683.36230324074</v>
      </c>
      <c r="I1157" s="50"/>
      <c r="J1157" s="50"/>
      <c r="K1157" s="50"/>
      <c r="L1157" s="50"/>
      <c r="M1157" s="50" t="s">
        <v>7444</v>
      </c>
      <c r="N1157" s="50"/>
      <c r="O1157" s="53" t="s">
        <v>70</v>
      </c>
      <c r="P1157" s="55" t="s">
        <v>7445</v>
      </c>
      <c r="Q1157" s="50">
        <v>569.0</v>
      </c>
      <c r="R1157" s="50">
        <v>1804.0</v>
      </c>
      <c r="S1157" s="50" t="s">
        <v>7446</v>
      </c>
      <c r="T1157" s="56" t="s">
        <v>7447</v>
      </c>
      <c r="U1157" s="53" t="s">
        <v>370</v>
      </c>
    </row>
    <row r="1158">
      <c r="A1158" s="54" t="s">
        <v>7448</v>
      </c>
      <c r="B1158" s="50" t="s">
        <v>2559</v>
      </c>
      <c r="C1158" s="51" t="s">
        <v>7449</v>
      </c>
      <c r="D1158" s="51"/>
      <c r="E1158" s="51"/>
      <c r="F1158" s="51"/>
      <c r="G1158" s="50" t="s">
        <v>7450</v>
      </c>
      <c r="H1158" s="52">
        <v>44683.36222222222</v>
      </c>
      <c r="I1158" s="50"/>
      <c r="J1158" s="50"/>
      <c r="K1158" s="50" t="s">
        <v>7451</v>
      </c>
      <c r="L1158" s="50" t="s">
        <v>7452</v>
      </c>
      <c r="M1158" s="50" t="s">
        <v>2564</v>
      </c>
      <c r="N1158" s="50" t="s">
        <v>7453</v>
      </c>
      <c r="O1158" s="53" t="s">
        <v>92</v>
      </c>
      <c r="P1158" s="55" t="s">
        <v>2566</v>
      </c>
      <c r="Q1158" s="50">
        <v>1217.0</v>
      </c>
      <c r="R1158" s="50">
        <v>1914.0</v>
      </c>
      <c r="S1158" s="50" t="s">
        <v>246</v>
      </c>
      <c r="T1158" s="56" t="s">
        <v>7454</v>
      </c>
      <c r="U1158" s="53" t="s">
        <v>7455</v>
      </c>
    </row>
    <row r="1159">
      <c r="A1159" s="54" t="s">
        <v>7456</v>
      </c>
      <c r="B1159" s="50" t="s">
        <v>7457</v>
      </c>
      <c r="C1159" s="51" t="s">
        <v>367</v>
      </c>
      <c r="D1159" s="51"/>
      <c r="E1159" s="51"/>
      <c r="F1159" s="51"/>
      <c r="G1159" s="50" t="s">
        <v>7458</v>
      </c>
      <c r="H1159" s="52">
        <v>44683.3621412037</v>
      </c>
      <c r="I1159" s="50"/>
      <c r="J1159" s="50"/>
      <c r="K1159" s="50"/>
      <c r="L1159" s="50"/>
      <c r="M1159" s="50" t="s">
        <v>7459</v>
      </c>
      <c r="N1159" s="50"/>
      <c r="O1159" s="53" t="s">
        <v>217</v>
      </c>
      <c r="P1159" s="55" t="s">
        <v>7460</v>
      </c>
      <c r="Q1159" s="50">
        <v>2634.0</v>
      </c>
      <c r="R1159" s="50">
        <v>2670.0</v>
      </c>
      <c r="S1159" s="50" t="s">
        <v>1007</v>
      </c>
      <c r="T1159" s="56" t="s">
        <v>7461</v>
      </c>
      <c r="U1159" s="53" t="s">
        <v>370</v>
      </c>
    </row>
    <row r="1160">
      <c r="A1160" s="54" t="s">
        <v>7462</v>
      </c>
      <c r="B1160" s="50" t="s">
        <v>2771</v>
      </c>
      <c r="C1160" s="51" t="s">
        <v>7463</v>
      </c>
      <c r="D1160" s="51"/>
      <c r="E1160" s="51"/>
      <c r="F1160" s="51"/>
      <c r="G1160" s="50" t="s">
        <v>7464</v>
      </c>
      <c r="H1160" s="52">
        <v>44683.36208333333</v>
      </c>
      <c r="I1160" s="50"/>
      <c r="J1160" s="50"/>
      <c r="K1160" s="50" t="s">
        <v>6714</v>
      </c>
      <c r="L1160" s="50" t="s">
        <v>6711</v>
      </c>
      <c r="M1160" s="50" t="s">
        <v>2774</v>
      </c>
      <c r="N1160" s="50" t="s">
        <v>7465</v>
      </c>
      <c r="O1160" s="53" t="s">
        <v>60</v>
      </c>
      <c r="P1160" s="55" t="s">
        <v>2775</v>
      </c>
      <c r="Q1160" s="50">
        <v>801.0</v>
      </c>
      <c r="R1160" s="50">
        <v>1346.0</v>
      </c>
      <c r="S1160" s="50" t="s">
        <v>2776</v>
      </c>
      <c r="T1160" s="56" t="s">
        <v>7466</v>
      </c>
      <c r="U1160" s="53" t="s">
        <v>7467</v>
      </c>
    </row>
    <row r="1161">
      <c r="A1161" s="54" t="s">
        <v>7468</v>
      </c>
      <c r="B1161" s="50" t="s">
        <v>2118</v>
      </c>
      <c r="C1161" s="51" t="s">
        <v>7469</v>
      </c>
      <c r="D1161" s="51"/>
      <c r="E1161" s="51"/>
      <c r="F1161" s="51"/>
      <c r="G1161" s="50" t="s">
        <v>7470</v>
      </c>
      <c r="H1161" s="52">
        <v>44683.36201388889</v>
      </c>
      <c r="I1161" s="50"/>
      <c r="J1161" s="50"/>
      <c r="K1161" s="50" t="s">
        <v>7471</v>
      </c>
      <c r="L1161" s="50" t="s">
        <v>7472</v>
      </c>
      <c r="M1161" s="50" t="s">
        <v>2123</v>
      </c>
      <c r="N1161" s="50" t="s">
        <v>7473</v>
      </c>
      <c r="O1161" s="53" t="s">
        <v>70</v>
      </c>
      <c r="P1161" s="55" t="s">
        <v>2125</v>
      </c>
      <c r="Q1161" s="50">
        <v>1818.0</v>
      </c>
      <c r="R1161" s="50">
        <v>1497.0</v>
      </c>
      <c r="S1161" s="50" t="s">
        <v>2126</v>
      </c>
      <c r="T1161" s="56" t="s">
        <v>7474</v>
      </c>
      <c r="U1161" s="53" t="s">
        <v>7475</v>
      </c>
    </row>
    <row r="1162">
      <c r="A1162" s="54" t="s">
        <v>7476</v>
      </c>
      <c r="B1162" s="50" t="s">
        <v>6805</v>
      </c>
      <c r="C1162" s="51" t="s">
        <v>363</v>
      </c>
      <c r="D1162" s="51"/>
      <c r="E1162" s="51"/>
      <c r="F1162" s="51"/>
      <c r="G1162" s="50" t="s">
        <v>7477</v>
      </c>
      <c r="H1162" s="52">
        <v>44683.36200231481</v>
      </c>
      <c r="I1162" s="50"/>
      <c r="J1162" s="50"/>
      <c r="K1162" s="50"/>
      <c r="L1162" s="50"/>
      <c r="M1162" s="50" t="s">
        <v>6807</v>
      </c>
      <c r="N1162" s="50"/>
      <c r="O1162" s="53" t="s">
        <v>70</v>
      </c>
      <c r="P1162" s="55" t="s">
        <v>6808</v>
      </c>
      <c r="Q1162" s="50">
        <v>2170.0</v>
      </c>
      <c r="R1162" s="50">
        <v>3551.0</v>
      </c>
      <c r="S1162" s="50" t="s">
        <v>6809</v>
      </c>
      <c r="T1162" s="56" t="s">
        <v>7478</v>
      </c>
      <c r="U1162" s="53" t="s">
        <v>332</v>
      </c>
    </row>
    <row r="1163">
      <c r="A1163" s="54" t="s">
        <v>7479</v>
      </c>
      <c r="B1163" s="50" t="s">
        <v>7480</v>
      </c>
      <c r="C1163" s="51" t="s">
        <v>335</v>
      </c>
      <c r="D1163" s="51"/>
      <c r="E1163" s="51"/>
      <c r="F1163" s="51"/>
      <c r="G1163" s="50" t="s">
        <v>7481</v>
      </c>
      <c r="H1163" s="52">
        <v>44683.36196759259</v>
      </c>
      <c r="I1163" s="50"/>
      <c r="J1163" s="50"/>
      <c r="K1163" s="50"/>
      <c r="L1163" s="50"/>
      <c r="M1163" s="50" t="s">
        <v>7482</v>
      </c>
      <c r="N1163" s="50"/>
      <c r="O1163" s="53" t="s">
        <v>92</v>
      </c>
      <c r="P1163" s="55" t="s">
        <v>7483</v>
      </c>
      <c r="Q1163" s="50">
        <v>168.0</v>
      </c>
      <c r="R1163" s="50">
        <v>476.0</v>
      </c>
      <c r="S1163" s="50"/>
      <c r="T1163" s="56" t="s">
        <v>7484</v>
      </c>
      <c r="U1163" s="53" t="s">
        <v>339</v>
      </c>
    </row>
    <row r="1164">
      <c r="A1164" s="54" t="s">
        <v>7485</v>
      </c>
      <c r="B1164" s="50" t="s">
        <v>5463</v>
      </c>
      <c r="C1164" s="51" t="s">
        <v>7486</v>
      </c>
      <c r="D1164" s="51"/>
      <c r="E1164" s="51"/>
      <c r="F1164" s="51"/>
      <c r="G1164" s="50" t="s">
        <v>7487</v>
      </c>
      <c r="H1164" s="52">
        <v>44683.36184027778</v>
      </c>
      <c r="I1164" s="50"/>
      <c r="J1164" s="50"/>
      <c r="K1164" s="50" t="s">
        <v>5402</v>
      </c>
      <c r="L1164" s="50" t="s">
        <v>5403</v>
      </c>
      <c r="M1164" s="50" t="s">
        <v>5468</v>
      </c>
      <c r="N1164" s="50" t="s">
        <v>7488</v>
      </c>
      <c r="O1164" s="53" t="s">
        <v>92</v>
      </c>
      <c r="P1164" s="55" t="s">
        <v>5470</v>
      </c>
      <c r="Q1164" s="50">
        <v>670.0</v>
      </c>
      <c r="R1164" s="50">
        <v>1041.0</v>
      </c>
      <c r="S1164" s="50" t="s">
        <v>129</v>
      </c>
      <c r="T1164" s="56" t="s">
        <v>7489</v>
      </c>
      <c r="U1164" s="53" t="s">
        <v>7490</v>
      </c>
    </row>
    <row r="1165">
      <c r="A1165" s="54" t="s">
        <v>7491</v>
      </c>
      <c r="B1165" s="50" t="s">
        <v>7492</v>
      </c>
      <c r="C1165" s="51" t="s">
        <v>367</v>
      </c>
      <c r="D1165" s="51"/>
      <c r="E1165" s="51"/>
      <c r="F1165" s="51"/>
      <c r="G1165" s="50" t="s">
        <v>7493</v>
      </c>
      <c r="H1165" s="52">
        <v>44683.361817129626</v>
      </c>
      <c r="I1165" s="50"/>
      <c r="J1165" s="50"/>
      <c r="K1165" s="50"/>
      <c r="L1165" s="50"/>
      <c r="M1165" s="50" t="s">
        <v>7494</v>
      </c>
      <c r="N1165" s="50"/>
      <c r="O1165" s="53" t="s">
        <v>217</v>
      </c>
      <c r="P1165" s="55" t="s">
        <v>7495</v>
      </c>
      <c r="Q1165" s="50">
        <v>16.0</v>
      </c>
      <c r="R1165" s="50">
        <v>93.0</v>
      </c>
      <c r="S1165" s="50" t="s">
        <v>7496</v>
      </c>
      <c r="T1165" s="56" t="s">
        <v>7497</v>
      </c>
      <c r="U1165" s="53" t="s">
        <v>370</v>
      </c>
    </row>
    <row r="1166">
      <c r="A1166" s="54" t="s">
        <v>7498</v>
      </c>
      <c r="B1166" s="50" t="s">
        <v>7480</v>
      </c>
      <c r="C1166" s="51" t="s">
        <v>367</v>
      </c>
      <c r="D1166" s="51"/>
      <c r="E1166" s="51"/>
      <c r="F1166" s="51"/>
      <c r="G1166" s="50" t="s">
        <v>7499</v>
      </c>
      <c r="H1166" s="52">
        <v>44683.36179398149</v>
      </c>
      <c r="I1166" s="50"/>
      <c r="J1166" s="50"/>
      <c r="K1166" s="50"/>
      <c r="L1166" s="50"/>
      <c r="M1166" s="50" t="s">
        <v>7482</v>
      </c>
      <c r="N1166" s="50"/>
      <c r="O1166" s="53" t="s">
        <v>92</v>
      </c>
      <c r="P1166" s="55" t="s">
        <v>7483</v>
      </c>
      <c r="Q1166" s="50">
        <v>168.0</v>
      </c>
      <c r="R1166" s="50">
        <v>476.0</v>
      </c>
      <c r="S1166" s="50"/>
      <c r="T1166" s="56" t="s">
        <v>7500</v>
      </c>
      <c r="U1166" s="53" t="s">
        <v>370</v>
      </c>
    </row>
    <row r="1167">
      <c r="A1167" s="54" t="s">
        <v>7501</v>
      </c>
      <c r="B1167" s="50" t="s">
        <v>7502</v>
      </c>
      <c r="C1167" s="51" t="s">
        <v>7503</v>
      </c>
      <c r="D1167" s="51"/>
      <c r="E1167" s="51"/>
      <c r="F1167" s="51"/>
      <c r="G1167" s="50" t="s">
        <v>7499</v>
      </c>
      <c r="H1167" s="52">
        <v>44683.36179398149</v>
      </c>
      <c r="I1167" s="50"/>
      <c r="J1167" s="50"/>
      <c r="K1167" s="50"/>
      <c r="L1167" s="50"/>
      <c r="M1167" s="50" t="s">
        <v>7504</v>
      </c>
      <c r="N1167" s="50"/>
      <c r="O1167" s="53" t="s">
        <v>7505</v>
      </c>
      <c r="P1167" s="55" t="s">
        <v>7506</v>
      </c>
      <c r="Q1167" s="50">
        <v>548.0</v>
      </c>
      <c r="R1167" s="50">
        <v>59.0</v>
      </c>
      <c r="S1167" s="50" t="s">
        <v>246</v>
      </c>
      <c r="T1167" s="56" t="s">
        <v>7507</v>
      </c>
      <c r="U1167" s="53" t="s">
        <v>7508</v>
      </c>
    </row>
    <row r="1168">
      <c r="A1168" s="54" t="s">
        <v>7509</v>
      </c>
      <c r="B1168" s="50" t="s">
        <v>6805</v>
      </c>
      <c r="C1168" s="51" t="s">
        <v>367</v>
      </c>
      <c r="D1168" s="51"/>
      <c r="E1168" s="51"/>
      <c r="F1168" s="51"/>
      <c r="G1168" s="50" t="s">
        <v>7510</v>
      </c>
      <c r="H1168" s="52">
        <v>44683.36175925926</v>
      </c>
      <c r="I1168" s="50"/>
      <c r="J1168" s="50"/>
      <c r="K1168" s="50"/>
      <c r="L1168" s="50"/>
      <c r="M1168" s="50" t="s">
        <v>6807</v>
      </c>
      <c r="N1168" s="50"/>
      <c r="O1168" s="53" t="s">
        <v>70</v>
      </c>
      <c r="P1168" s="55" t="s">
        <v>6808</v>
      </c>
      <c r="Q1168" s="50">
        <v>2170.0</v>
      </c>
      <c r="R1168" s="50">
        <v>3551.0</v>
      </c>
      <c r="S1168" s="50" t="s">
        <v>6809</v>
      </c>
      <c r="T1168" s="56" t="s">
        <v>7511</v>
      </c>
      <c r="U1168" s="53" t="s">
        <v>370</v>
      </c>
    </row>
    <row r="1169">
      <c r="A1169" s="54" t="s">
        <v>7512</v>
      </c>
      <c r="B1169" s="50" t="s">
        <v>7513</v>
      </c>
      <c r="C1169" s="51" t="s">
        <v>7514</v>
      </c>
      <c r="D1169" s="51"/>
      <c r="E1169" s="51"/>
      <c r="F1169" s="51"/>
      <c r="G1169" s="50" t="s">
        <v>7515</v>
      </c>
      <c r="H1169" s="52">
        <v>44683.36164351852</v>
      </c>
      <c r="I1169" s="50"/>
      <c r="J1169" s="50"/>
      <c r="K1169" s="50"/>
      <c r="L1169" s="50"/>
      <c r="M1169" s="50" t="s">
        <v>7516</v>
      </c>
      <c r="N1169" s="50"/>
      <c r="O1169" s="53" t="s">
        <v>92</v>
      </c>
      <c r="P1169" s="55" t="s">
        <v>7517</v>
      </c>
      <c r="Q1169" s="50">
        <v>166.0</v>
      </c>
      <c r="R1169" s="50">
        <v>599.0</v>
      </c>
      <c r="S1169" s="50"/>
      <c r="T1169" s="56" t="s">
        <v>7518</v>
      </c>
      <c r="U1169" s="53" t="s">
        <v>7519</v>
      </c>
    </row>
    <row r="1170">
      <c r="A1170" s="54" t="s">
        <v>7520</v>
      </c>
      <c r="B1170" s="50" t="s">
        <v>7521</v>
      </c>
      <c r="C1170" s="51" t="s">
        <v>7522</v>
      </c>
      <c r="D1170" s="51"/>
      <c r="E1170" s="51"/>
      <c r="F1170" s="51"/>
      <c r="G1170" s="50" t="s">
        <v>7523</v>
      </c>
      <c r="H1170" s="52">
        <v>44683.36162037037</v>
      </c>
      <c r="I1170" s="50"/>
      <c r="J1170" s="50"/>
      <c r="K1170" s="50" t="s">
        <v>7524</v>
      </c>
      <c r="L1170" s="50" t="s">
        <v>7525</v>
      </c>
      <c r="M1170" s="50" t="s">
        <v>7526</v>
      </c>
      <c r="N1170" s="50" t="s">
        <v>7527</v>
      </c>
      <c r="O1170" s="53" t="s">
        <v>92</v>
      </c>
      <c r="P1170" s="55" t="s">
        <v>7528</v>
      </c>
      <c r="Q1170" s="50">
        <v>2991.0</v>
      </c>
      <c r="R1170" s="50">
        <v>2387.0</v>
      </c>
      <c r="S1170" s="50" t="s">
        <v>7529</v>
      </c>
      <c r="T1170" s="56" t="s">
        <v>7530</v>
      </c>
      <c r="U1170" s="53" t="s">
        <v>7531</v>
      </c>
    </row>
    <row r="1171">
      <c r="A1171" s="54" t="s">
        <v>7532</v>
      </c>
      <c r="B1171" s="50" t="s">
        <v>7533</v>
      </c>
      <c r="C1171" s="51" t="s">
        <v>367</v>
      </c>
      <c r="D1171" s="51"/>
      <c r="E1171" s="51"/>
      <c r="F1171" s="51"/>
      <c r="G1171" s="50" t="s">
        <v>7534</v>
      </c>
      <c r="H1171" s="52">
        <v>44683.361388888894</v>
      </c>
      <c r="I1171" s="50"/>
      <c r="J1171" s="50"/>
      <c r="K1171" s="50"/>
      <c r="L1171" s="50"/>
      <c r="M1171" s="50" t="s">
        <v>7535</v>
      </c>
      <c r="N1171" s="50"/>
      <c r="O1171" s="53" t="s">
        <v>217</v>
      </c>
      <c r="P1171" s="55" t="s">
        <v>7536</v>
      </c>
      <c r="Q1171" s="50">
        <v>79.0</v>
      </c>
      <c r="R1171" s="50">
        <v>257.0</v>
      </c>
      <c r="S1171" s="50"/>
      <c r="T1171" s="56" t="s">
        <v>7537</v>
      </c>
      <c r="U1171" s="53" t="s">
        <v>370</v>
      </c>
    </row>
    <row r="1172">
      <c r="A1172" s="54" t="s">
        <v>7538</v>
      </c>
      <c r="B1172" s="50" t="s">
        <v>7539</v>
      </c>
      <c r="C1172" s="51" t="s">
        <v>367</v>
      </c>
      <c r="D1172" s="51"/>
      <c r="E1172" s="51"/>
      <c r="F1172" s="51"/>
      <c r="G1172" s="50" t="s">
        <v>7540</v>
      </c>
      <c r="H1172" s="52">
        <v>44683.361296296294</v>
      </c>
      <c r="I1172" s="50"/>
      <c r="J1172" s="50"/>
      <c r="K1172" s="50"/>
      <c r="L1172" s="50"/>
      <c r="M1172" s="50" t="s">
        <v>7541</v>
      </c>
      <c r="N1172" s="50"/>
      <c r="O1172" s="53" t="s">
        <v>70</v>
      </c>
      <c r="P1172" s="55" t="s">
        <v>7542</v>
      </c>
      <c r="Q1172" s="50">
        <v>1394.0</v>
      </c>
      <c r="R1172" s="50">
        <v>2299.0</v>
      </c>
      <c r="S1172" s="50" t="s">
        <v>7543</v>
      </c>
      <c r="T1172" s="56" t="s">
        <v>7544</v>
      </c>
      <c r="U1172" s="53" t="s">
        <v>370</v>
      </c>
    </row>
    <row r="1173">
      <c r="A1173" s="54" t="s">
        <v>7545</v>
      </c>
      <c r="B1173" s="50" t="s">
        <v>7546</v>
      </c>
      <c r="C1173" s="51" t="s">
        <v>1772</v>
      </c>
      <c r="D1173" s="51"/>
      <c r="E1173" s="51"/>
      <c r="F1173" s="51"/>
      <c r="G1173" s="50" t="s">
        <v>7547</v>
      </c>
      <c r="H1173" s="52">
        <v>44683.3612037037</v>
      </c>
      <c r="I1173" s="50"/>
      <c r="J1173" s="50"/>
      <c r="K1173" s="50"/>
      <c r="L1173" s="50"/>
      <c r="M1173" s="50" t="s">
        <v>7548</v>
      </c>
      <c r="N1173" s="50"/>
      <c r="O1173" s="53" t="s">
        <v>92</v>
      </c>
      <c r="P1173" s="55" t="s">
        <v>7549</v>
      </c>
      <c r="Q1173" s="50">
        <v>153.0</v>
      </c>
      <c r="R1173" s="50">
        <v>213.0</v>
      </c>
      <c r="S1173" s="50" t="s">
        <v>7550</v>
      </c>
      <c r="T1173" s="56" t="s">
        <v>7551</v>
      </c>
      <c r="U1173" s="53" t="s">
        <v>1777</v>
      </c>
    </row>
    <row r="1174">
      <c r="A1174" s="54" t="s">
        <v>7552</v>
      </c>
      <c r="B1174" s="50" t="s">
        <v>7553</v>
      </c>
      <c r="C1174" s="51" t="s">
        <v>1307</v>
      </c>
      <c r="D1174" s="51"/>
      <c r="E1174" s="51"/>
      <c r="F1174" s="51"/>
      <c r="G1174" s="50" t="s">
        <v>7554</v>
      </c>
      <c r="H1174" s="52">
        <v>44683.36108796296</v>
      </c>
      <c r="I1174" s="50"/>
      <c r="J1174" s="50"/>
      <c r="K1174" s="50"/>
      <c r="L1174" s="50"/>
      <c r="M1174" s="50" t="s">
        <v>7555</v>
      </c>
      <c r="N1174" s="50"/>
      <c r="O1174" s="53" t="s">
        <v>217</v>
      </c>
      <c r="P1174" s="55" t="s">
        <v>7556</v>
      </c>
      <c r="Q1174" s="50">
        <v>4.0</v>
      </c>
      <c r="R1174" s="50">
        <v>48.0</v>
      </c>
      <c r="S1174" s="50" t="s">
        <v>1064</v>
      </c>
      <c r="T1174" s="56" t="s">
        <v>7557</v>
      </c>
      <c r="U1174" s="53" t="s">
        <v>1313</v>
      </c>
    </row>
    <row r="1175">
      <c r="A1175" s="54" t="s">
        <v>7558</v>
      </c>
      <c r="B1175" s="50" t="s">
        <v>7559</v>
      </c>
      <c r="C1175" s="51" t="s">
        <v>367</v>
      </c>
      <c r="D1175" s="51"/>
      <c r="E1175" s="51"/>
      <c r="F1175" s="51"/>
      <c r="G1175" s="50" t="s">
        <v>7560</v>
      </c>
      <c r="H1175" s="52">
        <v>44683.36106481482</v>
      </c>
      <c r="I1175" s="50"/>
      <c r="J1175" s="50"/>
      <c r="K1175" s="50"/>
      <c r="L1175" s="50"/>
      <c r="M1175" s="50" t="s">
        <v>7561</v>
      </c>
      <c r="N1175" s="50"/>
      <c r="O1175" s="53" t="s">
        <v>92</v>
      </c>
      <c r="P1175" s="55" t="s">
        <v>7562</v>
      </c>
      <c r="Q1175" s="50">
        <v>26539.0</v>
      </c>
      <c r="R1175" s="50">
        <v>1793.0</v>
      </c>
      <c r="S1175" s="50" t="s">
        <v>129</v>
      </c>
      <c r="T1175" s="56" t="s">
        <v>7563</v>
      </c>
      <c r="U1175" s="53" t="s">
        <v>370</v>
      </c>
    </row>
    <row r="1176">
      <c r="A1176" s="54" t="s">
        <v>7564</v>
      </c>
      <c r="B1176" s="50" t="s">
        <v>7565</v>
      </c>
      <c r="C1176" s="51" t="s">
        <v>1402</v>
      </c>
      <c r="D1176" s="51"/>
      <c r="E1176" s="51"/>
      <c r="F1176" s="51"/>
      <c r="G1176" s="50" t="s">
        <v>7566</v>
      </c>
      <c r="H1176" s="52">
        <v>44683.360925925925</v>
      </c>
      <c r="I1176" s="50"/>
      <c r="J1176" s="50"/>
      <c r="K1176" s="50"/>
      <c r="L1176" s="50"/>
      <c r="M1176" s="50" t="s">
        <v>7567</v>
      </c>
      <c r="N1176" s="50"/>
      <c r="O1176" s="53" t="s">
        <v>92</v>
      </c>
      <c r="P1176" s="55" t="s">
        <v>7568</v>
      </c>
      <c r="Q1176" s="50">
        <v>197.0</v>
      </c>
      <c r="R1176" s="50">
        <v>754.0</v>
      </c>
      <c r="S1176" s="50"/>
      <c r="T1176" s="56" t="s">
        <v>7569</v>
      </c>
      <c r="U1176" s="53" t="s">
        <v>1408</v>
      </c>
    </row>
    <row r="1177">
      <c r="A1177" s="54" t="s">
        <v>7570</v>
      </c>
      <c r="B1177" s="50" t="s">
        <v>7571</v>
      </c>
      <c r="C1177" s="51" t="s">
        <v>7572</v>
      </c>
      <c r="D1177" s="51"/>
      <c r="E1177" s="51"/>
      <c r="F1177" s="51"/>
      <c r="G1177" s="50" t="s">
        <v>7573</v>
      </c>
      <c r="H1177" s="52">
        <v>44683.36078703703</v>
      </c>
      <c r="I1177" s="50"/>
      <c r="J1177" s="50"/>
      <c r="K1177" s="50" t="s">
        <v>1947</v>
      </c>
      <c r="L1177" s="50" t="s">
        <v>1948</v>
      </c>
      <c r="M1177" s="50" t="s">
        <v>7574</v>
      </c>
      <c r="N1177" s="50" t="s">
        <v>1950</v>
      </c>
      <c r="O1177" s="53" t="s">
        <v>92</v>
      </c>
      <c r="P1177" s="55" t="s">
        <v>7575</v>
      </c>
      <c r="Q1177" s="50">
        <v>83.0</v>
      </c>
      <c r="R1177" s="50">
        <v>788.0</v>
      </c>
      <c r="S1177" s="50" t="s">
        <v>7576</v>
      </c>
      <c r="T1177" s="56" t="s">
        <v>7577</v>
      </c>
      <c r="U1177" s="53" t="s">
        <v>7578</v>
      </c>
    </row>
    <row r="1178">
      <c r="A1178" s="54" t="s">
        <v>7579</v>
      </c>
      <c r="B1178" s="50" t="s">
        <v>7580</v>
      </c>
      <c r="C1178" s="51" t="s">
        <v>7581</v>
      </c>
      <c r="D1178" s="51"/>
      <c r="E1178" s="51"/>
      <c r="F1178" s="51"/>
      <c r="G1178" s="50" t="s">
        <v>7582</v>
      </c>
      <c r="H1178" s="52">
        <v>44683.36052083333</v>
      </c>
      <c r="I1178" s="50"/>
      <c r="J1178" s="50"/>
      <c r="K1178" s="50"/>
      <c r="L1178" s="50"/>
      <c r="M1178" s="50" t="s">
        <v>7583</v>
      </c>
      <c r="N1178" s="50"/>
      <c r="O1178" s="53" t="s">
        <v>70</v>
      </c>
      <c r="P1178" s="55" t="s">
        <v>7584</v>
      </c>
      <c r="Q1178" s="50">
        <v>470.0</v>
      </c>
      <c r="R1178" s="50">
        <v>577.0</v>
      </c>
      <c r="S1178" s="50"/>
      <c r="T1178" s="56" t="s">
        <v>7585</v>
      </c>
      <c r="U1178" s="53" t="s">
        <v>7586</v>
      </c>
    </row>
    <row r="1179">
      <c r="A1179" s="54" t="s">
        <v>7587</v>
      </c>
      <c r="B1179" s="50" t="s">
        <v>7588</v>
      </c>
      <c r="C1179" s="51" t="s">
        <v>1803</v>
      </c>
      <c r="D1179" s="51"/>
      <c r="E1179" s="51"/>
      <c r="F1179" s="51"/>
      <c r="G1179" s="50" t="s">
        <v>7589</v>
      </c>
      <c r="H1179" s="52">
        <v>44683.36048611111</v>
      </c>
      <c r="I1179" s="50"/>
      <c r="J1179" s="50"/>
      <c r="K1179" s="50"/>
      <c r="L1179" s="50"/>
      <c r="M1179" s="50" t="s">
        <v>7590</v>
      </c>
      <c r="N1179" s="50"/>
      <c r="O1179" s="53" t="s">
        <v>217</v>
      </c>
      <c r="P1179" s="55" t="s">
        <v>7591</v>
      </c>
      <c r="Q1179" s="50">
        <v>4270.0</v>
      </c>
      <c r="R1179" s="50">
        <v>4956.0</v>
      </c>
      <c r="S1179" s="50" t="s">
        <v>1311</v>
      </c>
      <c r="T1179" s="56" t="s">
        <v>7592</v>
      </c>
      <c r="U1179" s="53" t="s">
        <v>1809</v>
      </c>
    </row>
    <row r="1180">
      <c r="A1180" s="54" t="s">
        <v>7593</v>
      </c>
      <c r="B1180" s="50" t="s">
        <v>7594</v>
      </c>
      <c r="C1180" s="51" t="s">
        <v>5847</v>
      </c>
      <c r="D1180" s="51"/>
      <c r="E1180" s="51"/>
      <c r="F1180" s="51"/>
      <c r="G1180" s="50" t="s">
        <v>7595</v>
      </c>
      <c r="H1180" s="52">
        <v>44683.360185185185</v>
      </c>
      <c r="I1180" s="50"/>
      <c r="J1180" s="50"/>
      <c r="K1180" s="50"/>
      <c r="L1180" s="50"/>
      <c r="M1180" s="50" t="s">
        <v>7596</v>
      </c>
      <c r="N1180" s="50"/>
      <c r="O1180" s="53" t="s">
        <v>60</v>
      </c>
      <c r="P1180" s="55" t="s">
        <v>7597</v>
      </c>
      <c r="Q1180" s="50">
        <v>660.0</v>
      </c>
      <c r="R1180" s="50">
        <v>521.0</v>
      </c>
      <c r="S1180" s="50" t="s">
        <v>7598</v>
      </c>
      <c r="T1180" s="56" t="s">
        <v>7599</v>
      </c>
      <c r="U1180" s="53" t="s">
        <v>5853</v>
      </c>
    </row>
    <row r="1181">
      <c r="A1181" s="54" t="s">
        <v>7600</v>
      </c>
      <c r="B1181" s="50" t="s">
        <v>7601</v>
      </c>
      <c r="C1181" s="51" t="s">
        <v>726</v>
      </c>
      <c r="D1181" s="51"/>
      <c r="E1181" s="51"/>
      <c r="F1181" s="51"/>
      <c r="G1181" s="50" t="s">
        <v>7602</v>
      </c>
      <c r="H1181" s="52">
        <v>44683.36009259259</v>
      </c>
      <c r="I1181" s="50"/>
      <c r="J1181" s="50"/>
      <c r="K1181" s="50"/>
      <c r="L1181" s="50"/>
      <c r="M1181" s="50" t="s">
        <v>7603</v>
      </c>
      <c r="N1181" s="50"/>
      <c r="O1181" s="53" t="s">
        <v>92</v>
      </c>
      <c r="P1181" s="55" t="s">
        <v>7604</v>
      </c>
      <c r="Q1181" s="50">
        <v>1434.0</v>
      </c>
      <c r="R1181" s="50">
        <v>4979.0</v>
      </c>
      <c r="S1181" s="50" t="s">
        <v>7605</v>
      </c>
      <c r="T1181" s="56" t="s">
        <v>7606</v>
      </c>
      <c r="U1181" s="53" t="s">
        <v>731</v>
      </c>
    </row>
    <row r="1182">
      <c r="A1182" s="54" t="s">
        <v>7607</v>
      </c>
      <c r="B1182" s="50" t="s">
        <v>7608</v>
      </c>
      <c r="C1182" s="51" t="s">
        <v>367</v>
      </c>
      <c r="D1182" s="51"/>
      <c r="E1182" s="51"/>
      <c r="F1182" s="51"/>
      <c r="G1182" s="50" t="s">
        <v>7609</v>
      </c>
      <c r="H1182" s="52">
        <v>44683.36005787037</v>
      </c>
      <c r="I1182" s="50"/>
      <c r="J1182" s="50"/>
      <c r="K1182" s="50"/>
      <c r="L1182" s="50"/>
      <c r="M1182" s="50" t="s">
        <v>7610</v>
      </c>
      <c r="N1182" s="50"/>
      <c r="O1182" s="53" t="s">
        <v>70</v>
      </c>
      <c r="P1182" s="55" t="s">
        <v>7611</v>
      </c>
      <c r="Q1182" s="50">
        <v>531.0</v>
      </c>
      <c r="R1182" s="50">
        <v>464.0</v>
      </c>
      <c r="S1182" s="50" t="s">
        <v>2610</v>
      </c>
      <c r="T1182" s="56" t="s">
        <v>7612</v>
      </c>
      <c r="U1182" s="53" t="s">
        <v>370</v>
      </c>
    </row>
    <row r="1183">
      <c r="A1183" s="54" t="s">
        <v>7613</v>
      </c>
      <c r="B1183" s="50" t="s">
        <v>7614</v>
      </c>
      <c r="C1183" s="51" t="s">
        <v>7615</v>
      </c>
      <c r="D1183" s="51"/>
      <c r="E1183" s="51"/>
      <c r="F1183" s="51"/>
      <c r="G1183" s="50" t="s">
        <v>7616</v>
      </c>
      <c r="H1183" s="52">
        <v>44683.35997685185</v>
      </c>
      <c r="I1183" s="50"/>
      <c r="J1183" s="50"/>
      <c r="K1183" s="50"/>
      <c r="L1183" s="50"/>
      <c r="M1183" s="50" t="s">
        <v>7617</v>
      </c>
      <c r="N1183" s="50"/>
      <c r="O1183" s="53" t="s">
        <v>92</v>
      </c>
      <c r="P1183" s="55" t="s">
        <v>7618</v>
      </c>
      <c r="Q1183" s="50">
        <v>1504.0</v>
      </c>
      <c r="R1183" s="50">
        <v>1490.0</v>
      </c>
      <c r="S1183" s="50" t="s">
        <v>7619</v>
      </c>
      <c r="T1183" s="56" t="s">
        <v>7620</v>
      </c>
      <c r="U1183" s="53" t="s">
        <v>7621</v>
      </c>
    </row>
    <row r="1184">
      <c r="A1184" s="54" t="s">
        <v>7622</v>
      </c>
      <c r="B1184" s="50" t="s">
        <v>7623</v>
      </c>
      <c r="C1184" s="51" t="s">
        <v>7624</v>
      </c>
      <c r="D1184" s="51"/>
      <c r="E1184" s="51"/>
      <c r="F1184" s="51"/>
      <c r="G1184" s="50" t="s">
        <v>7625</v>
      </c>
      <c r="H1184" s="52">
        <v>44683.35996527778</v>
      </c>
      <c r="I1184" s="50"/>
      <c r="J1184" s="50"/>
      <c r="K1184" s="50"/>
      <c r="L1184" s="50"/>
      <c r="M1184" s="50" t="s">
        <v>7626</v>
      </c>
      <c r="N1184" s="50"/>
      <c r="O1184" s="53" t="s">
        <v>92</v>
      </c>
      <c r="P1184" s="55" t="s">
        <v>7627</v>
      </c>
      <c r="Q1184" s="50">
        <v>467.0</v>
      </c>
      <c r="R1184" s="50">
        <v>1073.0</v>
      </c>
      <c r="S1184" s="50" t="s">
        <v>7628</v>
      </c>
      <c r="T1184" s="56" t="s">
        <v>7629</v>
      </c>
      <c r="U1184" s="53" t="s">
        <v>7630</v>
      </c>
    </row>
    <row r="1185">
      <c r="A1185" s="54" t="s">
        <v>7631</v>
      </c>
      <c r="B1185" s="50" t="s">
        <v>2559</v>
      </c>
      <c r="C1185" s="51" t="s">
        <v>7632</v>
      </c>
      <c r="D1185" s="51"/>
      <c r="E1185" s="51"/>
      <c r="F1185" s="51"/>
      <c r="G1185" s="50" t="s">
        <v>7633</v>
      </c>
      <c r="H1185" s="52">
        <v>44683.35990740741</v>
      </c>
      <c r="I1185" s="50"/>
      <c r="J1185" s="50"/>
      <c r="K1185" s="50" t="s">
        <v>7634</v>
      </c>
      <c r="L1185" s="50" t="s">
        <v>7635</v>
      </c>
      <c r="M1185" s="50" t="s">
        <v>2564</v>
      </c>
      <c r="N1185" s="50" t="s">
        <v>7636</v>
      </c>
      <c r="O1185" s="53" t="s">
        <v>92</v>
      </c>
      <c r="P1185" s="55" t="s">
        <v>2566</v>
      </c>
      <c r="Q1185" s="50">
        <v>1217.0</v>
      </c>
      <c r="R1185" s="50">
        <v>1914.0</v>
      </c>
      <c r="S1185" s="50" t="s">
        <v>246</v>
      </c>
      <c r="T1185" s="56" t="s">
        <v>7637</v>
      </c>
      <c r="U1185" s="53" t="s">
        <v>7638</v>
      </c>
    </row>
    <row r="1186">
      <c r="A1186" s="54" t="s">
        <v>7639</v>
      </c>
      <c r="B1186" s="50" t="s">
        <v>7640</v>
      </c>
      <c r="C1186" s="51" t="s">
        <v>1402</v>
      </c>
      <c r="D1186" s="51"/>
      <c r="E1186" s="51"/>
      <c r="F1186" s="51"/>
      <c r="G1186" s="50" t="s">
        <v>7641</v>
      </c>
      <c r="H1186" s="52">
        <v>44683.35984953704</v>
      </c>
      <c r="I1186" s="50"/>
      <c r="J1186" s="50"/>
      <c r="K1186" s="50"/>
      <c r="L1186" s="50"/>
      <c r="M1186" s="50" t="s">
        <v>7642</v>
      </c>
      <c r="N1186" s="50"/>
      <c r="O1186" s="53" t="s">
        <v>60</v>
      </c>
      <c r="P1186" s="55" t="s">
        <v>7643</v>
      </c>
      <c r="Q1186" s="50">
        <v>2079.0</v>
      </c>
      <c r="R1186" s="50">
        <v>2646.0</v>
      </c>
      <c r="S1186" s="50" t="s">
        <v>7644</v>
      </c>
      <c r="T1186" s="56" t="s">
        <v>7645</v>
      </c>
      <c r="U1186" s="53" t="s">
        <v>1408</v>
      </c>
    </row>
    <row r="1187">
      <c r="A1187" s="54" t="s">
        <v>7646</v>
      </c>
      <c r="B1187" s="50" t="s">
        <v>7647</v>
      </c>
      <c r="C1187" s="51" t="s">
        <v>2869</v>
      </c>
      <c r="D1187" s="51"/>
      <c r="E1187" s="51"/>
      <c r="F1187" s="51"/>
      <c r="G1187" s="50" t="s">
        <v>7648</v>
      </c>
      <c r="H1187" s="52">
        <v>44683.35983796296</v>
      </c>
      <c r="I1187" s="50"/>
      <c r="J1187" s="50"/>
      <c r="K1187" s="50"/>
      <c r="L1187" s="50"/>
      <c r="M1187" s="50" t="s">
        <v>7649</v>
      </c>
      <c r="N1187" s="50"/>
      <c r="O1187" s="53" t="s">
        <v>70</v>
      </c>
      <c r="P1187" s="55" t="s">
        <v>354</v>
      </c>
      <c r="Q1187" s="50">
        <v>3402.0</v>
      </c>
      <c r="R1187" s="50">
        <v>4915.0</v>
      </c>
      <c r="S1187" s="50"/>
      <c r="T1187" s="56" t="s">
        <v>7650</v>
      </c>
      <c r="U1187" s="53" t="s">
        <v>2874</v>
      </c>
    </row>
    <row r="1188">
      <c r="A1188" s="54" t="s">
        <v>7651</v>
      </c>
      <c r="B1188" s="50" t="s">
        <v>7594</v>
      </c>
      <c r="C1188" s="51" t="s">
        <v>7142</v>
      </c>
      <c r="D1188" s="51"/>
      <c r="E1188" s="51"/>
      <c r="F1188" s="51"/>
      <c r="G1188" s="50" t="s">
        <v>7652</v>
      </c>
      <c r="H1188" s="52">
        <v>44683.35975694444</v>
      </c>
      <c r="I1188" s="50"/>
      <c r="J1188" s="50"/>
      <c r="K1188" s="50"/>
      <c r="L1188" s="50"/>
      <c r="M1188" s="50" t="s">
        <v>7596</v>
      </c>
      <c r="N1188" s="50"/>
      <c r="O1188" s="53" t="s">
        <v>60</v>
      </c>
      <c r="P1188" s="55" t="s">
        <v>7597</v>
      </c>
      <c r="Q1188" s="50">
        <v>660.0</v>
      </c>
      <c r="R1188" s="50">
        <v>521.0</v>
      </c>
      <c r="S1188" s="50" t="s">
        <v>7598</v>
      </c>
      <c r="T1188" s="56" t="s">
        <v>7653</v>
      </c>
      <c r="U1188" s="53" t="s">
        <v>7148</v>
      </c>
    </row>
    <row r="1189">
      <c r="A1189" s="54" t="s">
        <v>7654</v>
      </c>
      <c r="B1189" s="50" t="s">
        <v>7655</v>
      </c>
      <c r="C1189" s="51" t="s">
        <v>7656</v>
      </c>
      <c r="D1189" s="51"/>
      <c r="E1189" s="51"/>
      <c r="F1189" s="51"/>
      <c r="G1189" s="50" t="s">
        <v>7657</v>
      </c>
      <c r="H1189" s="52">
        <v>44683.35974537037</v>
      </c>
      <c r="I1189" s="50"/>
      <c r="J1189" s="50"/>
      <c r="K1189" s="50"/>
      <c r="L1189" s="50"/>
      <c r="M1189" s="50" t="s">
        <v>7658</v>
      </c>
      <c r="N1189" s="50"/>
      <c r="O1189" s="53" t="s">
        <v>70</v>
      </c>
      <c r="P1189" s="55" t="s">
        <v>7659</v>
      </c>
      <c r="Q1189" s="50">
        <v>204.0</v>
      </c>
      <c r="R1189" s="50">
        <v>106.0</v>
      </c>
      <c r="S1189" s="50" t="s">
        <v>7660</v>
      </c>
      <c r="T1189" s="56" t="s">
        <v>7661</v>
      </c>
      <c r="U1189" s="53" t="s">
        <v>7662</v>
      </c>
    </row>
    <row r="1190">
      <c r="A1190" s="54" t="s">
        <v>7663</v>
      </c>
      <c r="B1190" s="50" t="s">
        <v>7664</v>
      </c>
      <c r="C1190" s="51" t="s">
        <v>367</v>
      </c>
      <c r="D1190" s="51"/>
      <c r="E1190" s="51"/>
      <c r="F1190" s="51"/>
      <c r="G1190" s="50" t="s">
        <v>7665</v>
      </c>
      <c r="H1190" s="52">
        <v>44683.35960648148</v>
      </c>
      <c r="I1190" s="50"/>
      <c r="J1190" s="50"/>
      <c r="K1190" s="50"/>
      <c r="L1190" s="50"/>
      <c r="M1190" s="50" t="s">
        <v>7666</v>
      </c>
      <c r="N1190" s="50"/>
      <c r="O1190" s="53" t="s">
        <v>92</v>
      </c>
      <c r="P1190" s="55" t="s">
        <v>7667</v>
      </c>
      <c r="Q1190" s="50">
        <v>5763.0</v>
      </c>
      <c r="R1190" s="50">
        <v>2730.0</v>
      </c>
      <c r="S1190" s="50" t="s">
        <v>7668</v>
      </c>
      <c r="T1190" s="56" t="s">
        <v>7669</v>
      </c>
      <c r="U1190" s="53" t="s">
        <v>370</v>
      </c>
    </row>
    <row r="1191">
      <c r="A1191" s="54" t="s">
        <v>7670</v>
      </c>
      <c r="B1191" s="50" t="s">
        <v>7671</v>
      </c>
      <c r="C1191" s="51" t="s">
        <v>7672</v>
      </c>
      <c r="D1191" s="51"/>
      <c r="E1191" s="51"/>
      <c r="F1191" s="51"/>
      <c r="G1191" s="50" t="s">
        <v>7673</v>
      </c>
      <c r="H1191" s="52">
        <v>44683.359560185185</v>
      </c>
      <c r="I1191" s="50"/>
      <c r="J1191" s="50"/>
      <c r="K1191" s="50"/>
      <c r="L1191" s="50"/>
      <c r="M1191" s="50" t="s">
        <v>7674</v>
      </c>
      <c r="N1191" s="50"/>
      <c r="O1191" s="53" t="s">
        <v>92</v>
      </c>
      <c r="P1191" s="55" t="s">
        <v>7675</v>
      </c>
      <c r="Q1191" s="50">
        <v>1375.0</v>
      </c>
      <c r="R1191" s="50">
        <v>2863.0</v>
      </c>
      <c r="S1191" s="50" t="s">
        <v>7676</v>
      </c>
      <c r="T1191" s="56" t="s">
        <v>7677</v>
      </c>
      <c r="U1191" s="53" t="s">
        <v>7678</v>
      </c>
    </row>
    <row r="1192">
      <c r="A1192" s="54" t="s">
        <v>7679</v>
      </c>
      <c r="B1192" s="50" t="s">
        <v>7680</v>
      </c>
      <c r="C1192" s="51" t="s">
        <v>1772</v>
      </c>
      <c r="D1192" s="51"/>
      <c r="E1192" s="51"/>
      <c r="F1192" s="51"/>
      <c r="G1192" s="50" t="s">
        <v>7681</v>
      </c>
      <c r="H1192" s="52">
        <v>44683.359247685185</v>
      </c>
      <c r="I1192" s="50"/>
      <c r="J1192" s="50"/>
      <c r="K1192" s="50"/>
      <c r="L1192" s="50"/>
      <c r="M1192" s="50" t="s">
        <v>7682</v>
      </c>
      <c r="N1192" s="50"/>
      <c r="O1192" s="53" t="s">
        <v>217</v>
      </c>
      <c r="P1192" s="55" t="s">
        <v>7683</v>
      </c>
      <c r="Q1192" s="50">
        <v>635.0</v>
      </c>
      <c r="R1192" s="50">
        <v>1195.0</v>
      </c>
      <c r="S1192" s="50"/>
      <c r="T1192" s="56" t="s">
        <v>7684</v>
      </c>
      <c r="U1192" s="53" t="s">
        <v>1777</v>
      </c>
    </row>
    <row r="1193">
      <c r="A1193" s="54" t="s">
        <v>7685</v>
      </c>
      <c r="B1193" s="50" t="s">
        <v>7686</v>
      </c>
      <c r="C1193" s="51" t="s">
        <v>367</v>
      </c>
      <c r="D1193" s="51"/>
      <c r="E1193" s="51"/>
      <c r="F1193" s="51"/>
      <c r="G1193" s="50" t="s">
        <v>7687</v>
      </c>
      <c r="H1193" s="52">
        <v>44683.35902777778</v>
      </c>
      <c r="I1193" s="50"/>
      <c r="J1193" s="50"/>
      <c r="K1193" s="50"/>
      <c r="L1193" s="50"/>
      <c r="M1193" s="50" t="s">
        <v>7688</v>
      </c>
      <c r="N1193" s="50"/>
      <c r="O1193" s="53" t="s">
        <v>92</v>
      </c>
      <c r="P1193" s="55" t="s">
        <v>7689</v>
      </c>
      <c r="Q1193" s="50">
        <v>237.0</v>
      </c>
      <c r="R1193" s="50">
        <v>353.0</v>
      </c>
      <c r="S1193" s="50" t="s">
        <v>7690</v>
      </c>
      <c r="T1193" s="56" t="s">
        <v>7691</v>
      </c>
      <c r="U1193" s="53" t="s">
        <v>370</v>
      </c>
    </row>
    <row r="1194">
      <c r="A1194" s="54" t="s">
        <v>7692</v>
      </c>
      <c r="B1194" s="50" t="s">
        <v>7693</v>
      </c>
      <c r="C1194" s="51" t="s">
        <v>7694</v>
      </c>
      <c r="D1194" s="51"/>
      <c r="E1194" s="51"/>
      <c r="F1194" s="51"/>
      <c r="G1194" s="50" t="s">
        <v>7695</v>
      </c>
      <c r="H1194" s="52">
        <v>44683.35900462963</v>
      </c>
      <c r="I1194" s="50"/>
      <c r="J1194" s="50"/>
      <c r="K1194" s="50"/>
      <c r="L1194" s="50"/>
      <c r="M1194" s="50" t="s">
        <v>7696</v>
      </c>
      <c r="N1194" s="50"/>
      <c r="O1194" s="53" t="s">
        <v>92</v>
      </c>
      <c r="P1194" s="55" t="s">
        <v>7697</v>
      </c>
      <c r="Q1194" s="50">
        <v>7980.0</v>
      </c>
      <c r="R1194" s="50">
        <v>6533.0</v>
      </c>
      <c r="S1194" s="50" t="s">
        <v>7698</v>
      </c>
      <c r="T1194" s="56" t="s">
        <v>7699</v>
      </c>
      <c r="U1194" s="53" t="s">
        <v>7700</v>
      </c>
    </row>
    <row r="1195">
      <c r="A1195" s="54" t="s">
        <v>7701</v>
      </c>
      <c r="B1195" s="50" t="s">
        <v>7702</v>
      </c>
      <c r="C1195" s="51" t="s">
        <v>855</v>
      </c>
      <c r="D1195" s="51"/>
      <c r="E1195" s="51"/>
      <c r="F1195" s="51"/>
      <c r="G1195" s="50" t="s">
        <v>7703</v>
      </c>
      <c r="H1195" s="52">
        <v>44683.35878472222</v>
      </c>
      <c r="I1195" s="50"/>
      <c r="J1195" s="50"/>
      <c r="K1195" s="50"/>
      <c r="L1195" s="50"/>
      <c r="M1195" s="50" t="s">
        <v>7704</v>
      </c>
      <c r="N1195" s="50"/>
      <c r="O1195" s="53" t="s">
        <v>92</v>
      </c>
      <c r="P1195" s="55" t="s">
        <v>7705</v>
      </c>
      <c r="Q1195" s="50">
        <v>363.0</v>
      </c>
      <c r="R1195" s="50">
        <v>4993.0</v>
      </c>
      <c r="S1195" s="50"/>
      <c r="T1195" s="56" t="s">
        <v>7706</v>
      </c>
      <c r="U1195" s="53" t="s">
        <v>861</v>
      </c>
    </row>
    <row r="1196">
      <c r="A1196" s="54" t="s">
        <v>7707</v>
      </c>
      <c r="B1196" s="50" t="s">
        <v>7708</v>
      </c>
      <c r="C1196" s="51" t="s">
        <v>2869</v>
      </c>
      <c r="D1196" s="51"/>
      <c r="E1196" s="51"/>
      <c r="F1196" s="51"/>
      <c r="G1196" s="50" t="s">
        <v>7709</v>
      </c>
      <c r="H1196" s="52">
        <v>44683.35865740741</v>
      </c>
      <c r="I1196" s="50"/>
      <c r="J1196" s="50"/>
      <c r="K1196" s="50"/>
      <c r="L1196" s="50"/>
      <c r="M1196" s="50" t="s">
        <v>7710</v>
      </c>
      <c r="N1196" s="50"/>
      <c r="O1196" s="53" t="s">
        <v>70</v>
      </c>
      <c r="P1196" s="55" t="s">
        <v>7711</v>
      </c>
      <c r="Q1196" s="50">
        <v>1317.0</v>
      </c>
      <c r="R1196" s="50">
        <v>1466.0</v>
      </c>
      <c r="S1196" s="50" t="s">
        <v>7712</v>
      </c>
      <c r="T1196" s="56" t="s">
        <v>7713</v>
      </c>
      <c r="U1196" s="53" t="s">
        <v>2874</v>
      </c>
    </row>
    <row r="1197">
      <c r="A1197" s="54" t="s">
        <v>7714</v>
      </c>
      <c r="B1197" s="50" t="s">
        <v>7715</v>
      </c>
      <c r="C1197" s="51" t="s">
        <v>1402</v>
      </c>
      <c r="D1197" s="51"/>
      <c r="E1197" s="51"/>
      <c r="F1197" s="51"/>
      <c r="G1197" s="50" t="s">
        <v>7716</v>
      </c>
      <c r="H1197" s="52">
        <v>44683.35821759259</v>
      </c>
      <c r="I1197" s="50"/>
      <c r="J1197" s="50"/>
      <c r="K1197" s="50"/>
      <c r="L1197" s="50"/>
      <c r="M1197" s="50" t="s">
        <v>7717</v>
      </c>
      <c r="N1197" s="50"/>
      <c r="O1197" s="53" t="s">
        <v>92</v>
      </c>
      <c r="P1197" s="55" t="s">
        <v>7718</v>
      </c>
      <c r="Q1197" s="50">
        <v>1516.0</v>
      </c>
      <c r="R1197" s="50">
        <v>3031.0</v>
      </c>
      <c r="S1197" s="50" t="s">
        <v>5083</v>
      </c>
      <c r="T1197" s="56" t="s">
        <v>7719</v>
      </c>
      <c r="U1197" s="53" t="s">
        <v>1408</v>
      </c>
    </row>
    <row r="1198">
      <c r="A1198" s="54" t="s">
        <v>7720</v>
      </c>
      <c r="B1198" s="50" t="s">
        <v>2559</v>
      </c>
      <c r="C1198" s="51" t="s">
        <v>7721</v>
      </c>
      <c r="D1198" s="51"/>
      <c r="E1198" s="51"/>
      <c r="F1198" s="51"/>
      <c r="G1198" s="50" t="s">
        <v>7722</v>
      </c>
      <c r="H1198" s="52">
        <v>44683.358078703706</v>
      </c>
      <c r="I1198" s="50"/>
      <c r="J1198" s="50"/>
      <c r="K1198" s="50" t="s">
        <v>7723</v>
      </c>
      <c r="L1198" s="50" t="s">
        <v>7724</v>
      </c>
      <c r="M1198" s="50" t="s">
        <v>2564</v>
      </c>
      <c r="N1198" s="50" t="s">
        <v>7725</v>
      </c>
      <c r="O1198" s="53" t="s">
        <v>92</v>
      </c>
      <c r="P1198" s="55" t="s">
        <v>2566</v>
      </c>
      <c r="Q1198" s="50">
        <v>1217.0</v>
      </c>
      <c r="R1198" s="50">
        <v>1914.0</v>
      </c>
      <c r="S1198" s="50" t="s">
        <v>246</v>
      </c>
      <c r="T1198" s="56" t="s">
        <v>7726</v>
      </c>
      <c r="U1198" s="53" t="s">
        <v>7727</v>
      </c>
    </row>
    <row r="1199">
      <c r="A1199" s="54" t="s">
        <v>7728</v>
      </c>
      <c r="B1199" s="50" t="s">
        <v>7729</v>
      </c>
      <c r="C1199" s="51" t="s">
        <v>7142</v>
      </c>
      <c r="D1199" s="51"/>
      <c r="E1199" s="51"/>
      <c r="F1199" s="51"/>
      <c r="G1199" s="50" t="s">
        <v>7730</v>
      </c>
      <c r="H1199" s="52">
        <v>44683.35806712963</v>
      </c>
      <c r="I1199" s="50"/>
      <c r="J1199" s="50"/>
      <c r="K1199" s="50"/>
      <c r="L1199" s="50"/>
      <c r="M1199" s="50" t="s">
        <v>7731</v>
      </c>
      <c r="N1199" s="50"/>
      <c r="O1199" s="53" t="s">
        <v>70</v>
      </c>
      <c r="P1199" s="55" t="s">
        <v>7732</v>
      </c>
      <c r="Q1199" s="50">
        <v>4534.0</v>
      </c>
      <c r="R1199" s="50">
        <v>4798.0</v>
      </c>
      <c r="S1199" s="50" t="s">
        <v>1007</v>
      </c>
      <c r="T1199" s="56" t="s">
        <v>7733</v>
      </c>
      <c r="U1199" s="53" t="s">
        <v>7148</v>
      </c>
    </row>
    <row r="1200">
      <c r="A1200" s="54" t="s">
        <v>7734</v>
      </c>
      <c r="B1200" s="50" t="s">
        <v>6648</v>
      </c>
      <c r="C1200" s="51" t="s">
        <v>7735</v>
      </c>
      <c r="D1200" s="51"/>
      <c r="E1200" s="51"/>
      <c r="F1200" s="51"/>
      <c r="G1200" s="50" t="s">
        <v>7736</v>
      </c>
      <c r="H1200" s="52">
        <v>44683.35805555555</v>
      </c>
      <c r="I1200" s="50"/>
      <c r="J1200" s="50"/>
      <c r="K1200" s="50"/>
      <c r="L1200" s="50"/>
      <c r="M1200" s="50" t="s">
        <v>6651</v>
      </c>
      <c r="N1200" s="50"/>
      <c r="O1200" s="53" t="s">
        <v>92</v>
      </c>
      <c r="P1200" s="55" t="s">
        <v>6652</v>
      </c>
      <c r="Q1200" s="50">
        <v>2585.0</v>
      </c>
      <c r="R1200" s="50">
        <v>2680.0</v>
      </c>
      <c r="S1200" s="50" t="s">
        <v>219</v>
      </c>
      <c r="T1200" s="56" t="s">
        <v>7737</v>
      </c>
      <c r="U1200" s="53" t="s">
        <v>7738</v>
      </c>
    </row>
    <row r="1201">
      <c r="A1201" s="54" t="s">
        <v>7739</v>
      </c>
      <c r="B1201" s="50" t="s">
        <v>7729</v>
      </c>
      <c r="C1201" s="51" t="s">
        <v>5847</v>
      </c>
      <c r="D1201" s="51"/>
      <c r="E1201" s="51"/>
      <c r="F1201" s="51"/>
      <c r="G1201" s="50" t="s">
        <v>7740</v>
      </c>
      <c r="H1201" s="52">
        <v>44683.35777777778</v>
      </c>
      <c r="I1201" s="50"/>
      <c r="J1201" s="50"/>
      <c r="K1201" s="50"/>
      <c r="L1201" s="50"/>
      <c r="M1201" s="50" t="s">
        <v>7731</v>
      </c>
      <c r="N1201" s="50"/>
      <c r="O1201" s="53" t="s">
        <v>70</v>
      </c>
      <c r="P1201" s="55" t="s">
        <v>7732</v>
      </c>
      <c r="Q1201" s="50">
        <v>4534.0</v>
      </c>
      <c r="R1201" s="50">
        <v>4798.0</v>
      </c>
      <c r="S1201" s="50" t="s">
        <v>1007</v>
      </c>
      <c r="T1201" s="56" t="s">
        <v>7741</v>
      </c>
      <c r="U1201" s="53" t="s">
        <v>5853</v>
      </c>
    </row>
    <row r="1202">
      <c r="A1202" s="54" t="s">
        <v>7742</v>
      </c>
      <c r="B1202" s="50" t="s">
        <v>6756</v>
      </c>
      <c r="C1202" s="51" t="s">
        <v>335</v>
      </c>
      <c r="D1202" s="51"/>
      <c r="E1202" s="51"/>
      <c r="F1202" s="51"/>
      <c r="G1202" s="50" t="s">
        <v>7743</v>
      </c>
      <c r="H1202" s="52">
        <v>44683.35768518518</v>
      </c>
      <c r="I1202" s="50"/>
      <c r="J1202" s="50"/>
      <c r="K1202" s="50"/>
      <c r="L1202" s="50"/>
      <c r="M1202" s="50" t="s">
        <v>6758</v>
      </c>
      <c r="N1202" s="50"/>
      <c r="O1202" s="53" t="s">
        <v>70</v>
      </c>
      <c r="P1202" s="55" t="s">
        <v>6759</v>
      </c>
      <c r="Q1202" s="50">
        <v>3358.0</v>
      </c>
      <c r="R1202" s="50">
        <v>3946.0</v>
      </c>
      <c r="S1202" s="50" t="s">
        <v>5009</v>
      </c>
      <c r="T1202" s="56" t="s">
        <v>7744</v>
      </c>
      <c r="U1202" s="53" t="s">
        <v>339</v>
      </c>
    </row>
    <row r="1203">
      <c r="A1203" s="54" t="s">
        <v>7745</v>
      </c>
      <c r="B1203" s="50" t="s">
        <v>7746</v>
      </c>
      <c r="C1203" s="51" t="s">
        <v>367</v>
      </c>
      <c r="D1203" s="51"/>
      <c r="E1203" s="51"/>
      <c r="F1203" s="51"/>
      <c r="G1203" s="50" t="s">
        <v>7747</v>
      </c>
      <c r="H1203" s="52">
        <v>44683.35766203704</v>
      </c>
      <c r="I1203" s="50"/>
      <c r="J1203" s="50"/>
      <c r="K1203" s="50"/>
      <c r="L1203" s="50"/>
      <c r="M1203" s="50" t="s">
        <v>7748</v>
      </c>
      <c r="N1203" s="50"/>
      <c r="O1203" s="53" t="s">
        <v>70</v>
      </c>
      <c r="P1203" s="55" t="s">
        <v>354</v>
      </c>
      <c r="Q1203" s="50">
        <v>10.0</v>
      </c>
      <c r="R1203" s="50">
        <v>130.0</v>
      </c>
      <c r="S1203" s="50"/>
      <c r="T1203" s="56" t="s">
        <v>7749</v>
      </c>
      <c r="U1203" s="53" t="s">
        <v>370</v>
      </c>
    </row>
    <row r="1204">
      <c r="A1204" s="54" t="s">
        <v>7750</v>
      </c>
      <c r="B1204" s="50" t="s">
        <v>7751</v>
      </c>
      <c r="C1204" s="51" t="s">
        <v>7752</v>
      </c>
      <c r="D1204" s="51"/>
      <c r="E1204" s="51"/>
      <c r="F1204" s="51"/>
      <c r="G1204" s="50" t="s">
        <v>7753</v>
      </c>
      <c r="H1204" s="52">
        <v>44683.3575925926</v>
      </c>
      <c r="I1204" s="50"/>
      <c r="J1204" s="50"/>
      <c r="K1204" s="50" t="s">
        <v>7754</v>
      </c>
      <c r="L1204" s="50" t="s">
        <v>7755</v>
      </c>
      <c r="M1204" s="50" t="s">
        <v>7756</v>
      </c>
      <c r="N1204" s="50" t="s">
        <v>7757</v>
      </c>
      <c r="O1204" s="53" t="s">
        <v>92</v>
      </c>
      <c r="P1204" s="55" t="s">
        <v>7758</v>
      </c>
      <c r="Q1204" s="50">
        <v>119.0</v>
      </c>
      <c r="R1204" s="50">
        <v>361.0</v>
      </c>
      <c r="S1204" s="50" t="s">
        <v>7759</v>
      </c>
      <c r="T1204" s="56" t="s">
        <v>7760</v>
      </c>
      <c r="U1204" s="53" t="s">
        <v>7761</v>
      </c>
    </row>
    <row r="1205">
      <c r="A1205" s="54" t="s">
        <v>7762</v>
      </c>
      <c r="B1205" s="50" t="s">
        <v>7588</v>
      </c>
      <c r="C1205" s="51" t="s">
        <v>1402</v>
      </c>
      <c r="D1205" s="51"/>
      <c r="E1205" s="51"/>
      <c r="F1205" s="51"/>
      <c r="G1205" s="50" t="s">
        <v>7763</v>
      </c>
      <c r="H1205" s="52">
        <v>44683.35743055555</v>
      </c>
      <c r="I1205" s="50"/>
      <c r="J1205" s="50"/>
      <c r="K1205" s="50"/>
      <c r="L1205" s="50"/>
      <c r="M1205" s="50" t="s">
        <v>7590</v>
      </c>
      <c r="N1205" s="50"/>
      <c r="O1205" s="53" t="s">
        <v>217</v>
      </c>
      <c r="P1205" s="55" t="s">
        <v>7591</v>
      </c>
      <c r="Q1205" s="50">
        <v>4270.0</v>
      </c>
      <c r="R1205" s="50">
        <v>4956.0</v>
      </c>
      <c r="S1205" s="50" t="s">
        <v>1311</v>
      </c>
      <c r="T1205" s="56" t="s">
        <v>7764</v>
      </c>
      <c r="U1205" s="53" t="s">
        <v>1408</v>
      </c>
    </row>
    <row r="1206">
      <c r="A1206" s="54" t="s">
        <v>7765</v>
      </c>
      <c r="B1206" s="50" t="s">
        <v>7766</v>
      </c>
      <c r="C1206" s="51" t="s">
        <v>367</v>
      </c>
      <c r="D1206" s="51"/>
      <c r="E1206" s="51"/>
      <c r="F1206" s="51"/>
      <c r="G1206" s="50" t="s">
        <v>7767</v>
      </c>
      <c r="H1206" s="52">
        <v>44683.357407407406</v>
      </c>
      <c r="I1206" s="50"/>
      <c r="J1206" s="50"/>
      <c r="K1206" s="50"/>
      <c r="L1206" s="50"/>
      <c r="M1206" s="50" t="s">
        <v>7768</v>
      </c>
      <c r="N1206" s="50"/>
      <c r="O1206" s="53" t="s">
        <v>92</v>
      </c>
      <c r="P1206" s="55" t="s">
        <v>7769</v>
      </c>
      <c r="Q1206" s="50">
        <v>12.0</v>
      </c>
      <c r="R1206" s="50">
        <v>274.0</v>
      </c>
      <c r="S1206" s="50" t="s">
        <v>7770</v>
      </c>
      <c r="T1206" s="56" t="s">
        <v>7771</v>
      </c>
      <c r="U1206" s="53" t="s">
        <v>370</v>
      </c>
    </row>
    <row r="1207">
      <c r="A1207" s="54" t="s">
        <v>7772</v>
      </c>
      <c r="B1207" s="50" t="s">
        <v>7773</v>
      </c>
      <c r="C1207" s="51" t="s">
        <v>7103</v>
      </c>
      <c r="D1207" s="51"/>
      <c r="E1207" s="51"/>
      <c r="F1207" s="51"/>
      <c r="G1207" s="50" t="s">
        <v>7774</v>
      </c>
      <c r="H1207" s="52">
        <v>44683.35733796297</v>
      </c>
      <c r="I1207" s="50"/>
      <c r="J1207" s="50"/>
      <c r="K1207" s="50"/>
      <c r="L1207" s="50"/>
      <c r="M1207" s="50" t="s">
        <v>7775</v>
      </c>
      <c r="N1207" s="50"/>
      <c r="O1207" s="53" t="s">
        <v>92</v>
      </c>
      <c r="P1207" s="55" t="s">
        <v>7776</v>
      </c>
      <c r="Q1207" s="50">
        <v>969.0</v>
      </c>
      <c r="R1207" s="50">
        <v>780.0</v>
      </c>
      <c r="S1207" s="50" t="s">
        <v>7777</v>
      </c>
      <c r="T1207" s="56" t="s">
        <v>7778</v>
      </c>
      <c r="U1207" s="53" t="s">
        <v>7109</v>
      </c>
    </row>
    <row r="1208">
      <c r="A1208" s="54" t="s">
        <v>7779</v>
      </c>
      <c r="B1208" s="50" t="s">
        <v>7780</v>
      </c>
      <c r="C1208" s="51" t="s">
        <v>329</v>
      </c>
      <c r="D1208" s="51"/>
      <c r="E1208" s="51"/>
      <c r="F1208" s="51"/>
      <c r="G1208" s="50" t="s">
        <v>7781</v>
      </c>
      <c r="H1208" s="52">
        <v>44683.356886574074</v>
      </c>
      <c r="I1208" s="50"/>
      <c r="J1208" s="50"/>
      <c r="K1208" s="50"/>
      <c r="L1208" s="50"/>
      <c r="M1208" s="50" t="s">
        <v>7782</v>
      </c>
      <c r="N1208" s="50"/>
      <c r="O1208" s="53" t="s">
        <v>70</v>
      </c>
      <c r="P1208" s="55" t="s">
        <v>7783</v>
      </c>
      <c r="Q1208" s="50">
        <v>4850.0</v>
      </c>
      <c r="R1208" s="50">
        <v>4196.0</v>
      </c>
      <c r="S1208" s="50" t="s">
        <v>7784</v>
      </c>
      <c r="T1208" s="56" t="s">
        <v>7785</v>
      </c>
      <c r="U1208" s="53" t="s">
        <v>332</v>
      </c>
    </row>
    <row r="1209">
      <c r="A1209" s="54" t="s">
        <v>7786</v>
      </c>
      <c r="B1209" s="50" t="s">
        <v>7787</v>
      </c>
      <c r="C1209" s="51" t="s">
        <v>7788</v>
      </c>
      <c r="D1209" s="51"/>
      <c r="E1209" s="51"/>
      <c r="F1209" s="51"/>
      <c r="G1209" s="50" t="s">
        <v>7789</v>
      </c>
      <c r="H1209" s="52">
        <v>44683.35686342593</v>
      </c>
      <c r="I1209" s="50"/>
      <c r="J1209" s="50"/>
      <c r="K1209" s="50"/>
      <c r="L1209" s="50"/>
      <c r="M1209" s="50" t="s">
        <v>7790</v>
      </c>
      <c r="N1209" s="50"/>
      <c r="O1209" s="53" t="s">
        <v>70</v>
      </c>
      <c r="P1209" s="55" t="s">
        <v>7791</v>
      </c>
      <c r="Q1209" s="50">
        <v>172.0</v>
      </c>
      <c r="R1209" s="50">
        <v>224.0</v>
      </c>
      <c r="S1209" s="50" t="s">
        <v>1139</v>
      </c>
      <c r="T1209" s="56" t="s">
        <v>7792</v>
      </c>
      <c r="U1209" s="53" t="s">
        <v>7793</v>
      </c>
    </row>
    <row r="1210">
      <c r="A1210" s="54" t="s">
        <v>7794</v>
      </c>
      <c r="B1210" s="50" t="s">
        <v>7795</v>
      </c>
      <c r="C1210" s="51" t="s">
        <v>329</v>
      </c>
      <c r="D1210" s="51"/>
      <c r="E1210" s="51"/>
      <c r="F1210" s="51"/>
      <c r="G1210" s="50" t="s">
        <v>7796</v>
      </c>
      <c r="H1210" s="52">
        <v>44683.35685185185</v>
      </c>
      <c r="I1210" s="50"/>
      <c r="J1210" s="50"/>
      <c r="K1210" s="50"/>
      <c r="L1210" s="50"/>
      <c r="M1210" s="50" t="s">
        <v>7797</v>
      </c>
      <c r="N1210" s="50"/>
      <c r="O1210" s="53" t="s">
        <v>60</v>
      </c>
      <c r="P1210" s="55" t="s">
        <v>7798</v>
      </c>
      <c r="Q1210" s="50">
        <v>487.0</v>
      </c>
      <c r="R1210" s="50">
        <v>1661.0</v>
      </c>
      <c r="S1210" s="50" t="s">
        <v>2052</v>
      </c>
      <c r="T1210" s="56" t="s">
        <v>7799</v>
      </c>
      <c r="U1210" s="53" t="s">
        <v>332</v>
      </c>
    </row>
    <row r="1211">
      <c r="A1211" s="54" t="s">
        <v>7800</v>
      </c>
      <c r="B1211" s="50" t="s">
        <v>7801</v>
      </c>
      <c r="C1211" s="51" t="s">
        <v>316</v>
      </c>
      <c r="D1211" s="51"/>
      <c r="E1211" s="51"/>
      <c r="F1211" s="51"/>
      <c r="G1211" s="50" t="s">
        <v>7802</v>
      </c>
      <c r="H1211" s="52">
        <v>44683.35681712963</v>
      </c>
      <c r="I1211" s="50"/>
      <c r="J1211" s="50"/>
      <c r="K1211" s="50"/>
      <c r="L1211" s="50"/>
      <c r="M1211" s="50" t="s">
        <v>7803</v>
      </c>
      <c r="N1211" s="50"/>
      <c r="O1211" s="53" t="s">
        <v>70</v>
      </c>
      <c r="P1211" s="55" t="s">
        <v>7804</v>
      </c>
      <c r="Q1211" s="50">
        <v>2719.0</v>
      </c>
      <c r="R1211" s="50">
        <v>3249.0</v>
      </c>
      <c r="S1211" s="50" t="s">
        <v>729</v>
      </c>
      <c r="T1211" s="56" t="s">
        <v>7805</v>
      </c>
      <c r="U1211" s="53" t="s">
        <v>322</v>
      </c>
    </row>
    <row r="1212">
      <c r="A1212" s="54" t="s">
        <v>7806</v>
      </c>
      <c r="B1212" s="50" t="s">
        <v>7807</v>
      </c>
      <c r="C1212" s="51" t="s">
        <v>7808</v>
      </c>
      <c r="D1212" s="51"/>
      <c r="E1212" s="51"/>
      <c r="F1212" s="51"/>
      <c r="G1212" s="50" t="s">
        <v>7809</v>
      </c>
      <c r="H1212" s="52">
        <v>44683.35671296297</v>
      </c>
      <c r="I1212" s="50"/>
      <c r="J1212" s="50"/>
      <c r="K1212" s="50" t="s">
        <v>7810</v>
      </c>
      <c r="L1212" s="50" t="s">
        <v>7811</v>
      </c>
      <c r="M1212" s="50" t="s">
        <v>7812</v>
      </c>
      <c r="N1212" s="50" t="s">
        <v>7813</v>
      </c>
      <c r="O1212" s="53" t="s">
        <v>92</v>
      </c>
      <c r="P1212" s="55" t="s">
        <v>7814</v>
      </c>
      <c r="Q1212" s="50">
        <v>1179.0</v>
      </c>
      <c r="R1212" s="50">
        <v>1459.0</v>
      </c>
      <c r="S1212" s="50" t="s">
        <v>7815</v>
      </c>
      <c r="T1212" s="56" t="s">
        <v>7816</v>
      </c>
      <c r="U1212" s="53" t="s">
        <v>7817</v>
      </c>
    </row>
    <row r="1213">
      <c r="A1213" s="54" t="s">
        <v>7818</v>
      </c>
      <c r="B1213" s="50" t="s">
        <v>7819</v>
      </c>
      <c r="C1213" s="51" t="s">
        <v>367</v>
      </c>
      <c r="D1213" s="51"/>
      <c r="E1213" s="51"/>
      <c r="F1213" s="51"/>
      <c r="G1213" s="50" t="s">
        <v>7820</v>
      </c>
      <c r="H1213" s="52">
        <v>44683.356215277774</v>
      </c>
      <c r="I1213" s="50"/>
      <c r="J1213" s="50"/>
      <c r="K1213" s="50"/>
      <c r="L1213" s="50"/>
      <c r="M1213" s="50" t="s">
        <v>7821</v>
      </c>
      <c r="N1213" s="50"/>
      <c r="O1213" s="53" t="s">
        <v>92</v>
      </c>
      <c r="P1213" s="55" t="s">
        <v>7822</v>
      </c>
      <c r="Q1213" s="50">
        <v>5.0</v>
      </c>
      <c r="R1213" s="50">
        <v>56.0</v>
      </c>
      <c r="S1213" s="50" t="s">
        <v>274</v>
      </c>
      <c r="T1213" s="56" t="s">
        <v>7823</v>
      </c>
      <c r="U1213" s="53" t="s">
        <v>370</v>
      </c>
    </row>
    <row r="1214">
      <c r="A1214" s="54" t="s">
        <v>7824</v>
      </c>
      <c r="B1214" s="50" t="s">
        <v>6756</v>
      </c>
      <c r="C1214" s="51" t="s">
        <v>363</v>
      </c>
      <c r="D1214" s="51"/>
      <c r="E1214" s="51"/>
      <c r="F1214" s="51"/>
      <c r="G1214" s="50" t="s">
        <v>7820</v>
      </c>
      <c r="H1214" s="52">
        <v>44683.356215277774</v>
      </c>
      <c r="I1214" s="50"/>
      <c r="J1214" s="50"/>
      <c r="K1214" s="50"/>
      <c r="L1214" s="50"/>
      <c r="M1214" s="50" t="s">
        <v>6758</v>
      </c>
      <c r="N1214" s="50"/>
      <c r="O1214" s="53" t="s">
        <v>70</v>
      </c>
      <c r="P1214" s="55" t="s">
        <v>6759</v>
      </c>
      <c r="Q1214" s="50">
        <v>3358.0</v>
      </c>
      <c r="R1214" s="50">
        <v>3946.0</v>
      </c>
      <c r="S1214" s="50" t="s">
        <v>5009</v>
      </c>
      <c r="T1214" s="56" t="s">
        <v>7825</v>
      </c>
      <c r="U1214" s="53" t="s">
        <v>332</v>
      </c>
    </row>
    <row r="1215">
      <c r="A1215" s="54" t="s">
        <v>7826</v>
      </c>
      <c r="B1215" s="50" t="s">
        <v>7827</v>
      </c>
      <c r="C1215" s="51" t="s">
        <v>1402</v>
      </c>
      <c r="D1215" s="51"/>
      <c r="E1215" s="51"/>
      <c r="F1215" s="51"/>
      <c r="G1215" s="50" t="s">
        <v>7828</v>
      </c>
      <c r="H1215" s="52">
        <v>44683.35614583333</v>
      </c>
      <c r="I1215" s="50"/>
      <c r="J1215" s="50"/>
      <c r="K1215" s="50"/>
      <c r="L1215" s="50"/>
      <c r="M1215" s="50" t="s">
        <v>7829</v>
      </c>
      <c r="N1215" s="50"/>
      <c r="O1215" s="53" t="s">
        <v>70</v>
      </c>
      <c r="P1215" s="55" t="s">
        <v>7830</v>
      </c>
      <c r="Q1215" s="50">
        <v>1781.0</v>
      </c>
      <c r="R1215" s="50">
        <v>3049.0</v>
      </c>
      <c r="S1215" s="50" t="s">
        <v>3949</v>
      </c>
      <c r="T1215" s="56" t="s">
        <v>7831</v>
      </c>
      <c r="U1215" s="53" t="s">
        <v>1408</v>
      </c>
    </row>
    <row r="1216">
      <c r="A1216" s="54" t="s">
        <v>7832</v>
      </c>
      <c r="B1216" s="50" t="s">
        <v>7833</v>
      </c>
      <c r="C1216" s="51" t="s">
        <v>316</v>
      </c>
      <c r="D1216" s="51"/>
      <c r="E1216" s="51"/>
      <c r="F1216" s="51"/>
      <c r="G1216" s="50" t="s">
        <v>7828</v>
      </c>
      <c r="H1216" s="52">
        <v>44683.35614583333</v>
      </c>
      <c r="I1216" s="50"/>
      <c r="J1216" s="50"/>
      <c r="K1216" s="50"/>
      <c r="L1216" s="50"/>
      <c r="M1216" s="50" t="s">
        <v>7834</v>
      </c>
      <c r="N1216" s="50"/>
      <c r="O1216" s="53" t="s">
        <v>92</v>
      </c>
      <c r="P1216" s="55" t="s">
        <v>7835</v>
      </c>
      <c r="Q1216" s="50">
        <v>2609.0</v>
      </c>
      <c r="R1216" s="50">
        <v>2931.0</v>
      </c>
      <c r="S1216" s="50" t="s">
        <v>7836</v>
      </c>
      <c r="T1216" s="56" t="s">
        <v>7837</v>
      </c>
      <c r="U1216" s="53" t="s">
        <v>322</v>
      </c>
    </row>
    <row r="1217">
      <c r="A1217" s="54" t="s">
        <v>7838</v>
      </c>
      <c r="B1217" s="50" t="s">
        <v>7424</v>
      </c>
      <c r="C1217" s="51" t="s">
        <v>367</v>
      </c>
      <c r="D1217" s="51"/>
      <c r="E1217" s="51"/>
      <c r="F1217" s="51"/>
      <c r="G1217" s="50" t="s">
        <v>7839</v>
      </c>
      <c r="H1217" s="52">
        <v>44683.356099537035</v>
      </c>
      <c r="I1217" s="50"/>
      <c r="J1217" s="50"/>
      <c r="K1217" s="50"/>
      <c r="L1217" s="50"/>
      <c r="M1217" s="50" t="s">
        <v>7428</v>
      </c>
      <c r="N1217" s="50"/>
      <c r="O1217" s="53" t="s">
        <v>70</v>
      </c>
      <c r="P1217" s="55" t="s">
        <v>7430</v>
      </c>
      <c r="Q1217" s="50">
        <v>5029.0</v>
      </c>
      <c r="R1217" s="50">
        <v>589.0</v>
      </c>
      <c r="S1217" s="50" t="s">
        <v>7431</v>
      </c>
      <c r="T1217" s="56" t="s">
        <v>7840</v>
      </c>
      <c r="U1217" s="53" t="s">
        <v>370</v>
      </c>
    </row>
    <row r="1218">
      <c r="A1218" s="54" t="s">
        <v>7841</v>
      </c>
      <c r="B1218" s="50" t="s">
        <v>7833</v>
      </c>
      <c r="C1218" s="51" t="s">
        <v>329</v>
      </c>
      <c r="D1218" s="51"/>
      <c r="E1218" s="51"/>
      <c r="F1218" s="51"/>
      <c r="G1218" s="50" t="s">
        <v>7842</v>
      </c>
      <c r="H1218" s="52">
        <v>44683.35607638889</v>
      </c>
      <c r="I1218" s="50"/>
      <c r="J1218" s="50"/>
      <c r="K1218" s="50"/>
      <c r="L1218" s="50"/>
      <c r="M1218" s="50" t="s">
        <v>7834</v>
      </c>
      <c r="N1218" s="50"/>
      <c r="O1218" s="53" t="s">
        <v>92</v>
      </c>
      <c r="P1218" s="55" t="s">
        <v>7835</v>
      </c>
      <c r="Q1218" s="50">
        <v>2609.0</v>
      </c>
      <c r="R1218" s="50">
        <v>2931.0</v>
      </c>
      <c r="S1218" s="50" t="s">
        <v>7836</v>
      </c>
      <c r="T1218" s="56" t="s">
        <v>7843</v>
      </c>
      <c r="U1218" s="53" t="s">
        <v>332</v>
      </c>
    </row>
    <row r="1219">
      <c r="A1219" s="54" t="s">
        <v>7844</v>
      </c>
      <c r="B1219" s="50" t="s">
        <v>7833</v>
      </c>
      <c r="C1219" s="51" t="s">
        <v>367</v>
      </c>
      <c r="D1219" s="51"/>
      <c r="E1219" s="51"/>
      <c r="F1219" s="51"/>
      <c r="G1219" s="50" t="s">
        <v>7845</v>
      </c>
      <c r="H1219" s="52">
        <v>44683.35596064814</v>
      </c>
      <c r="I1219" s="50"/>
      <c r="J1219" s="50"/>
      <c r="K1219" s="50"/>
      <c r="L1219" s="50"/>
      <c r="M1219" s="50" t="s">
        <v>7834</v>
      </c>
      <c r="N1219" s="50"/>
      <c r="O1219" s="53" t="s">
        <v>92</v>
      </c>
      <c r="P1219" s="55" t="s">
        <v>7835</v>
      </c>
      <c r="Q1219" s="50">
        <v>2609.0</v>
      </c>
      <c r="R1219" s="50">
        <v>2931.0</v>
      </c>
      <c r="S1219" s="50" t="s">
        <v>7836</v>
      </c>
      <c r="T1219" s="56" t="s">
        <v>7846</v>
      </c>
      <c r="U1219" s="53" t="s">
        <v>370</v>
      </c>
    </row>
    <row r="1220">
      <c r="A1220" s="54" t="s">
        <v>7847</v>
      </c>
      <c r="B1220" s="50" t="s">
        <v>7848</v>
      </c>
      <c r="C1220" s="51" t="s">
        <v>7849</v>
      </c>
      <c r="D1220" s="51"/>
      <c r="E1220" s="51"/>
      <c r="F1220" s="51"/>
      <c r="G1220" s="50" t="s">
        <v>7850</v>
      </c>
      <c r="H1220" s="52">
        <v>44683.355937500004</v>
      </c>
      <c r="I1220" s="50"/>
      <c r="J1220" s="50"/>
      <c r="K1220" s="50"/>
      <c r="L1220" s="50"/>
      <c r="M1220" s="50" t="s">
        <v>7851</v>
      </c>
      <c r="N1220" s="50"/>
      <c r="O1220" s="53" t="s">
        <v>217</v>
      </c>
      <c r="P1220" s="55" t="s">
        <v>7852</v>
      </c>
      <c r="Q1220" s="50">
        <v>14.0</v>
      </c>
      <c r="R1220" s="50">
        <v>44.0</v>
      </c>
      <c r="S1220" s="50" t="s">
        <v>7853</v>
      </c>
      <c r="T1220" s="56" t="s">
        <v>7854</v>
      </c>
      <c r="U1220" s="53" t="s">
        <v>7855</v>
      </c>
    </row>
    <row r="1221">
      <c r="A1221" s="54" t="s">
        <v>7856</v>
      </c>
      <c r="B1221" s="50" t="s">
        <v>7857</v>
      </c>
      <c r="C1221" s="51" t="s">
        <v>7858</v>
      </c>
      <c r="D1221" s="51"/>
      <c r="E1221" s="51"/>
      <c r="F1221" s="51"/>
      <c r="G1221" s="50" t="s">
        <v>7859</v>
      </c>
      <c r="H1221" s="52">
        <v>44683.35581018518</v>
      </c>
      <c r="I1221" s="50"/>
      <c r="J1221" s="50"/>
      <c r="K1221" s="50"/>
      <c r="L1221" s="50"/>
      <c r="M1221" s="50" t="s">
        <v>7860</v>
      </c>
      <c r="N1221" s="50"/>
      <c r="O1221" s="53" t="s">
        <v>70</v>
      </c>
      <c r="P1221" s="55" t="s">
        <v>7861</v>
      </c>
      <c r="Q1221" s="50">
        <v>2074.0</v>
      </c>
      <c r="R1221" s="50">
        <v>2069.0</v>
      </c>
      <c r="S1221" s="50"/>
      <c r="T1221" s="56" t="s">
        <v>7862</v>
      </c>
      <c r="U1221" s="53" t="s">
        <v>7863</v>
      </c>
    </row>
    <row r="1222">
      <c r="A1222" s="54" t="s">
        <v>7864</v>
      </c>
      <c r="B1222" s="50" t="s">
        <v>7865</v>
      </c>
      <c r="C1222" s="51" t="s">
        <v>367</v>
      </c>
      <c r="D1222" s="51"/>
      <c r="E1222" s="51"/>
      <c r="F1222" s="51"/>
      <c r="G1222" s="50" t="s">
        <v>7866</v>
      </c>
      <c r="H1222" s="52">
        <v>44683.35568287037</v>
      </c>
      <c r="I1222" s="50"/>
      <c r="J1222" s="50"/>
      <c r="K1222" s="50"/>
      <c r="L1222" s="50"/>
      <c r="M1222" s="50" t="s">
        <v>7867</v>
      </c>
      <c r="N1222" s="50"/>
      <c r="O1222" s="53" t="s">
        <v>70</v>
      </c>
      <c r="P1222" s="55" t="s">
        <v>7868</v>
      </c>
      <c r="Q1222" s="50">
        <v>191.0</v>
      </c>
      <c r="R1222" s="50">
        <v>618.0</v>
      </c>
      <c r="S1222" s="50"/>
      <c r="T1222" s="56" t="s">
        <v>7869</v>
      </c>
      <c r="U1222" s="53" t="s">
        <v>370</v>
      </c>
    </row>
    <row r="1223">
      <c r="A1223" s="54" t="s">
        <v>7870</v>
      </c>
      <c r="B1223" s="50" t="s">
        <v>7871</v>
      </c>
      <c r="C1223" s="51" t="s">
        <v>329</v>
      </c>
      <c r="D1223" s="51"/>
      <c r="E1223" s="51"/>
      <c r="F1223" s="51"/>
      <c r="G1223" s="50" t="s">
        <v>7872</v>
      </c>
      <c r="H1223" s="52">
        <v>44683.35550925926</v>
      </c>
      <c r="I1223" s="50"/>
      <c r="J1223" s="50"/>
      <c r="K1223" s="50"/>
      <c r="L1223" s="50"/>
      <c r="M1223" s="50" t="s">
        <v>7873</v>
      </c>
      <c r="N1223" s="50"/>
      <c r="O1223" s="53" t="s">
        <v>92</v>
      </c>
      <c r="P1223" s="55" t="s">
        <v>7874</v>
      </c>
      <c r="Q1223" s="50">
        <v>334.0</v>
      </c>
      <c r="R1223" s="50">
        <v>938.0</v>
      </c>
      <c r="S1223" s="50" t="s">
        <v>7875</v>
      </c>
      <c r="T1223" s="56" t="s">
        <v>7876</v>
      </c>
      <c r="U1223" s="53" t="s">
        <v>332</v>
      </c>
    </row>
    <row r="1224">
      <c r="A1224" s="54" t="s">
        <v>7877</v>
      </c>
      <c r="B1224" s="50" t="s">
        <v>7878</v>
      </c>
      <c r="C1224" s="51" t="s">
        <v>7879</v>
      </c>
      <c r="D1224" s="51"/>
      <c r="E1224" s="51"/>
      <c r="F1224" s="51"/>
      <c r="G1224" s="50" t="s">
        <v>7880</v>
      </c>
      <c r="H1224" s="52">
        <v>44683.355416666665</v>
      </c>
      <c r="I1224" s="50"/>
      <c r="J1224" s="50"/>
      <c r="K1224" s="50"/>
      <c r="L1224" s="50"/>
      <c r="M1224" s="50" t="s">
        <v>7881</v>
      </c>
      <c r="N1224" s="50"/>
      <c r="O1224" s="53" t="s">
        <v>60</v>
      </c>
      <c r="P1224" s="55" t="s">
        <v>7882</v>
      </c>
      <c r="Q1224" s="50">
        <v>980.0</v>
      </c>
      <c r="R1224" s="50">
        <v>1433.0</v>
      </c>
      <c r="S1224" s="50" t="s">
        <v>7883</v>
      </c>
      <c r="T1224" s="56" t="s">
        <v>7884</v>
      </c>
      <c r="U1224" s="53" t="s">
        <v>7885</v>
      </c>
    </row>
    <row r="1225">
      <c r="A1225" s="54" t="s">
        <v>7886</v>
      </c>
      <c r="B1225" s="50" t="s">
        <v>7887</v>
      </c>
      <c r="C1225" s="51" t="s">
        <v>367</v>
      </c>
      <c r="D1225" s="51"/>
      <c r="E1225" s="51"/>
      <c r="F1225" s="51"/>
      <c r="G1225" s="50" t="s">
        <v>7888</v>
      </c>
      <c r="H1225" s="52">
        <v>44683.35519675926</v>
      </c>
      <c r="I1225" s="50"/>
      <c r="J1225" s="50"/>
      <c r="K1225" s="50"/>
      <c r="L1225" s="50"/>
      <c r="M1225" s="50" t="s">
        <v>7889</v>
      </c>
      <c r="N1225" s="50"/>
      <c r="O1225" s="53" t="s">
        <v>92</v>
      </c>
      <c r="P1225" s="55" t="s">
        <v>7890</v>
      </c>
      <c r="Q1225" s="50">
        <v>124.0</v>
      </c>
      <c r="R1225" s="50">
        <v>340.0</v>
      </c>
      <c r="S1225" s="50" t="s">
        <v>7891</v>
      </c>
      <c r="T1225" s="56" t="s">
        <v>7892</v>
      </c>
      <c r="U1225" s="53" t="s">
        <v>370</v>
      </c>
    </row>
    <row r="1226">
      <c r="A1226" s="54" t="s">
        <v>7893</v>
      </c>
      <c r="B1226" s="50" t="s">
        <v>7588</v>
      </c>
      <c r="C1226" s="51" t="s">
        <v>7894</v>
      </c>
      <c r="D1226" s="51"/>
      <c r="E1226" s="51"/>
      <c r="F1226" s="51"/>
      <c r="G1226" s="50" t="s">
        <v>7895</v>
      </c>
      <c r="H1226" s="52">
        <v>44683.35513888889</v>
      </c>
      <c r="I1226" s="50"/>
      <c r="J1226" s="50"/>
      <c r="K1226" s="50"/>
      <c r="L1226" s="50"/>
      <c r="M1226" s="50" t="s">
        <v>7590</v>
      </c>
      <c r="N1226" s="50"/>
      <c r="O1226" s="53" t="s">
        <v>217</v>
      </c>
      <c r="P1226" s="55" t="s">
        <v>7591</v>
      </c>
      <c r="Q1226" s="50">
        <v>4270.0</v>
      </c>
      <c r="R1226" s="50">
        <v>4956.0</v>
      </c>
      <c r="S1226" s="50" t="s">
        <v>1311</v>
      </c>
      <c r="T1226" s="56" t="s">
        <v>7896</v>
      </c>
      <c r="U1226" s="53" t="s">
        <v>7897</v>
      </c>
    </row>
    <row r="1227">
      <c r="A1227" s="54" t="s">
        <v>7898</v>
      </c>
      <c r="B1227" s="50" t="s">
        <v>7899</v>
      </c>
      <c r="C1227" s="51" t="s">
        <v>7900</v>
      </c>
      <c r="D1227" s="51"/>
      <c r="E1227" s="51"/>
      <c r="F1227" s="51"/>
      <c r="G1227" s="50" t="s">
        <v>7901</v>
      </c>
      <c r="H1227" s="52">
        <v>44683.35512731482</v>
      </c>
      <c r="I1227" s="50"/>
      <c r="J1227" s="50"/>
      <c r="K1227" s="50"/>
      <c r="L1227" s="50"/>
      <c r="M1227" s="50" t="s">
        <v>7902</v>
      </c>
      <c r="N1227" s="50"/>
      <c r="O1227" s="53" t="s">
        <v>92</v>
      </c>
      <c r="P1227" s="55" t="s">
        <v>7903</v>
      </c>
      <c r="Q1227" s="50">
        <v>3383.0</v>
      </c>
      <c r="R1227" s="50">
        <v>1796.0</v>
      </c>
      <c r="S1227" s="50" t="s">
        <v>7904</v>
      </c>
      <c r="T1227" s="56" t="s">
        <v>7905</v>
      </c>
      <c r="U1227" s="53" t="s">
        <v>7906</v>
      </c>
    </row>
    <row r="1228">
      <c r="A1228" s="54" t="s">
        <v>7907</v>
      </c>
      <c r="B1228" s="50" t="s">
        <v>7908</v>
      </c>
      <c r="C1228" s="51" t="s">
        <v>5559</v>
      </c>
      <c r="D1228" s="51"/>
      <c r="E1228" s="51"/>
      <c r="F1228" s="51"/>
      <c r="G1228" s="50" t="s">
        <v>7909</v>
      </c>
      <c r="H1228" s="52">
        <v>44683.355104166665</v>
      </c>
      <c r="I1228" s="50"/>
      <c r="J1228" s="50"/>
      <c r="K1228" s="50"/>
      <c r="L1228" s="50"/>
      <c r="M1228" s="50" t="s">
        <v>7910</v>
      </c>
      <c r="N1228" s="50"/>
      <c r="O1228" s="53" t="s">
        <v>7911</v>
      </c>
      <c r="P1228" s="55" t="s">
        <v>7912</v>
      </c>
      <c r="Q1228" s="50">
        <v>1133.0</v>
      </c>
      <c r="R1228" s="50">
        <v>8.0</v>
      </c>
      <c r="S1228" s="50" t="s">
        <v>7913</v>
      </c>
      <c r="T1228" s="56" t="s">
        <v>7914</v>
      </c>
      <c r="U1228" s="53" t="s">
        <v>5564</v>
      </c>
    </row>
    <row r="1229">
      <c r="A1229" s="54" t="s">
        <v>7915</v>
      </c>
      <c r="B1229" s="50" t="s">
        <v>7916</v>
      </c>
      <c r="C1229" s="51" t="s">
        <v>5559</v>
      </c>
      <c r="D1229" s="51"/>
      <c r="E1229" s="51"/>
      <c r="F1229" s="51"/>
      <c r="G1229" s="50" t="s">
        <v>7909</v>
      </c>
      <c r="H1229" s="52">
        <v>44683.355104166665</v>
      </c>
      <c r="I1229" s="50"/>
      <c r="J1229" s="50"/>
      <c r="K1229" s="50"/>
      <c r="L1229" s="50"/>
      <c r="M1229" s="50" t="s">
        <v>7917</v>
      </c>
      <c r="N1229" s="50"/>
      <c r="O1229" s="53" t="s">
        <v>783</v>
      </c>
      <c r="P1229" s="55" t="s">
        <v>7918</v>
      </c>
      <c r="Q1229" s="50">
        <v>4453.0</v>
      </c>
      <c r="R1229" s="50">
        <v>4257.0</v>
      </c>
      <c r="S1229" s="50"/>
      <c r="T1229" s="56" t="s">
        <v>7919</v>
      </c>
      <c r="U1229" s="53" t="s">
        <v>5564</v>
      </c>
    </row>
    <row r="1230">
      <c r="A1230" s="54" t="s">
        <v>7920</v>
      </c>
      <c r="B1230" s="50" t="s">
        <v>2118</v>
      </c>
      <c r="C1230" s="51" t="s">
        <v>7921</v>
      </c>
      <c r="D1230" s="51"/>
      <c r="E1230" s="51"/>
      <c r="F1230" s="51"/>
      <c r="G1230" s="50" t="s">
        <v>7922</v>
      </c>
      <c r="H1230" s="52">
        <v>44683.3549537037</v>
      </c>
      <c r="I1230" s="50"/>
      <c r="J1230" s="50"/>
      <c r="K1230" s="50"/>
      <c r="L1230" s="50"/>
      <c r="M1230" s="50" t="s">
        <v>2123</v>
      </c>
      <c r="N1230" s="50"/>
      <c r="O1230" s="53" t="s">
        <v>70</v>
      </c>
      <c r="P1230" s="55" t="s">
        <v>2125</v>
      </c>
      <c r="Q1230" s="50">
        <v>1818.0</v>
      </c>
      <c r="R1230" s="50">
        <v>1497.0</v>
      </c>
      <c r="S1230" s="50" t="s">
        <v>2126</v>
      </c>
      <c r="T1230" s="56" t="s">
        <v>7923</v>
      </c>
      <c r="U1230" s="53" t="s">
        <v>7924</v>
      </c>
    </row>
    <row r="1231">
      <c r="A1231" s="54" t="s">
        <v>7925</v>
      </c>
      <c r="B1231" s="50" t="s">
        <v>7926</v>
      </c>
      <c r="C1231" s="51" t="s">
        <v>367</v>
      </c>
      <c r="D1231" s="51"/>
      <c r="E1231" s="51"/>
      <c r="F1231" s="51"/>
      <c r="G1231" s="50" t="s">
        <v>7927</v>
      </c>
      <c r="H1231" s="52">
        <v>44683.35490740741</v>
      </c>
      <c r="I1231" s="50"/>
      <c r="J1231" s="50"/>
      <c r="K1231" s="50"/>
      <c r="L1231" s="50"/>
      <c r="M1231" s="50" t="s">
        <v>7928</v>
      </c>
      <c r="N1231" s="50"/>
      <c r="O1231" s="53" t="s">
        <v>92</v>
      </c>
      <c r="P1231" s="55" t="s">
        <v>354</v>
      </c>
      <c r="Q1231" s="50">
        <v>37.0</v>
      </c>
      <c r="R1231" s="50">
        <v>205.0</v>
      </c>
      <c r="S1231" s="50"/>
      <c r="T1231" s="56" t="s">
        <v>7929</v>
      </c>
      <c r="U1231" s="53" t="s">
        <v>370</v>
      </c>
    </row>
    <row r="1232">
      <c r="A1232" s="54" t="s">
        <v>7930</v>
      </c>
      <c r="B1232" s="50" t="s">
        <v>7931</v>
      </c>
      <c r="C1232" s="51" t="s">
        <v>7932</v>
      </c>
      <c r="D1232" s="51"/>
      <c r="E1232" s="51"/>
      <c r="F1232" s="51"/>
      <c r="G1232" s="50" t="s">
        <v>7933</v>
      </c>
      <c r="H1232" s="52">
        <v>44683.35476851852</v>
      </c>
      <c r="I1232" s="50"/>
      <c r="J1232" s="50"/>
      <c r="K1232" s="50"/>
      <c r="L1232" s="50"/>
      <c r="M1232" s="50" t="s">
        <v>7934</v>
      </c>
      <c r="N1232" s="50"/>
      <c r="O1232" s="53" t="s">
        <v>70</v>
      </c>
      <c r="P1232" s="55" t="s">
        <v>7935</v>
      </c>
      <c r="Q1232" s="50">
        <v>226.0</v>
      </c>
      <c r="R1232" s="50">
        <v>538.0</v>
      </c>
      <c r="S1232" s="50" t="s">
        <v>7936</v>
      </c>
      <c r="T1232" s="56" t="s">
        <v>7937</v>
      </c>
      <c r="U1232" s="53" t="s">
        <v>7938</v>
      </c>
    </row>
    <row r="1233">
      <c r="A1233" s="54" t="s">
        <v>7939</v>
      </c>
      <c r="B1233" s="50" t="s">
        <v>7940</v>
      </c>
      <c r="C1233" s="51" t="s">
        <v>367</v>
      </c>
      <c r="D1233" s="51"/>
      <c r="E1233" s="51"/>
      <c r="F1233" s="51"/>
      <c r="G1233" s="50" t="s">
        <v>7941</v>
      </c>
      <c r="H1233" s="52">
        <v>44683.354733796295</v>
      </c>
      <c r="I1233" s="50"/>
      <c r="J1233" s="50"/>
      <c r="K1233" s="50"/>
      <c r="L1233" s="50"/>
      <c r="M1233" s="50" t="s">
        <v>7942</v>
      </c>
      <c r="N1233" s="50"/>
      <c r="O1233" s="53" t="s">
        <v>217</v>
      </c>
      <c r="P1233" s="55" t="s">
        <v>7943</v>
      </c>
      <c r="Q1233" s="50">
        <v>241.0</v>
      </c>
      <c r="R1233" s="50">
        <v>1285.0</v>
      </c>
      <c r="S1233" s="50"/>
      <c r="T1233" s="56" t="s">
        <v>7944</v>
      </c>
      <c r="U1233" s="53" t="s">
        <v>370</v>
      </c>
    </row>
    <row r="1234">
      <c r="A1234" s="54" t="s">
        <v>7945</v>
      </c>
      <c r="B1234" s="50" t="s">
        <v>7946</v>
      </c>
      <c r="C1234" s="51" t="s">
        <v>7947</v>
      </c>
      <c r="D1234" s="51"/>
      <c r="E1234" s="51"/>
      <c r="F1234" s="51"/>
      <c r="G1234" s="50" t="s">
        <v>7948</v>
      </c>
      <c r="H1234" s="52">
        <v>44683.354722222226</v>
      </c>
      <c r="I1234" s="50"/>
      <c r="J1234" s="50"/>
      <c r="K1234" s="50" t="s">
        <v>3317</v>
      </c>
      <c r="L1234" s="50" t="s">
        <v>3318</v>
      </c>
      <c r="M1234" s="50" t="s">
        <v>7949</v>
      </c>
      <c r="N1234" s="50" t="s">
        <v>3320</v>
      </c>
      <c r="O1234" s="53" t="s">
        <v>70</v>
      </c>
      <c r="P1234" s="55" t="s">
        <v>354</v>
      </c>
      <c r="Q1234" s="50">
        <v>453.0</v>
      </c>
      <c r="R1234" s="50">
        <v>926.0</v>
      </c>
      <c r="S1234" s="50" t="s">
        <v>7950</v>
      </c>
      <c r="T1234" s="56" t="s">
        <v>7951</v>
      </c>
      <c r="U1234" s="53" t="s">
        <v>7952</v>
      </c>
    </row>
    <row r="1235">
      <c r="A1235" s="54" t="s">
        <v>7953</v>
      </c>
      <c r="B1235" s="50" t="s">
        <v>7954</v>
      </c>
      <c r="C1235" s="51" t="s">
        <v>1402</v>
      </c>
      <c r="D1235" s="51"/>
      <c r="E1235" s="51"/>
      <c r="F1235" s="51"/>
      <c r="G1235" s="50" t="s">
        <v>7955</v>
      </c>
      <c r="H1235" s="52">
        <v>44683.35451388889</v>
      </c>
      <c r="I1235" s="50"/>
      <c r="J1235" s="50"/>
      <c r="K1235" s="50"/>
      <c r="L1235" s="50"/>
      <c r="M1235" s="50" t="s">
        <v>7956</v>
      </c>
      <c r="N1235" s="50"/>
      <c r="O1235" s="53" t="s">
        <v>60</v>
      </c>
      <c r="P1235" s="55" t="s">
        <v>7957</v>
      </c>
      <c r="Q1235" s="50">
        <v>318.0</v>
      </c>
      <c r="R1235" s="50">
        <v>686.0</v>
      </c>
      <c r="S1235" s="50"/>
      <c r="T1235" s="56" t="s">
        <v>7958</v>
      </c>
      <c r="U1235" s="53" t="s">
        <v>1408</v>
      </c>
    </row>
    <row r="1236">
      <c r="A1236" s="54" t="s">
        <v>7959</v>
      </c>
      <c r="B1236" s="50" t="s">
        <v>7960</v>
      </c>
      <c r="C1236" s="51" t="s">
        <v>7961</v>
      </c>
      <c r="D1236" s="51"/>
      <c r="E1236" s="51"/>
      <c r="F1236" s="51"/>
      <c r="G1236" s="50" t="s">
        <v>7962</v>
      </c>
      <c r="H1236" s="52">
        <v>44683.35425925926</v>
      </c>
      <c r="I1236" s="50"/>
      <c r="J1236" s="50"/>
      <c r="K1236" s="50"/>
      <c r="L1236" s="50"/>
      <c r="M1236" s="50" t="s">
        <v>7963</v>
      </c>
      <c r="N1236" s="50"/>
      <c r="O1236" s="53" t="s">
        <v>7964</v>
      </c>
      <c r="P1236" s="55" t="s">
        <v>7965</v>
      </c>
      <c r="Q1236" s="50">
        <v>9660.0</v>
      </c>
      <c r="R1236" s="50">
        <v>1092.0</v>
      </c>
      <c r="S1236" s="50" t="s">
        <v>2833</v>
      </c>
      <c r="T1236" s="56" t="s">
        <v>7966</v>
      </c>
      <c r="U1236" s="53" t="s">
        <v>7967</v>
      </c>
    </row>
    <row r="1237">
      <c r="A1237" s="54" t="s">
        <v>7968</v>
      </c>
      <c r="B1237" s="50" t="s">
        <v>7969</v>
      </c>
      <c r="C1237" s="51" t="s">
        <v>367</v>
      </c>
      <c r="D1237" s="51"/>
      <c r="E1237" s="51"/>
      <c r="F1237" s="51"/>
      <c r="G1237" s="50" t="s">
        <v>7970</v>
      </c>
      <c r="H1237" s="52">
        <v>44683.35422453703</v>
      </c>
      <c r="I1237" s="50"/>
      <c r="J1237" s="50"/>
      <c r="K1237" s="50"/>
      <c r="L1237" s="50"/>
      <c r="M1237" s="50" t="s">
        <v>7971</v>
      </c>
      <c r="N1237" s="50"/>
      <c r="O1237" s="53" t="s">
        <v>217</v>
      </c>
      <c r="P1237" s="55" t="s">
        <v>7972</v>
      </c>
      <c r="Q1237" s="50">
        <v>438.0</v>
      </c>
      <c r="R1237" s="50">
        <v>643.0</v>
      </c>
      <c r="S1237" s="50" t="s">
        <v>7973</v>
      </c>
      <c r="T1237" s="56" t="s">
        <v>7974</v>
      </c>
      <c r="U1237" s="53" t="s">
        <v>370</v>
      </c>
    </row>
    <row r="1238">
      <c r="A1238" s="54" t="s">
        <v>7975</v>
      </c>
      <c r="B1238" s="50" t="s">
        <v>7976</v>
      </c>
      <c r="C1238" s="51" t="s">
        <v>1402</v>
      </c>
      <c r="D1238" s="51"/>
      <c r="E1238" s="51"/>
      <c r="F1238" s="51"/>
      <c r="G1238" s="50" t="s">
        <v>7977</v>
      </c>
      <c r="H1238" s="52">
        <v>44683.35417824074</v>
      </c>
      <c r="I1238" s="50"/>
      <c r="J1238" s="50"/>
      <c r="K1238" s="50"/>
      <c r="L1238" s="50"/>
      <c r="M1238" s="50" t="s">
        <v>7978</v>
      </c>
      <c r="N1238" s="50"/>
      <c r="O1238" s="53" t="s">
        <v>92</v>
      </c>
      <c r="P1238" s="55" t="s">
        <v>354</v>
      </c>
      <c r="Q1238" s="50">
        <v>425.0</v>
      </c>
      <c r="R1238" s="50">
        <v>588.0</v>
      </c>
      <c r="S1238" s="50"/>
      <c r="T1238" s="56" t="s">
        <v>7979</v>
      </c>
      <c r="U1238" s="53" t="s">
        <v>1408</v>
      </c>
    </row>
    <row r="1239">
      <c r="A1239" s="54" t="s">
        <v>7980</v>
      </c>
      <c r="B1239" s="50" t="s">
        <v>7981</v>
      </c>
      <c r="C1239" s="51" t="s">
        <v>7982</v>
      </c>
      <c r="D1239" s="51"/>
      <c r="E1239" s="51"/>
      <c r="F1239" s="51"/>
      <c r="G1239" s="50" t="s">
        <v>7983</v>
      </c>
      <c r="H1239" s="52">
        <v>44683.35412037037</v>
      </c>
      <c r="I1239" s="50"/>
      <c r="J1239" s="50"/>
      <c r="K1239" s="50"/>
      <c r="L1239" s="50"/>
      <c r="M1239" s="50" t="s">
        <v>7984</v>
      </c>
      <c r="N1239" s="50"/>
      <c r="O1239" s="53" t="s">
        <v>92</v>
      </c>
      <c r="P1239" s="55" t="s">
        <v>7985</v>
      </c>
      <c r="Q1239" s="50">
        <v>1918.0</v>
      </c>
      <c r="R1239" s="50">
        <v>2199.0</v>
      </c>
      <c r="S1239" s="50" t="s">
        <v>7986</v>
      </c>
      <c r="T1239" s="56" t="s">
        <v>7987</v>
      </c>
      <c r="U1239" s="53" t="s">
        <v>7988</v>
      </c>
    </row>
    <row r="1240">
      <c r="A1240" s="54" t="s">
        <v>7989</v>
      </c>
      <c r="B1240" s="50" t="s">
        <v>7990</v>
      </c>
      <c r="C1240" s="51" t="s">
        <v>7991</v>
      </c>
      <c r="D1240" s="51"/>
      <c r="E1240" s="51"/>
      <c r="F1240" s="51"/>
      <c r="G1240" s="50" t="s">
        <v>7992</v>
      </c>
      <c r="H1240" s="52">
        <v>44683.354004629626</v>
      </c>
      <c r="I1240" s="50"/>
      <c r="J1240" s="50"/>
      <c r="K1240" s="50"/>
      <c r="L1240" s="50"/>
      <c r="M1240" s="50" t="s">
        <v>7993</v>
      </c>
      <c r="N1240" s="50"/>
      <c r="O1240" s="53" t="s">
        <v>92</v>
      </c>
      <c r="P1240" s="55" t="s">
        <v>354</v>
      </c>
      <c r="Q1240" s="50">
        <v>1677.0</v>
      </c>
      <c r="R1240" s="50">
        <v>4995.0</v>
      </c>
      <c r="S1240" s="50" t="s">
        <v>887</v>
      </c>
      <c r="T1240" s="56" t="s">
        <v>7994</v>
      </c>
      <c r="U1240" s="53" t="s">
        <v>7995</v>
      </c>
    </row>
    <row r="1241">
      <c r="A1241" s="54" t="s">
        <v>7996</v>
      </c>
      <c r="B1241" s="50" t="s">
        <v>7997</v>
      </c>
      <c r="C1241" s="51" t="s">
        <v>367</v>
      </c>
      <c r="D1241" s="51"/>
      <c r="E1241" s="51"/>
      <c r="F1241" s="51"/>
      <c r="G1241" s="50" t="s">
        <v>7998</v>
      </c>
      <c r="H1241" s="52">
        <v>44683.35380787037</v>
      </c>
      <c r="I1241" s="50"/>
      <c r="J1241" s="50"/>
      <c r="K1241" s="50"/>
      <c r="L1241" s="50"/>
      <c r="M1241" s="50" t="s">
        <v>7999</v>
      </c>
      <c r="N1241" s="50"/>
      <c r="O1241" s="53" t="s">
        <v>70</v>
      </c>
      <c r="P1241" s="55" t="s">
        <v>8000</v>
      </c>
      <c r="Q1241" s="50">
        <v>29.0</v>
      </c>
      <c r="R1241" s="50">
        <v>118.0</v>
      </c>
      <c r="S1241" s="50"/>
      <c r="T1241" s="56" t="s">
        <v>8001</v>
      </c>
      <c r="U1241" s="53" t="s">
        <v>370</v>
      </c>
    </row>
    <row r="1242">
      <c r="A1242" s="54" t="s">
        <v>8002</v>
      </c>
      <c r="B1242" s="50" t="s">
        <v>8003</v>
      </c>
      <c r="C1242" s="51" t="s">
        <v>8004</v>
      </c>
      <c r="D1242" s="51"/>
      <c r="E1242" s="51"/>
      <c r="F1242" s="51"/>
      <c r="G1242" s="50" t="s">
        <v>8005</v>
      </c>
      <c r="H1242" s="52">
        <v>44683.353749999995</v>
      </c>
      <c r="I1242" s="50"/>
      <c r="J1242" s="50"/>
      <c r="K1242" s="50"/>
      <c r="L1242" s="50"/>
      <c r="M1242" s="50" t="s">
        <v>8006</v>
      </c>
      <c r="N1242" s="50"/>
      <c r="O1242" s="53" t="s">
        <v>70</v>
      </c>
      <c r="P1242" s="55" t="s">
        <v>8007</v>
      </c>
      <c r="Q1242" s="50">
        <v>81.0</v>
      </c>
      <c r="R1242" s="50">
        <v>49.0</v>
      </c>
      <c r="S1242" s="50"/>
      <c r="T1242" s="56" t="s">
        <v>8008</v>
      </c>
      <c r="U1242" s="53" t="s">
        <v>8009</v>
      </c>
    </row>
    <row r="1243">
      <c r="A1243" s="54" t="s">
        <v>8010</v>
      </c>
      <c r="B1243" s="50" t="s">
        <v>8011</v>
      </c>
      <c r="C1243" s="51" t="s">
        <v>367</v>
      </c>
      <c r="D1243" s="51"/>
      <c r="E1243" s="51"/>
      <c r="F1243" s="51"/>
      <c r="G1243" s="50" t="s">
        <v>8012</v>
      </c>
      <c r="H1243" s="52">
        <v>44683.35371527778</v>
      </c>
      <c r="I1243" s="50"/>
      <c r="J1243" s="50"/>
      <c r="K1243" s="50"/>
      <c r="L1243" s="50"/>
      <c r="M1243" s="50" t="s">
        <v>8013</v>
      </c>
      <c r="N1243" s="50"/>
      <c r="O1243" s="53" t="s">
        <v>217</v>
      </c>
      <c r="P1243" s="55" t="s">
        <v>354</v>
      </c>
      <c r="Q1243" s="50">
        <v>46.0</v>
      </c>
      <c r="R1243" s="50">
        <v>93.0</v>
      </c>
      <c r="S1243" s="50"/>
      <c r="T1243" s="56" t="s">
        <v>8014</v>
      </c>
      <c r="U1243" s="53" t="s">
        <v>370</v>
      </c>
    </row>
    <row r="1244">
      <c r="A1244" s="54" t="s">
        <v>8015</v>
      </c>
      <c r="B1244" s="50" t="s">
        <v>8016</v>
      </c>
      <c r="C1244" s="51" t="s">
        <v>8017</v>
      </c>
      <c r="D1244" s="51"/>
      <c r="E1244" s="51"/>
      <c r="F1244" s="51"/>
      <c r="G1244" s="50" t="s">
        <v>8018</v>
      </c>
      <c r="H1244" s="52">
        <v>44683.353634259256</v>
      </c>
      <c r="I1244" s="50"/>
      <c r="J1244" s="50"/>
      <c r="K1244" s="50"/>
      <c r="L1244" s="50"/>
      <c r="M1244" s="50" t="s">
        <v>8019</v>
      </c>
      <c r="N1244" s="50"/>
      <c r="O1244" s="53" t="s">
        <v>70</v>
      </c>
      <c r="P1244" s="55" t="s">
        <v>8020</v>
      </c>
      <c r="Q1244" s="50">
        <v>152.0</v>
      </c>
      <c r="R1244" s="50">
        <v>316.0</v>
      </c>
      <c r="S1244" s="50"/>
      <c r="T1244" s="56" t="s">
        <v>8021</v>
      </c>
      <c r="U1244" s="53" t="s">
        <v>8022</v>
      </c>
    </row>
    <row r="1245">
      <c r="A1245" s="54" t="s">
        <v>8023</v>
      </c>
      <c r="B1245" s="50" t="s">
        <v>8024</v>
      </c>
      <c r="C1245" s="51" t="s">
        <v>1402</v>
      </c>
      <c r="D1245" s="51"/>
      <c r="E1245" s="51"/>
      <c r="F1245" s="51"/>
      <c r="G1245" s="50" t="s">
        <v>8025</v>
      </c>
      <c r="H1245" s="52">
        <v>44683.353379629625</v>
      </c>
      <c r="I1245" s="50"/>
      <c r="J1245" s="50"/>
      <c r="K1245" s="50"/>
      <c r="L1245" s="50"/>
      <c r="M1245" s="50" t="s">
        <v>8026</v>
      </c>
      <c r="N1245" s="50"/>
      <c r="O1245" s="53" t="s">
        <v>70</v>
      </c>
      <c r="P1245" s="55" t="s">
        <v>8027</v>
      </c>
      <c r="Q1245" s="50">
        <v>1301.0</v>
      </c>
      <c r="R1245" s="50">
        <v>1298.0</v>
      </c>
      <c r="S1245" s="50" t="s">
        <v>8028</v>
      </c>
      <c r="T1245" s="56" t="s">
        <v>8029</v>
      </c>
      <c r="U1245" s="53" t="s">
        <v>1408</v>
      </c>
    </row>
    <row r="1246">
      <c r="A1246" s="54" t="s">
        <v>8030</v>
      </c>
      <c r="B1246" s="50" t="s">
        <v>8031</v>
      </c>
      <c r="C1246" s="51" t="s">
        <v>687</v>
      </c>
      <c r="D1246" s="51"/>
      <c r="E1246" s="51"/>
      <c r="F1246" s="51"/>
      <c r="G1246" s="50" t="s">
        <v>8032</v>
      </c>
      <c r="H1246" s="52">
        <v>44683.3533449074</v>
      </c>
      <c r="I1246" s="50"/>
      <c r="J1246" s="50"/>
      <c r="K1246" s="50"/>
      <c r="L1246" s="50"/>
      <c r="M1246" s="50" t="s">
        <v>8033</v>
      </c>
      <c r="N1246" s="50"/>
      <c r="O1246" s="53" t="s">
        <v>92</v>
      </c>
      <c r="P1246" s="55" t="s">
        <v>8034</v>
      </c>
      <c r="Q1246" s="50">
        <v>1205.0</v>
      </c>
      <c r="R1246" s="50">
        <v>1223.0</v>
      </c>
      <c r="S1246" s="50" t="s">
        <v>5052</v>
      </c>
      <c r="T1246" s="56" t="s">
        <v>8035</v>
      </c>
      <c r="U1246" s="53" t="s">
        <v>691</v>
      </c>
    </row>
    <row r="1247">
      <c r="A1247" s="54" t="s">
        <v>8036</v>
      </c>
      <c r="B1247" s="50" t="s">
        <v>8037</v>
      </c>
      <c r="C1247" s="51" t="s">
        <v>8038</v>
      </c>
      <c r="D1247" s="51"/>
      <c r="E1247" s="51"/>
      <c r="F1247" s="51"/>
      <c r="G1247" s="50" t="s">
        <v>8039</v>
      </c>
      <c r="H1247" s="52">
        <v>44683.35329861111</v>
      </c>
      <c r="I1247" s="50"/>
      <c r="J1247" s="50"/>
      <c r="K1247" s="50"/>
      <c r="L1247" s="50"/>
      <c r="M1247" s="50" t="s">
        <v>8040</v>
      </c>
      <c r="N1247" s="50"/>
      <c r="O1247" s="53" t="s">
        <v>92</v>
      </c>
      <c r="P1247" s="55" t="s">
        <v>8041</v>
      </c>
      <c r="Q1247" s="50">
        <v>412.0</v>
      </c>
      <c r="R1247" s="50">
        <v>243.0</v>
      </c>
      <c r="S1247" s="50" t="s">
        <v>219</v>
      </c>
      <c r="T1247" s="56" t="s">
        <v>8042</v>
      </c>
      <c r="U1247" s="53" t="s">
        <v>8043</v>
      </c>
    </row>
    <row r="1248">
      <c r="A1248" s="54" t="s">
        <v>8044</v>
      </c>
      <c r="B1248" s="50" t="s">
        <v>8003</v>
      </c>
      <c r="C1248" s="51" t="s">
        <v>1913</v>
      </c>
      <c r="D1248" s="51"/>
      <c r="E1248" s="51"/>
      <c r="F1248" s="51"/>
      <c r="G1248" s="50" t="s">
        <v>8045</v>
      </c>
      <c r="H1248" s="52">
        <v>44683.35291666667</v>
      </c>
      <c r="I1248" s="50"/>
      <c r="J1248" s="50"/>
      <c r="K1248" s="50"/>
      <c r="L1248" s="50"/>
      <c r="M1248" s="50" t="s">
        <v>8006</v>
      </c>
      <c r="N1248" s="50"/>
      <c r="O1248" s="53" t="s">
        <v>70</v>
      </c>
      <c r="P1248" s="55" t="s">
        <v>8007</v>
      </c>
      <c r="Q1248" s="50">
        <v>81.0</v>
      </c>
      <c r="R1248" s="50">
        <v>49.0</v>
      </c>
      <c r="S1248" s="50"/>
      <c r="T1248" s="56" t="s">
        <v>8046</v>
      </c>
      <c r="U1248" s="53" t="s">
        <v>1916</v>
      </c>
    </row>
    <row r="1249">
      <c r="A1249" s="54" t="s">
        <v>8047</v>
      </c>
      <c r="B1249" s="50" t="s">
        <v>8048</v>
      </c>
      <c r="C1249" s="51" t="s">
        <v>8049</v>
      </c>
      <c r="D1249" s="51"/>
      <c r="E1249" s="51"/>
      <c r="F1249" s="51"/>
      <c r="G1249" s="50" t="s">
        <v>8050</v>
      </c>
      <c r="H1249" s="52">
        <v>44683.35290509259</v>
      </c>
      <c r="I1249" s="50"/>
      <c r="J1249" s="50"/>
      <c r="K1249" s="50"/>
      <c r="L1249" s="50"/>
      <c r="M1249" s="50" t="s">
        <v>8051</v>
      </c>
      <c r="N1249" s="50"/>
      <c r="O1249" s="53" t="s">
        <v>92</v>
      </c>
      <c r="P1249" s="55" t="s">
        <v>8052</v>
      </c>
      <c r="Q1249" s="50">
        <v>3380.0</v>
      </c>
      <c r="R1249" s="50">
        <v>4633.0</v>
      </c>
      <c r="S1249" s="50" t="s">
        <v>4766</v>
      </c>
      <c r="T1249" s="56" t="s">
        <v>8053</v>
      </c>
      <c r="U1249" s="53" t="s">
        <v>8054</v>
      </c>
    </row>
    <row r="1250">
      <c r="A1250" s="54" t="s">
        <v>8055</v>
      </c>
      <c r="B1250" s="50" t="s">
        <v>7997</v>
      </c>
      <c r="C1250" s="51" t="s">
        <v>329</v>
      </c>
      <c r="D1250" s="51"/>
      <c r="E1250" s="51"/>
      <c r="F1250" s="51"/>
      <c r="G1250" s="50" t="s">
        <v>8056</v>
      </c>
      <c r="H1250" s="52">
        <v>44683.35289351852</v>
      </c>
      <c r="I1250" s="50"/>
      <c r="J1250" s="50"/>
      <c r="K1250" s="50"/>
      <c r="L1250" s="50"/>
      <c r="M1250" s="50" t="s">
        <v>7999</v>
      </c>
      <c r="N1250" s="50"/>
      <c r="O1250" s="53" t="s">
        <v>70</v>
      </c>
      <c r="P1250" s="55" t="s">
        <v>8000</v>
      </c>
      <c r="Q1250" s="50">
        <v>29.0</v>
      </c>
      <c r="R1250" s="50">
        <v>118.0</v>
      </c>
      <c r="S1250" s="50"/>
      <c r="T1250" s="56" t="s">
        <v>8057</v>
      </c>
      <c r="U1250" s="53" t="s">
        <v>332</v>
      </c>
    </row>
    <row r="1251">
      <c r="A1251" s="54" t="s">
        <v>8058</v>
      </c>
      <c r="B1251" s="50" t="s">
        <v>8059</v>
      </c>
      <c r="C1251" s="51" t="s">
        <v>8060</v>
      </c>
      <c r="D1251" s="51"/>
      <c r="E1251" s="51"/>
      <c r="F1251" s="51"/>
      <c r="G1251" s="50" t="s">
        <v>8061</v>
      </c>
      <c r="H1251" s="52">
        <v>44683.352847222224</v>
      </c>
      <c r="I1251" s="50"/>
      <c r="J1251" s="50"/>
      <c r="K1251" s="50" t="s">
        <v>8062</v>
      </c>
      <c r="L1251" s="50" t="s">
        <v>8063</v>
      </c>
      <c r="M1251" s="50" t="s">
        <v>8064</v>
      </c>
      <c r="N1251" s="50" t="s">
        <v>8065</v>
      </c>
      <c r="O1251" s="53" t="s">
        <v>92</v>
      </c>
      <c r="P1251" s="55" t="s">
        <v>8066</v>
      </c>
      <c r="Q1251" s="50">
        <v>13535.0</v>
      </c>
      <c r="R1251" s="50">
        <v>14612.0</v>
      </c>
      <c r="S1251" s="50" t="s">
        <v>1311</v>
      </c>
      <c r="T1251" s="56" t="s">
        <v>8067</v>
      </c>
      <c r="U1251" s="53" t="s">
        <v>8068</v>
      </c>
    </row>
    <row r="1252">
      <c r="A1252" s="54" t="s">
        <v>8069</v>
      </c>
      <c r="B1252" s="50" t="s">
        <v>8070</v>
      </c>
      <c r="C1252" s="51" t="s">
        <v>687</v>
      </c>
      <c r="D1252" s="51"/>
      <c r="E1252" s="51"/>
      <c r="F1252" s="51"/>
      <c r="G1252" s="50" t="s">
        <v>8061</v>
      </c>
      <c r="H1252" s="52">
        <v>44683.352847222224</v>
      </c>
      <c r="I1252" s="50"/>
      <c r="J1252" s="50"/>
      <c r="K1252" s="50"/>
      <c r="L1252" s="50"/>
      <c r="M1252" s="50" t="s">
        <v>8071</v>
      </c>
      <c r="N1252" s="50"/>
      <c r="O1252" s="53" t="s">
        <v>60</v>
      </c>
      <c r="P1252" s="55" t="s">
        <v>8072</v>
      </c>
      <c r="Q1252" s="50">
        <v>129.0</v>
      </c>
      <c r="R1252" s="50">
        <v>135.0</v>
      </c>
      <c r="S1252" s="50" t="s">
        <v>1132</v>
      </c>
      <c r="T1252" s="56" t="s">
        <v>8073</v>
      </c>
      <c r="U1252" s="53" t="s">
        <v>691</v>
      </c>
    </row>
    <row r="1253">
      <c r="A1253" s="54" t="s">
        <v>8074</v>
      </c>
      <c r="B1253" s="50" t="s">
        <v>8075</v>
      </c>
      <c r="C1253" s="51" t="s">
        <v>7991</v>
      </c>
      <c r="D1253" s="51"/>
      <c r="E1253" s="51"/>
      <c r="F1253" s="51"/>
      <c r="G1253" s="50" t="s">
        <v>8076</v>
      </c>
      <c r="H1253" s="52">
        <v>44683.352685185186</v>
      </c>
      <c r="I1253" s="50"/>
      <c r="J1253" s="50"/>
      <c r="K1253" s="50"/>
      <c r="L1253" s="50"/>
      <c r="M1253" s="50" t="s">
        <v>8077</v>
      </c>
      <c r="N1253" s="50"/>
      <c r="O1253" s="53" t="s">
        <v>92</v>
      </c>
      <c r="P1253" s="55" t="s">
        <v>8078</v>
      </c>
      <c r="Q1253" s="50">
        <v>5286.0</v>
      </c>
      <c r="R1253" s="50">
        <v>5805.0</v>
      </c>
      <c r="S1253" s="50"/>
      <c r="T1253" s="56" t="s">
        <v>8079</v>
      </c>
      <c r="U1253" s="53" t="s">
        <v>7995</v>
      </c>
    </row>
    <row r="1254">
      <c r="A1254" s="54" t="s">
        <v>8080</v>
      </c>
      <c r="B1254" s="50" t="s">
        <v>8081</v>
      </c>
      <c r="C1254" s="51" t="s">
        <v>6470</v>
      </c>
      <c r="D1254" s="51"/>
      <c r="E1254" s="51"/>
      <c r="F1254" s="51"/>
      <c r="G1254" s="50" t="s">
        <v>8082</v>
      </c>
      <c r="H1254" s="52">
        <v>44683.352638888886</v>
      </c>
      <c r="I1254" s="50"/>
      <c r="J1254" s="50"/>
      <c r="K1254" s="50"/>
      <c r="L1254" s="50"/>
      <c r="M1254" s="50" t="s">
        <v>8083</v>
      </c>
      <c r="N1254" s="50"/>
      <c r="O1254" s="53" t="s">
        <v>217</v>
      </c>
      <c r="P1254" s="55" t="s">
        <v>8084</v>
      </c>
      <c r="Q1254" s="50">
        <v>2827.0</v>
      </c>
      <c r="R1254" s="50">
        <v>3116.0</v>
      </c>
      <c r="S1254" s="50" t="s">
        <v>8085</v>
      </c>
      <c r="T1254" s="56" t="s">
        <v>8086</v>
      </c>
      <c r="U1254" s="53" t="s">
        <v>6473</v>
      </c>
    </row>
    <row r="1255">
      <c r="A1255" s="54" t="s">
        <v>8087</v>
      </c>
      <c r="B1255" s="50" t="s">
        <v>8081</v>
      </c>
      <c r="C1255" s="51" t="s">
        <v>367</v>
      </c>
      <c r="D1255" s="51"/>
      <c r="E1255" s="51"/>
      <c r="F1255" s="51"/>
      <c r="G1255" s="50" t="s">
        <v>8088</v>
      </c>
      <c r="H1255" s="52">
        <v>44683.35259259259</v>
      </c>
      <c r="I1255" s="50"/>
      <c r="J1255" s="50"/>
      <c r="K1255" s="50"/>
      <c r="L1255" s="50"/>
      <c r="M1255" s="50" t="s">
        <v>8083</v>
      </c>
      <c r="N1255" s="50"/>
      <c r="O1255" s="53" t="s">
        <v>217</v>
      </c>
      <c r="P1255" s="55" t="s">
        <v>8084</v>
      </c>
      <c r="Q1255" s="50">
        <v>2827.0</v>
      </c>
      <c r="R1255" s="50">
        <v>3116.0</v>
      </c>
      <c r="S1255" s="50" t="s">
        <v>8085</v>
      </c>
      <c r="T1255" s="56" t="s">
        <v>8089</v>
      </c>
      <c r="U1255" s="53" t="s">
        <v>370</v>
      </c>
    </row>
    <row r="1256">
      <c r="A1256" s="54" t="s">
        <v>8090</v>
      </c>
      <c r="B1256" s="50" t="s">
        <v>625</v>
      </c>
      <c r="C1256" s="51" t="s">
        <v>8091</v>
      </c>
      <c r="D1256" s="51"/>
      <c r="E1256" s="51"/>
      <c r="F1256" s="51"/>
      <c r="G1256" s="50" t="s">
        <v>8088</v>
      </c>
      <c r="H1256" s="52">
        <v>44683.35259259259</v>
      </c>
      <c r="I1256" s="50"/>
      <c r="J1256" s="50"/>
      <c r="K1256" s="50" t="s">
        <v>628</v>
      </c>
      <c r="L1256" s="50" t="s">
        <v>629</v>
      </c>
      <c r="M1256" s="50" t="s">
        <v>630</v>
      </c>
      <c r="N1256" s="50" t="s">
        <v>8092</v>
      </c>
      <c r="O1256" s="53" t="s">
        <v>60</v>
      </c>
      <c r="P1256" s="55" t="s">
        <v>632</v>
      </c>
      <c r="Q1256" s="50">
        <v>5102.0</v>
      </c>
      <c r="R1256" s="50">
        <v>4680.0</v>
      </c>
      <c r="S1256" s="50"/>
      <c r="T1256" s="56" t="s">
        <v>8093</v>
      </c>
      <c r="U1256" s="53" t="s">
        <v>8094</v>
      </c>
    </row>
    <row r="1257">
      <c r="A1257" s="54" t="s">
        <v>8095</v>
      </c>
      <c r="B1257" s="50" t="s">
        <v>8096</v>
      </c>
      <c r="C1257" s="51" t="s">
        <v>8097</v>
      </c>
      <c r="D1257" s="51"/>
      <c r="E1257" s="51"/>
      <c r="F1257" s="51"/>
      <c r="G1257" s="50" t="s">
        <v>8098</v>
      </c>
      <c r="H1257" s="52">
        <v>44683.35252314815</v>
      </c>
      <c r="I1257" s="50"/>
      <c r="J1257" s="50"/>
      <c r="K1257" s="50" t="s">
        <v>8099</v>
      </c>
      <c r="L1257" s="50" t="s">
        <v>8100</v>
      </c>
      <c r="M1257" s="50" t="s">
        <v>8101</v>
      </c>
      <c r="N1257" s="50" t="s">
        <v>8102</v>
      </c>
      <c r="O1257" s="53" t="s">
        <v>70</v>
      </c>
      <c r="P1257" s="55" t="s">
        <v>8103</v>
      </c>
      <c r="Q1257" s="50">
        <v>455.0</v>
      </c>
      <c r="R1257" s="50">
        <v>459.0</v>
      </c>
      <c r="S1257" s="50" t="s">
        <v>8104</v>
      </c>
      <c r="T1257" s="56" t="s">
        <v>8105</v>
      </c>
      <c r="U1257" s="53" t="s">
        <v>8106</v>
      </c>
    </row>
    <row r="1258">
      <c r="A1258" s="54" t="s">
        <v>8107</v>
      </c>
      <c r="B1258" s="50" t="s">
        <v>8108</v>
      </c>
      <c r="C1258" s="51" t="s">
        <v>2869</v>
      </c>
      <c r="D1258" s="51"/>
      <c r="E1258" s="51"/>
      <c r="F1258" s="51"/>
      <c r="G1258" s="50" t="s">
        <v>8109</v>
      </c>
      <c r="H1258" s="52">
        <v>44683.35244212963</v>
      </c>
      <c r="I1258" s="50"/>
      <c r="J1258" s="50"/>
      <c r="K1258" s="50"/>
      <c r="L1258" s="50"/>
      <c r="M1258" s="50" t="s">
        <v>8110</v>
      </c>
      <c r="N1258" s="50"/>
      <c r="O1258" s="53" t="s">
        <v>70</v>
      </c>
      <c r="P1258" s="55" t="s">
        <v>8111</v>
      </c>
      <c r="Q1258" s="50">
        <v>5063.0</v>
      </c>
      <c r="R1258" s="50">
        <v>5185.0</v>
      </c>
      <c r="S1258" s="50" t="s">
        <v>8112</v>
      </c>
      <c r="T1258" s="56" t="s">
        <v>8113</v>
      </c>
      <c r="U1258" s="53" t="s">
        <v>2874</v>
      </c>
    </row>
    <row r="1259">
      <c r="A1259" s="54" t="s">
        <v>8114</v>
      </c>
      <c r="B1259" s="50" t="s">
        <v>8115</v>
      </c>
      <c r="C1259" s="51" t="s">
        <v>367</v>
      </c>
      <c r="D1259" s="51"/>
      <c r="E1259" s="51"/>
      <c r="F1259" s="51"/>
      <c r="G1259" s="50" t="s">
        <v>8116</v>
      </c>
      <c r="H1259" s="52">
        <v>44683.35232638889</v>
      </c>
      <c r="I1259" s="50"/>
      <c r="J1259" s="50"/>
      <c r="K1259" s="50"/>
      <c r="L1259" s="50"/>
      <c r="M1259" s="50" t="s">
        <v>8117</v>
      </c>
      <c r="N1259" s="50"/>
      <c r="O1259" s="53" t="s">
        <v>92</v>
      </c>
      <c r="P1259" s="55" t="s">
        <v>8118</v>
      </c>
      <c r="Q1259" s="50">
        <v>134.0</v>
      </c>
      <c r="R1259" s="50">
        <v>248.0</v>
      </c>
      <c r="S1259" s="50"/>
      <c r="T1259" s="56" t="s">
        <v>8119</v>
      </c>
      <c r="U1259" s="53" t="s">
        <v>370</v>
      </c>
    </row>
    <row r="1260">
      <c r="A1260" s="54" t="s">
        <v>8120</v>
      </c>
      <c r="B1260" s="50" t="s">
        <v>8121</v>
      </c>
      <c r="C1260" s="51" t="s">
        <v>329</v>
      </c>
      <c r="D1260" s="51"/>
      <c r="E1260" s="51"/>
      <c r="F1260" s="51"/>
      <c r="G1260" s="50" t="s">
        <v>8122</v>
      </c>
      <c r="H1260" s="52">
        <v>44683.35221064815</v>
      </c>
      <c r="I1260" s="50"/>
      <c r="J1260" s="50"/>
      <c r="K1260" s="50"/>
      <c r="L1260" s="50"/>
      <c r="M1260" s="50" t="s">
        <v>8123</v>
      </c>
      <c r="N1260" s="50"/>
      <c r="O1260" s="53" t="s">
        <v>92</v>
      </c>
      <c r="P1260" s="55" t="s">
        <v>8124</v>
      </c>
      <c r="Q1260" s="50">
        <v>543.0</v>
      </c>
      <c r="R1260" s="50">
        <v>659.0</v>
      </c>
      <c r="S1260" s="50" t="s">
        <v>8125</v>
      </c>
      <c r="T1260" s="56" t="s">
        <v>8126</v>
      </c>
      <c r="U1260" s="53" t="s">
        <v>332</v>
      </c>
    </row>
    <row r="1261">
      <c r="A1261" s="54" t="s">
        <v>8127</v>
      </c>
      <c r="B1261" s="50" t="s">
        <v>8128</v>
      </c>
      <c r="C1261" s="51" t="s">
        <v>1803</v>
      </c>
      <c r="D1261" s="51"/>
      <c r="E1261" s="51"/>
      <c r="F1261" s="51"/>
      <c r="G1261" s="50" t="s">
        <v>8129</v>
      </c>
      <c r="H1261" s="52">
        <v>44683.3521875</v>
      </c>
      <c r="I1261" s="50"/>
      <c r="J1261" s="50"/>
      <c r="K1261" s="50"/>
      <c r="L1261" s="50"/>
      <c r="M1261" s="50" t="s">
        <v>8130</v>
      </c>
      <c r="N1261" s="50"/>
      <c r="O1261" s="53" t="s">
        <v>60</v>
      </c>
      <c r="P1261" s="55" t="s">
        <v>8131</v>
      </c>
      <c r="Q1261" s="50">
        <v>8337.0</v>
      </c>
      <c r="R1261" s="50">
        <v>7675.0</v>
      </c>
      <c r="S1261" s="50" t="s">
        <v>8132</v>
      </c>
      <c r="T1261" s="56" t="s">
        <v>8133</v>
      </c>
      <c r="U1261" s="53" t="s">
        <v>1809</v>
      </c>
    </row>
    <row r="1262">
      <c r="A1262" s="54" t="s">
        <v>8134</v>
      </c>
      <c r="B1262" s="50" t="s">
        <v>8135</v>
      </c>
      <c r="C1262" s="51" t="s">
        <v>8136</v>
      </c>
      <c r="D1262" s="51"/>
      <c r="E1262" s="51"/>
      <c r="F1262" s="51"/>
      <c r="G1262" s="50" t="s">
        <v>8137</v>
      </c>
      <c r="H1262" s="52">
        <v>44683.35203703704</v>
      </c>
      <c r="I1262" s="50"/>
      <c r="J1262" s="50"/>
      <c r="K1262" s="50"/>
      <c r="L1262" s="50"/>
      <c r="M1262" s="50" t="s">
        <v>8138</v>
      </c>
      <c r="N1262" s="50"/>
      <c r="O1262" s="53" t="s">
        <v>60</v>
      </c>
      <c r="P1262" s="55" t="s">
        <v>8139</v>
      </c>
      <c r="Q1262" s="50">
        <v>961.0</v>
      </c>
      <c r="R1262" s="50">
        <v>1223.0</v>
      </c>
      <c r="S1262" s="50" t="s">
        <v>219</v>
      </c>
      <c r="T1262" s="56" t="s">
        <v>8140</v>
      </c>
      <c r="U1262" s="53" t="s">
        <v>8141</v>
      </c>
    </row>
    <row r="1263">
      <c r="A1263" s="54" t="s">
        <v>8142</v>
      </c>
      <c r="B1263" s="50" t="s">
        <v>8143</v>
      </c>
      <c r="C1263" s="51" t="s">
        <v>8144</v>
      </c>
      <c r="D1263" s="51"/>
      <c r="E1263" s="51"/>
      <c r="F1263" s="51"/>
      <c r="G1263" s="50" t="s">
        <v>8145</v>
      </c>
      <c r="H1263" s="52">
        <v>44683.35197916666</v>
      </c>
      <c r="I1263" s="50"/>
      <c r="J1263" s="50"/>
      <c r="K1263" s="50" t="s">
        <v>4436</v>
      </c>
      <c r="L1263" s="50" t="s">
        <v>4437</v>
      </c>
      <c r="M1263" s="50" t="s">
        <v>8146</v>
      </c>
      <c r="N1263" s="50" t="s">
        <v>4439</v>
      </c>
      <c r="O1263" s="53" t="s">
        <v>217</v>
      </c>
      <c r="P1263" s="55" t="s">
        <v>8147</v>
      </c>
      <c r="Q1263" s="50">
        <v>1240.0</v>
      </c>
      <c r="R1263" s="50">
        <v>1437.0</v>
      </c>
      <c r="S1263" s="50" t="s">
        <v>219</v>
      </c>
      <c r="T1263" s="56" t="s">
        <v>8148</v>
      </c>
      <c r="U1263" s="53" t="s">
        <v>8149</v>
      </c>
    </row>
    <row r="1264">
      <c r="A1264" s="54" t="s">
        <v>8150</v>
      </c>
      <c r="B1264" s="50" t="s">
        <v>7075</v>
      </c>
      <c r="C1264" s="51" t="s">
        <v>316</v>
      </c>
      <c r="D1264" s="51"/>
      <c r="E1264" s="51"/>
      <c r="F1264" s="51"/>
      <c r="G1264" s="50" t="s">
        <v>8151</v>
      </c>
      <c r="H1264" s="52">
        <v>44683.351851851854</v>
      </c>
      <c r="I1264" s="50"/>
      <c r="J1264" s="50"/>
      <c r="K1264" s="50"/>
      <c r="L1264" s="50"/>
      <c r="M1264" s="50" t="s">
        <v>7077</v>
      </c>
      <c r="N1264" s="50"/>
      <c r="O1264" s="53" t="s">
        <v>92</v>
      </c>
      <c r="P1264" s="55" t="s">
        <v>354</v>
      </c>
      <c r="Q1264" s="50">
        <v>111.0</v>
      </c>
      <c r="R1264" s="50">
        <v>385.0</v>
      </c>
      <c r="S1264" s="50"/>
      <c r="T1264" s="56" t="s">
        <v>8152</v>
      </c>
      <c r="U1264" s="53" t="s">
        <v>322</v>
      </c>
    </row>
    <row r="1265">
      <c r="A1265" s="54" t="s">
        <v>8153</v>
      </c>
      <c r="B1265" s="50" t="s">
        <v>8154</v>
      </c>
      <c r="C1265" s="51" t="s">
        <v>335</v>
      </c>
      <c r="D1265" s="51"/>
      <c r="E1265" s="51"/>
      <c r="F1265" s="51"/>
      <c r="G1265" s="50" t="s">
        <v>8155</v>
      </c>
      <c r="H1265" s="52">
        <v>44683.35171296296</v>
      </c>
      <c r="I1265" s="50"/>
      <c r="J1265" s="50"/>
      <c r="K1265" s="50"/>
      <c r="L1265" s="50"/>
      <c r="M1265" s="50" t="s">
        <v>8156</v>
      </c>
      <c r="N1265" s="50"/>
      <c r="O1265" s="53" t="s">
        <v>60</v>
      </c>
      <c r="P1265" s="55" t="s">
        <v>8157</v>
      </c>
      <c r="Q1265" s="50">
        <v>1518.0</v>
      </c>
      <c r="R1265" s="50">
        <v>1814.0</v>
      </c>
      <c r="S1265" s="50" t="s">
        <v>8158</v>
      </c>
      <c r="T1265" s="56" t="s">
        <v>8159</v>
      </c>
      <c r="U1265" s="53" t="s">
        <v>339</v>
      </c>
    </row>
    <row r="1266">
      <c r="A1266" s="54" t="s">
        <v>8160</v>
      </c>
      <c r="B1266" s="50" t="s">
        <v>8161</v>
      </c>
      <c r="C1266" s="51" t="s">
        <v>367</v>
      </c>
      <c r="D1266" s="51"/>
      <c r="E1266" s="51"/>
      <c r="F1266" s="51"/>
      <c r="G1266" s="50" t="s">
        <v>8162</v>
      </c>
      <c r="H1266" s="52">
        <v>44683.35133101852</v>
      </c>
      <c r="I1266" s="50"/>
      <c r="J1266" s="50"/>
      <c r="K1266" s="50"/>
      <c r="L1266" s="50"/>
      <c r="M1266" s="50" t="s">
        <v>8163</v>
      </c>
      <c r="N1266" s="50"/>
      <c r="O1266" s="53" t="s">
        <v>60</v>
      </c>
      <c r="P1266" s="55" t="s">
        <v>8164</v>
      </c>
      <c r="Q1266" s="50">
        <v>79.0</v>
      </c>
      <c r="R1266" s="50">
        <v>246.0</v>
      </c>
      <c r="S1266" s="50" t="s">
        <v>8165</v>
      </c>
      <c r="T1266" s="56" t="s">
        <v>8166</v>
      </c>
      <c r="U1266" s="53" t="s">
        <v>370</v>
      </c>
    </row>
    <row r="1267">
      <c r="A1267" s="54" t="s">
        <v>8167</v>
      </c>
      <c r="B1267" s="50" t="s">
        <v>8168</v>
      </c>
      <c r="C1267" s="51" t="s">
        <v>367</v>
      </c>
      <c r="D1267" s="51"/>
      <c r="E1267" s="51"/>
      <c r="F1267" s="51"/>
      <c r="G1267" s="50" t="s">
        <v>8169</v>
      </c>
      <c r="H1267" s="52">
        <v>44683.351273148146</v>
      </c>
      <c r="I1267" s="50"/>
      <c r="J1267" s="50"/>
      <c r="K1267" s="50"/>
      <c r="L1267" s="50"/>
      <c r="M1267" s="50" t="s">
        <v>8170</v>
      </c>
      <c r="N1267" s="50"/>
      <c r="O1267" s="53" t="s">
        <v>70</v>
      </c>
      <c r="P1267" s="55" t="s">
        <v>8171</v>
      </c>
      <c r="Q1267" s="50">
        <v>2.0</v>
      </c>
      <c r="R1267" s="50">
        <v>211.0</v>
      </c>
      <c r="S1267" s="50"/>
      <c r="T1267" s="56" t="s">
        <v>8172</v>
      </c>
      <c r="U1267" s="53" t="s">
        <v>370</v>
      </c>
    </row>
    <row r="1268">
      <c r="A1268" s="54" t="s">
        <v>8173</v>
      </c>
      <c r="B1268" s="50" t="s">
        <v>8174</v>
      </c>
      <c r="C1268" s="51" t="s">
        <v>1307</v>
      </c>
      <c r="D1268" s="51"/>
      <c r="E1268" s="51"/>
      <c r="F1268" s="51"/>
      <c r="G1268" s="50" t="s">
        <v>8175</v>
      </c>
      <c r="H1268" s="52">
        <v>44683.35126157408</v>
      </c>
      <c r="I1268" s="50"/>
      <c r="J1268" s="50"/>
      <c r="K1268" s="50"/>
      <c r="L1268" s="50"/>
      <c r="M1268" s="50" t="s">
        <v>8176</v>
      </c>
      <c r="N1268" s="50"/>
      <c r="O1268" s="53" t="s">
        <v>92</v>
      </c>
      <c r="P1268" s="55" t="s">
        <v>8177</v>
      </c>
      <c r="Q1268" s="50">
        <v>4111.0</v>
      </c>
      <c r="R1268" s="50">
        <v>4194.0</v>
      </c>
      <c r="S1268" s="50" t="s">
        <v>8178</v>
      </c>
      <c r="T1268" s="56" t="s">
        <v>8179</v>
      </c>
      <c r="U1268" s="53" t="s">
        <v>1313</v>
      </c>
    </row>
    <row r="1269">
      <c r="A1269" s="54" t="s">
        <v>8180</v>
      </c>
      <c r="B1269" s="50" t="s">
        <v>8181</v>
      </c>
      <c r="C1269" s="51" t="s">
        <v>8182</v>
      </c>
      <c r="D1269" s="51"/>
      <c r="E1269" s="51"/>
      <c r="F1269" s="51"/>
      <c r="G1269" s="50" t="s">
        <v>8183</v>
      </c>
      <c r="H1269" s="52">
        <v>44683.35104166667</v>
      </c>
      <c r="I1269" s="50"/>
      <c r="J1269" s="50"/>
      <c r="K1269" s="50"/>
      <c r="L1269" s="50"/>
      <c r="M1269" s="50" t="s">
        <v>8184</v>
      </c>
      <c r="N1269" s="50"/>
      <c r="O1269" s="53" t="s">
        <v>70</v>
      </c>
      <c r="P1269" s="55" t="s">
        <v>8185</v>
      </c>
      <c r="Q1269" s="50">
        <v>1893.0</v>
      </c>
      <c r="R1269" s="50">
        <v>2861.0</v>
      </c>
      <c r="S1269" s="50"/>
      <c r="T1269" s="56" t="s">
        <v>8186</v>
      </c>
      <c r="U1269" s="53" t="s">
        <v>8187</v>
      </c>
    </row>
    <row r="1270">
      <c r="A1270" s="54" t="s">
        <v>8188</v>
      </c>
      <c r="B1270" s="50" t="s">
        <v>7285</v>
      </c>
      <c r="C1270" s="51" t="s">
        <v>1803</v>
      </c>
      <c r="D1270" s="51"/>
      <c r="E1270" s="51"/>
      <c r="F1270" s="51"/>
      <c r="G1270" s="50" t="s">
        <v>8189</v>
      </c>
      <c r="H1270" s="52">
        <v>44683.35096064815</v>
      </c>
      <c r="I1270" s="50"/>
      <c r="J1270" s="50"/>
      <c r="K1270" s="50"/>
      <c r="L1270" s="50"/>
      <c r="M1270" s="50" t="s">
        <v>7286</v>
      </c>
      <c r="N1270" s="50"/>
      <c r="O1270" s="53" t="s">
        <v>70</v>
      </c>
      <c r="P1270" s="55" t="s">
        <v>7287</v>
      </c>
      <c r="Q1270" s="50">
        <v>23317.0</v>
      </c>
      <c r="R1270" s="50">
        <v>15703.0</v>
      </c>
      <c r="S1270" s="50" t="s">
        <v>7288</v>
      </c>
      <c r="T1270" s="56" t="s">
        <v>8190</v>
      </c>
      <c r="U1270" s="53" t="s">
        <v>1809</v>
      </c>
    </row>
    <row r="1271">
      <c r="A1271" s="54" t="s">
        <v>8191</v>
      </c>
      <c r="B1271" s="50" t="s">
        <v>8192</v>
      </c>
      <c r="C1271" s="51" t="s">
        <v>367</v>
      </c>
      <c r="D1271" s="51"/>
      <c r="E1271" s="51"/>
      <c r="F1271" s="51"/>
      <c r="G1271" s="50" t="s">
        <v>8193</v>
      </c>
      <c r="H1271" s="52">
        <v>44683.35087962963</v>
      </c>
      <c r="I1271" s="50"/>
      <c r="J1271" s="50"/>
      <c r="K1271" s="50"/>
      <c r="L1271" s="50"/>
      <c r="M1271" s="50" t="s">
        <v>8194</v>
      </c>
      <c r="N1271" s="50"/>
      <c r="O1271" s="53" t="s">
        <v>92</v>
      </c>
      <c r="P1271" s="55" t="s">
        <v>8195</v>
      </c>
      <c r="Q1271" s="50">
        <v>2623.0</v>
      </c>
      <c r="R1271" s="50">
        <v>3299.0</v>
      </c>
      <c r="S1271" s="50" t="s">
        <v>8196</v>
      </c>
      <c r="T1271" s="56" t="s">
        <v>8197</v>
      </c>
      <c r="U1271" s="53" t="s">
        <v>370</v>
      </c>
    </row>
    <row r="1272">
      <c r="A1272" s="54" t="s">
        <v>8198</v>
      </c>
      <c r="B1272" s="50" t="s">
        <v>8199</v>
      </c>
      <c r="C1272" s="51" t="s">
        <v>367</v>
      </c>
      <c r="D1272" s="51"/>
      <c r="E1272" s="51"/>
      <c r="F1272" s="51"/>
      <c r="G1272" s="50" t="s">
        <v>8200</v>
      </c>
      <c r="H1272" s="52">
        <v>44683.350810185184</v>
      </c>
      <c r="I1272" s="50"/>
      <c r="J1272" s="50"/>
      <c r="K1272" s="50"/>
      <c r="L1272" s="50"/>
      <c r="M1272" s="50" t="s">
        <v>8201</v>
      </c>
      <c r="N1272" s="50"/>
      <c r="O1272" s="53" t="s">
        <v>70</v>
      </c>
      <c r="P1272" s="55" t="s">
        <v>8202</v>
      </c>
      <c r="Q1272" s="50">
        <v>3171.0</v>
      </c>
      <c r="R1272" s="50">
        <v>2873.0</v>
      </c>
      <c r="S1272" s="50" t="s">
        <v>8203</v>
      </c>
      <c r="T1272" s="56" t="s">
        <v>8204</v>
      </c>
      <c r="U1272" s="53" t="s">
        <v>370</v>
      </c>
    </row>
    <row r="1273">
      <c r="A1273" s="54" t="s">
        <v>8205</v>
      </c>
      <c r="B1273" s="50" t="s">
        <v>8206</v>
      </c>
      <c r="C1273" s="51" t="s">
        <v>1402</v>
      </c>
      <c r="D1273" s="51"/>
      <c r="E1273" s="51"/>
      <c r="F1273" s="51"/>
      <c r="G1273" s="50" t="s">
        <v>8207</v>
      </c>
      <c r="H1273" s="52">
        <v>44683.35060185185</v>
      </c>
      <c r="I1273" s="50"/>
      <c r="J1273" s="50"/>
      <c r="K1273" s="50"/>
      <c r="L1273" s="50"/>
      <c r="M1273" s="50" t="s">
        <v>8208</v>
      </c>
      <c r="N1273" s="50"/>
      <c r="O1273" s="53" t="s">
        <v>5664</v>
      </c>
      <c r="P1273" s="55" t="s">
        <v>8209</v>
      </c>
      <c r="Q1273" s="50">
        <v>1899.0</v>
      </c>
      <c r="R1273" s="50">
        <v>4985.0</v>
      </c>
      <c r="S1273" s="50" t="s">
        <v>8210</v>
      </c>
      <c r="T1273" s="56" t="s">
        <v>8211</v>
      </c>
      <c r="U1273" s="53" t="s">
        <v>1408</v>
      </c>
    </row>
    <row r="1274">
      <c r="A1274" s="54" t="s">
        <v>8212</v>
      </c>
      <c r="B1274" s="50" t="s">
        <v>8213</v>
      </c>
      <c r="C1274" s="51" t="s">
        <v>367</v>
      </c>
      <c r="D1274" s="51"/>
      <c r="E1274" s="51"/>
      <c r="F1274" s="51"/>
      <c r="G1274" s="50" t="s">
        <v>8214</v>
      </c>
      <c r="H1274" s="52">
        <v>44683.350277777776</v>
      </c>
      <c r="I1274" s="50"/>
      <c r="J1274" s="50"/>
      <c r="K1274" s="50"/>
      <c r="L1274" s="50"/>
      <c r="M1274" s="50" t="s">
        <v>8215</v>
      </c>
      <c r="N1274" s="50"/>
      <c r="O1274" s="53" t="s">
        <v>217</v>
      </c>
      <c r="P1274" s="55" t="s">
        <v>8216</v>
      </c>
      <c r="Q1274" s="50">
        <v>79.0</v>
      </c>
      <c r="R1274" s="50">
        <v>86.0</v>
      </c>
      <c r="S1274" s="50"/>
      <c r="T1274" s="56" t="s">
        <v>8217</v>
      </c>
      <c r="U1274" s="53" t="s">
        <v>370</v>
      </c>
    </row>
    <row r="1275">
      <c r="A1275" s="54" t="s">
        <v>8218</v>
      </c>
      <c r="B1275" s="50" t="s">
        <v>7801</v>
      </c>
      <c r="C1275" s="51" t="s">
        <v>1402</v>
      </c>
      <c r="D1275" s="51"/>
      <c r="E1275" s="51"/>
      <c r="F1275" s="51"/>
      <c r="G1275" s="50" t="s">
        <v>8219</v>
      </c>
      <c r="H1275" s="52">
        <v>44683.35010416667</v>
      </c>
      <c r="I1275" s="50"/>
      <c r="J1275" s="50"/>
      <c r="K1275" s="50"/>
      <c r="L1275" s="50"/>
      <c r="M1275" s="50" t="s">
        <v>7803</v>
      </c>
      <c r="N1275" s="50"/>
      <c r="O1275" s="53" t="s">
        <v>70</v>
      </c>
      <c r="P1275" s="55" t="s">
        <v>7804</v>
      </c>
      <c r="Q1275" s="50">
        <v>2719.0</v>
      </c>
      <c r="R1275" s="50">
        <v>3249.0</v>
      </c>
      <c r="S1275" s="50" t="s">
        <v>729</v>
      </c>
      <c r="T1275" s="56" t="s">
        <v>8220</v>
      </c>
      <c r="U1275" s="53" t="s">
        <v>1408</v>
      </c>
    </row>
    <row r="1276">
      <c r="A1276" s="54" t="s">
        <v>8221</v>
      </c>
      <c r="B1276" s="50" t="s">
        <v>8222</v>
      </c>
      <c r="C1276" s="51" t="s">
        <v>687</v>
      </c>
      <c r="D1276" s="51"/>
      <c r="E1276" s="51"/>
      <c r="F1276" s="51"/>
      <c r="G1276" s="50" t="s">
        <v>8223</v>
      </c>
      <c r="H1276" s="52">
        <v>44683.35005787037</v>
      </c>
      <c r="I1276" s="50"/>
      <c r="J1276" s="50"/>
      <c r="K1276" s="50"/>
      <c r="L1276" s="50"/>
      <c r="M1276" s="50" t="s">
        <v>8224</v>
      </c>
      <c r="N1276" s="50"/>
      <c r="O1276" s="53" t="s">
        <v>70</v>
      </c>
      <c r="P1276" s="55" t="s">
        <v>8225</v>
      </c>
      <c r="Q1276" s="50">
        <v>108.0</v>
      </c>
      <c r="R1276" s="50">
        <v>301.0</v>
      </c>
      <c r="S1276" s="50"/>
      <c r="T1276" s="56" t="s">
        <v>8226</v>
      </c>
      <c r="U1276" s="53" t="s">
        <v>691</v>
      </c>
    </row>
    <row r="1277">
      <c r="A1277" s="54" t="s">
        <v>8227</v>
      </c>
      <c r="B1277" s="50" t="s">
        <v>8228</v>
      </c>
      <c r="C1277" s="51" t="s">
        <v>8229</v>
      </c>
      <c r="D1277" s="51"/>
      <c r="E1277" s="51"/>
      <c r="F1277" s="51"/>
      <c r="G1277" s="50" t="s">
        <v>8230</v>
      </c>
      <c r="H1277" s="52">
        <v>44683.349907407406</v>
      </c>
      <c r="I1277" s="50"/>
      <c r="J1277" s="50"/>
      <c r="K1277" s="50"/>
      <c r="L1277" s="50"/>
      <c r="M1277" s="50" t="s">
        <v>8231</v>
      </c>
      <c r="N1277" s="50"/>
      <c r="O1277" s="53" t="s">
        <v>70</v>
      </c>
      <c r="P1277" s="55" t="s">
        <v>8232</v>
      </c>
      <c r="Q1277" s="50">
        <v>939.0</v>
      </c>
      <c r="R1277" s="50">
        <v>956.0</v>
      </c>
      <c r="S1277" s="50" t="s">
        <v>8233</v>
      </c>
      <c r="T1277" s="56" t="s">
        <v>8234</v>
      </c>
      <c r="U1277" s="53" t="s">
        <v>8235</v>
      </c>
    </row>
    <row r="1278">
      <c r="A1278" s="54" t="s">
        <v>8236</v>
      </c>
      <c r="B1278" s="50" t="s">
        <v>8154</v>
      </c>
      <c r="C1278" s="51" t="s">
        <v>3073</v>
      </c>
      <c r="D1278" s="51"/>
      <c r="E1278" s="51"/>
      <c r="F1278" s="51"/>
      <c r="G1278" s="50" t="s">
        <v>8237</v>
      </c>
      <c r="H1278" s="52">
        <v>44683.34952546297</v>
      </c>
      <c r="I1278" s="50"/>
      <c r="J1278" s="50"/>
      <c r="K1278" s="50"/>
      <c r="L1278" s="50"/>
      <c r="M1278" s="50" t="s">
        <v>8156</v>
      </c>
      <c r="N1278" s="50"/>
      <c r="O1278" s="53" t="s">
        <v>60</v>
      </c>
      <c r="P1278" s="55" t="s">
        <v>8157</v>
      </c>
      <c r="Q1278" s="50">
        <v>1518.0</v>
      </c>
      <c r="R1278" s="50">
        <v>1814.0</v>
      </c>
      <c r="S1278" s="50" t="s">
        <v>8158</v>
      </c>
      <c r="T1278" s="56" t="s">
        <v>8238</v>
      </c>
      <c r="U1278" s="53" t="s">
        <v>3079</v>
      </c>
    </row>
    <row r="1279">
      <c r="A1279" s="54" t="s">
        <v>8239</v>
      </c>
      <c r="B1279" s="50" t="s">
        <v>8240</v>
      </c>
      <c r="C1279" s="51" t="s">
        <v>1402</v>
      </c>
      <c r="D1279" s="51"/>
      <c r="E1279" s="51"/>
      <c r="F1279" s="51"/>
      <c r="G1279" s="50" t="s">
        <v>8241</v>
      </c>
      <c r="H1279" s="52">
        <v>44683.34921296296</v>
      </c>
      <c r="I1279" s="50"/>
      <c r="J1279" s="50"/>
      <c r="K1279" s="50"/>
      <c r="L1279" s="50"/>
      <c r="M1279" s="50" t="s">
        <v>8242</v>
      </c>
      <c r="N1279" s="50"/>
      <c r="O1279" s="53" t="s">
        <v>92</v>
      </c>
      <c r="P1279" s="55" t="s">
        <v>8243</v>
      </c>
      <c r="Q1279" s="50">
        <v>2646.0</v>
      </c>
      <c r="R1279" s="50">
        <v>5000.0</v>
      </c>
      <c r="S1279" s="50" t="s">
        <v>8244</v>
      </c>
      <c r="T1279" s="56" t="s">
        <v>8245</v>
      </c>
      <c r="U1279" s="53" t="s">
        <v>1408</v>
      </c>
    </row>
    <row r="1280">
      <c r="A1280" s="54" t="s">
        <v>8246</v>
      </c>
      <c r="B1280" s="50" t="s">
        <v>8247</v>
      </c>
      <c r="C1280" s="51" t="s">
        <v>1402</v>
      </c>
      <c r="D1280" s="51"/>
      <c r="E1280" s="51"/>
      <c r="F1280" s="51"/>
      <c r="G1280" s="50" t="s">
        <v>8248</v>
      </c>
      <c r="H1280" s="52">
        <v>44683.34916666667</v>
      </c>
      <c r="I1280" s="50"/>
      <c r="J1280" s="50"/>
      <c r="K1280" s="50"/>
      <c r="L1280" s="50"/>
      <c r="M1280" s="50" t="s">
        <v>8249</v>
      </c>
      <c r="N1280" s="50"/>
      <c r="O1280" s="53" t="s">
        <v>92</v>
      </c>
      <c r="P1280" s="55" t="s">
        <v>8250</v>
      </c>
      <c r="Q1280" s="50">
        <v>2180.0</v>
      </c>
      <c r="R1280" s="50">
        <v>4796.0</v>
      </c>
      <c r="S1280" s="50" t="s">
        <v>8251</v>
      </c>
      <c r="T1280" s="56" t="s">
        <v>8252</v>
      </c>
      <c r="U1280" s="53" t="s">
        <v>1408</v>
      </c>
    </row>
    <row r="1281">
      <c r="A1281" s="54" t="s">
        <v>8253</v>
      </c>
      <c r="B1281" s="50" t="s">
        <v>8254</v>
      </c>
      <c r="C1281" s="51" t="s">
        <v>8255</v>
      </c>
      <c r="D1281" s="51"/>
      <c r="E1281" s="51"/>
      <c r="F1281" s="51"/>
      <c r="G1281" s="50" t="s">
        <v>8256</v>
      </c>
      <c r="H1281" s="52">
        <v>44683.349027777775</v>
      </c>
      <c r="I1281" s="50"/>
      <c r="J1281" s="50"/>
      <c r="K1281" s="50"/>
      <c r="L1281" s="50"/>
      <c r="M1281" s="50" t="s">
        <v>8257</v>
      </c>
      <c r="N1281" s="50"/>
      <c r="O1281" s="53" t="s">
        <v>92</v>
      </c>
      <c r="P1281" s="55" t="s">
        <v>8258</v>
      </c>
      <c r="Q1281" s="50">
        <v>2216.0</v>
      </c>
      <c r="R1281" s="50">
        <v>2617.0</v>
      </c>
      <c r="S1281" s="50" t="s">
        <v>8259</v>
      </c>
      <c r="T1281" s="56" t="s">
        <v>8260</v>
      </c>
      <c r="U1281" s="53" t="s">
        <v>8261</v>
      </c>
    </row>
    <row r="1282">
      <c r="A1282" s="54" t="s">
        <v>8262</v>
      </c>
      <c r="B1282" s="50" t="s">
        <v>8263</v>
      </c>
      <c r="C1282" s="51" t="s">
        <v>5381</v>
      </c>
      <c r="D1282" s="51"/>
      <c r="E1282" s="51"/>
      <c r="F1282" s="51"/>
      <c r="G1282" s="50" t="s">
        <v>8264</v>
      </c>
      <c r="H1282" s="52">
        <v>44683.34880787037</v>
      </c>
      <c r="I1282" s="50"/>
      <c r="J1282" s="50"/>
      <c r="K1282" s="50"/>
      <c r="L1282" s="50"/>
      <c r="M1282" s="50" t="s">
        <v>8265</v>
      </c>
      <c r="N1282" s="50"/>
      <c r="O1282" s="53" t="s">
        <v>217</v>
      </c>
      <c r="P1282" s="55" t="s">
        <v>8266</v>
      </c>
      <c r="Q1282" s="50">
        <v>2096.0</v>
      </c>
      <c r="R1282" s="50">
        <v>1597.0</v>
      </c>
      <c r="S1282" s="50" t="s">
        <v>8267</v>
      </c>
      <c r="T1282" s="56" t="s">
        <v>8268</v>
      </c>
      <c r="U1282" s="53" t="s">
        <v>5386</v>
      </c>
    </row>
    <row r="1283">
      <c r="A1283" s="54" t="s">
        <v>8269</v>
      </c>
      <c r="B1283" s="50" t="s">
        <v>8270</v>
      </c>
      <c r="C1283" s="51" t="s">
        <v>1402</v>
      </c>
      <c r="D1283" s="51"/>
      <c r="E1283" s="51"/>
      <c r="F1283" s="51"/>
      <c r="G1283" s="50" t="s">
        <v>8271</v>
      </c>
      <c r="H1283" s="52">
        <v>44683.34871527778</v>
      </c>
      <c r="I1283" s="50"/>
      <c r="J1283" s="50"/>
      <c r="K1283" s="50"/>
      <c r="L1283" s="50"/>
      <c r="M1283" s="50" t="s">
        <v>8272</v>
      </c>
      <c r="N1283" s="50"/>
      <c r="O1283" s="53" t="s">
        <v>92</v>
      </c>
      <c r="P1283" s="55" t="s">
        <v>8273</v>
      </c>
      <c r="Q1283" s="50">
        <v>1625.0</v>
      </c>
      <c r="R1283" s="50">
        <v>844.0</v>
      </c>
      <c r="S1283" s="50" t="s">
        <v>8274</v>
      </c>
      <c r="T1283" s="56" t="s">
        <v>8275</v>
      </c>
      <c r="U1283" s="53" t="s">
        <v>1408</v>
      </c>
    </row>
    <row r="1284">
      <c r="A1284" s="54" t="s">
        <v>8276</v>
      </c>
      <c r="B1284" s="50" t="s">
        <v>8277</v>
      </c>
      <c r="C1284" s="51" t="s">
        <v>1402</v>
      </c>
      <c r="D1284" s="51"/>
      <c r="E1284" s="51"/>
      <c r="F1284" s="51"/>
      <c r="G1284" s="50" t="s">
        <v>8278</v>
      </c>
      <c r="H1284" s="52">
        <v>44683.348553240736</v>
      </c>
      <c r="I1284" s="50"/>
      <c r="J1284" s="50"/>
      <c r="K1284" s="50"/>
      <c r="L1284" s="50"/>
      <c r="M1284" s="50" t="s">
        <v>8279</v>
      </c>
      <c r="N1284" s="50"/>
      <c r="O1284" s="53" t="s">
        <v>60</v>
      </c>
      <c r="P1284" s="55" t="s">
        <v>8280</v>
      </c>
      <c r="Q1284" s="50">
        <v>12495.0</v>
      </c>
      <c r="R1284" s="50">
        <v>13199.0</v>
      </c>
      <c r="S1284" s="50" t="s">
        <v>8281</v>
      </c>
      <c r="T1284" s="56" t="s">
        <v>8282</v>
      </c>
      <c r="U1284" s="53" t="s">
        <v>1408</v>
      </c>
    </row>
    <row r="1285">
      <c r="A1285" s="54" t="s">
        <v>8283</v>
      </c>
      <c r="B1285" s="50" t="s">
        <v>8284</v>
      </c>
      <c r="C1285" s="51" t="s">
        <v>8285</v>
      </c>
      <c r="D1285" s="51"/>
      <c r="E1285" s="51"/>
      <c r="F1285" s="51"/>
      <c r="G1285" s="50" t="s">
        <v>8286</v>
      </c>
      <c r="H1285" s="52">
        <v>44683.3484837963</v>
      </c>
      <c r="I1285" s="50"/>
      <c r="J1285" s="50"/>
      <c r="K1285" s="50"/>
      <c r="L1285" s="50"/>
      <c r="M1285" s="50" t="s">
        <v>8287</v>
      </c>
      <c r="N1285" s="50"/>
      <c r="O1285" s="53" t="s">
        <v>70</v>
      </c>
      <c r="P1285" s="55" t="s">
        <v>8288</v>
      </c>
      <c r="Q1285" s="50">
        <v>232.0</v>
      </c>
      <c r="R1285" s="50">
        <v>1851.0</v>
      </c>
      <c r="S1285" s="50" t="s">
        <v>8289</v>
      </c>
      <c r="T1285" s="56" t="s">
        <v>8290</v>
      </c>
      <c r="U1285" s="53" t="s">
        <v>8291</v>
      </c>
    </row>
    <row r="1286">
      <c r="A1286" s="54" t="s">
        <v>8292</v>
      </c>
      <c r="B1286" s="50" t="s">
        <v>8293</v>
      </c>
      <c r="C1286" s="51" t="s">
        <v>8294</v>
      </c>
      <c r="D1286" s="51"/>
      <c r="E1286" s="51"/>
      <c r="F1286" s="51"/>
      <c r="G1286" s="50" t="s">
        <v>8295</v>
      </c>
      <c r="H1286" s="52">
        <v>44683.34831018519</v>
      </c>
      <c r="I1286" s="50"/>
      <c r="J1286" s="50"/>
      <c r="K1286" s="50"/>
      <c r="L1286" s="50"/>
      <c r="M1286" s="50" t="s">
        <v>8296</v>
      </c>
      <c r="N1286" s="50"/>
      <c r="O1286" s="53" t="s">
        <v>60</v>
      </c>
      <c r="P1286" s="55" t="s">
        <v>8297</v>
      </c>
      <c r="Q1286" s="50">
        <v>159.0</v>
      </c>
      <c r="R1286" s="50">
        <v>1004.0</v>
      </c>
      <c r="S1286" s="50" t="s">
        <v>8298</v>
      </c>
      <c r="T1286" s="56" t="s">
        <v>8299</v>
      </c>
      <c r="U1286" s="53" t="s">
        <v>8300</v>
      </c>
    </row>
    <row r="1287">
      <c r="A1287" s="54" t="s">
        <v>8301</v>
      </c>
      <c r="B1287" s="50" t="s">
        <v>8302</v>
      </c>
      <c r="C1287" s="51" t="s">
        <v>8303</v>
      </c>
      <c r="D1287" s="51"/>
      <c r="E1287" s="51"/>
      <c r="F1287" s="51"/>
      <c r="G1287" s="50" t="s">
        <v>8304</v>
      </c>
      <c r="H1287" s="52">
        <v>44683.348125000004</v>
      </c>
      <c r="I1287" s="50"/>
      <c r="J1287" s="50"/>
      <c r="K1287" s="50"/>
      <c r="L1287" s="50"/>
      <c r="M1287" s="50" t="s">
        <v>8305</v>
      </c>
      <c r="N1287" s="50"/>
      <c r="O1287" s="53" t="s">
        <v>60</v>
      </c>
      <c r="P1287" s="55" t="s">
        <v>8306</v>
      </c>
      <c r="Q1287" s="50">
        <v>81.0</v>
      </c>
      <c r="R1287" s="50">
        <v>434.0</v>
      </c>
      <c r="S1287" s="50" t="s">
        <v>3792</v>
      </c>
      <c r="T1287" s="56" t="s">
        <v>8307</v>
      </c>
      <c r="U1287" s="53" t="s">
        <v>8308</v>
      </c>
    </row>
    <row r="1288">
      <c r="A1288" s="54" t="s">
        <v>8309</v>
      </c>
      <c r="B1288" s="50" t="s">
        <v>8310</v>
      </c>
      <c r="C1288" s="51" t="s">
        <v>367</v>
      </c>
      <c r="D1288" s="51"/>
      <c r="E1288" s="51"/>
      <c r="F1288" s="51"/>
      <c r="G1288" s="50" t="s">
        <v>8311</v>
      </c>
      <c r="H1288" s="52">
        <v>44683.34804398148</v>
      </c>
      <c r="I1288" s="50"/>
      <c r="J1288" s="50"/>
      <c r="K1288" s="50"/>
      <c r="L1288" s="50"/>
      <c r="M1288" s="50" t="s">
        <v>8312</v>
      </c>
      <c r="N1288" s="50"/>
      <c r="O1288" s="53" t="s">
        <v>70</v>
      </c>
      <c r="P1288" s="55" t="s">
        <v>354</v>
      </c>
      <c r="Q1288" s="50">
        <v>34.0</v>
      </c>
      <c r="R1288" s="50">
        <v>47.0</v>
      </c>
      <c r="S1288" s="50" t="s">
        <v>8313</v>
      </c>
      <c r="T1288" s="56" t="s">
        <v>8314</v>
      </c>
      <c r="U1288" s="53" t="s">
        <v>370</v>
      </c>
    </row>
    <row r="1289">
      <c r="A1289" s="54" t="s">
        <v>8315</v>
      </c>
      <c r="B1289" s="50" t="s">
        <v>8316</v>
      </c>
      <c r="C1289" s="51" t="s">
        <v>5381</v>
      </c>
      <c r="D1289" s="51"/>
      <c r="E1289" s="51"/>
      <c r="F1289" s="51"/>
      <c r="G1289" s="50" t="s">
        <v>8317</v>
      </c>
      <c r="H1289" s="52">
        <v>44683.34799768518</v>
      </c>
      <c r="I1289" s="50"/>
      <c r="J1289" s="50"/>
      <c r="K1289" s="50"/>
      <c r="L1289" s="50"/>
      <c r="M1289" s="50" t="s">
        <v>8318</v>
      </c>
      <c r="N1289" s="50"/>
      <c r="O1289" s="53" t="s">
        <v>60</v>
      </c>
      <c r="P1289" s="55" t="s">
        <v>8319</v>
      </c>
      <c r="Q1289" s="50">
        <v>74229.0</v>
      </c>
      <c r="R1289" s="50">
        <v>1133.0</v>
      </c>
      <c r="S1289" s="50" t="s">
        <v>129</v>
      </c>
      <c r="T1289" s="56" t="s">
        <v>8320</v>
      </c>
      <c r="U1289" s="53" t="s">
        <v>5386</v>
      </c>
    </row>
    <row r="1290">
      <c r="A1290" s="54" t="s">
        <v>8321</v>
      </c>
      <c r="B1290" s="50" t="s">
        <v>8322</v>
      </c>
      <c r="C1290" s="51" t="s">
        <v>367</v>
      </c>
      <c r="D1290" s="51"/>
      <c r="E1290" s="51"/>
      <c r="F1290" s="51"/>
      <c r="G1290" s="50" t="s">
        <v>8323</v>
      </c>
      <c r="H1290" s="52">
        <v>44683.34796296296</v>
      </c>
      <c r="I1290" s="50"/>
      <c r="J1290" s="50"/>
      <c r="K1290" s="50"/>
      <c r="L1290" s="50"/>
      <c r="M1290" s="50" t="s">
        <v>8324</v>
      </c>
      <c r="N1290" s="50"/>
      <c r="O1290" s="53" t="s">
        <v>70</v>
      </c>
      <c r="P1290" s="55" t="s">
        <v>8325</v>
      </c>
      <c r="Q1290" s="50">
        <v>458.0</v>
      </c>
      <c r="R1290" s="50">
        <v>763.0</v>
      </c>
      <c r="S1290" s="50" t="s">
        <v>8326</v>
      </c>
      <c r="T1290" s="56" t="s">
        <v>8327</v>
      </c>
      <c r="U1290" s="53" t="s">
        <v>370</v>
      </c>
    </row>
    <row r="1291">
      <c r="A1291" s="54" t="s">
        <v>8328</v>
      </c>
      <c r="B1291" s="50" t="s">
        <v>8329</v>
      </c>
      <c r="C1291" s="51" t="s">
        <v>367</v>
      </c>
      <c r="D1291" s="51"/>
      <c r="E1291" s="51"/>
      <c r="F1291" s="51"/>
      <c r="G1291" s="50" t="s">
        <v>8330</v>
      </c>
      <c r="H1291" s="52">
        <v>44683.34792824074</v>
      </c>
      <c r="I1291" s="50"/>
      <c r="J1291" s="50"/>
      <c r="K1291" s="50"/>
      <c r="L1291" s="50"/>
      <c r="M1291" s="50" t="s">
        <v>8331</v>
      </c>
      <c r="N1291" s="50"/>
      <c r="O1291" s="53" t="s">
        <v>217</v>
      </c>
      <c r="P1291" s="55" t="s">
        <v>8332</v>
      </c>
      <c r="Q1291" s="50">
        <v>92.0</v>
      </c>
      <c r="R1291" s="50">
        <v>152.0</v>
      </c>
      <c r="S1291" s="50" t="s">
        <v>1311</v>
      </c>
      <c r="T1291" s="56" t="s">
        <v>8333</v>
      </c>
      <c r="U1291" s="53" t="s">
        <v>370</v>
      </c>
    </row>
    <row r="1292">
      <c r="A1292" s="54" t="s">
        <v>8334</v>
      </c>
      <c r="B1292" s="50" t="s">
        <v>8335</v>
      </c>
      <c r="C1292" s="51" t="s">
        <v>367</v>
      </c>
      <c r="D1292" s="51"/>
      <c r="E1292" s="51"/>
      <c r="F1292" s="51"/>
      <c r="G1292" s="50" t="s">
        <v>8336</v>
      </c>
      <c r="H1292" s="52">
        <v>44683.347916666666</v>
      </c>
      <c r="I1292" s="50"/>
      <c r="J1292" s="50"/>
      <c r="K1292" s="50"/>
      <c r="L1292" s="50"/>
      <c r="M1292" s="50" t="s">
        <v>8337</v>
      </c>
      <c r="N1292" s="50"/>
      <c r="O1292" s="53" t="s">
        <v>217</v>
      </c>
      <c r="P1292" s="55" t="s">
        <v>8338</v>
      </c>
      <c r="Q1292" s="50">
        <v>60.0</v>
      </c>
      <c r="R1292" s="50">
        <v>237.0</v>
      </c>
      <c r="S1292" s="50" t="s">
        <v>658</v>
      </c>
      <c r="T1292" s="56" t="s">
        <v>8339</v>
      </c>
      <c r="U1292" s="53" t="s">
        <v>370</v>
      </c>
    </row>
    <row r="1293">
      <c r="A1293" s="54" t="s">
        <v>8340</v>
      </c>
      <c r="B1293" s="50" t="s">
        <v>8341</v>
      </c>
      <c r="C1293" s="51" t="s">
        <v>1402</v>
      </c>
      <c r="D1293" s="51"/>
      <c r="E1293" s="51"/>
      <c r="F1293" s="51"/>
      <c r="G1293" s="50" t="s">
        <v>8342</v>
      </c>
      <c r="H1293" s="52">
        <v>44683.34780092593</v>
      </c>
      <c r="I1293" s="50"/>
      <c r="J1293" s="50"/>
      <c r="K1293" s="50"/>
      <c r="L1293" s="50"/>
      <c r="M1293" s="50" t="s">
        <v>8343</v>
      </c>
      <c r="N1293" s="50"/>
      <c r="O1293" s="53" t="s">
        <v>70</v>
      </c>
      <c r="P1293" s="55" t="s">
        <v>354</v>
      </c>
      <c r="Q1293" s="50">
        <v>1063.0</v>
      </c>
      <c r="R1293" s="50">
        <v>1687.0</v>
      </c>
      <c r="S1293" s="50" t="s">
        <v>2242</v>
      </c>
      <c r="T1293" s="56" t="s">
        <v>8344</v>
      </c>
      <c r="U1293" s="53" t="s">
        <v>1408</v>
      </c>
    </row>
    <row r="1294">
      <c r="A1294" s="54" t="s">
        <v>8345</v>
      </c>
      <c r="B1294" s="50" t="s">
        <v>8346</v>
      </c>
      <c r="C1294" s="51" t="s">
        <v>316</v>
      </c>
      <c r="D1294" s="51"/>
      <c r="E1294" s="51"/>
      <c r="F1294" s="51"/>
      <c r="G1294" s="50" t="s">
        <v>8347</v>
      </c>
      <c r="H1294" s="52">
        <v>44683.347662037035</v>
      </c>
      <c r="I1294" s="50"/>
      <c r="J1294" s="50"/>
      <c r="K1294" s="50"/>
      <c r="L1294" s="50"/>
      <c r="M1294" s="50" t="s">
        <v>8348</v>
      </c>
      <c r="N1294" s="50"/>
      <c r="O1294" s="53" t="s">
        <v>70</v>
      </c>
      <c r="P1294" s="55" t="s">
        <v>8349</v>
      </c>
      <c r="Q1294" s="50">
        <v>4.0</v>
      </c>
      <c r="R1294" s="50">
        <v>41.0</v>
      </c>
      <c r="S1294" s="50"/>
      <c r="T1294" s="56" t="s">
        <v>8350</v>
      </c>
      <c r="U1294" s="53" t="s">
        <v>322</v>
      </c>
    </row>
    <row r="1295">
      <c r="A1295" s="54" t="s">
        <v>8351</v>
      </c>
      <c r="B1295" s="50" t="s">
        <v>8352</v>
      </c>
      <c r="C1295" s="51" t="s">
        <v>367</v>
      </c>
      <c r="D1295" s="51"/>
      <c r="E1295" s="51"/>
      <c r="F1295" s="51"/>
      <c r="G1295" s="50" t="s">
        <v>8353</v>
      </c>
      <c r="H1295" s="52">
        <v>44683.34753472223</v>
      </c>
      <c r="I1295" s="50"/>
      <c r="J1295" s="50"/>
      <c r="K1295" s="50"/>
      <c r="L1295" s="50"/>
      <c r="M1295" s="50" t="s">
        <v>8354</v>
      </c>
      <c r="N1295" s="50"/>
      <c r="O1295" s="53" t="s">
        <v>70</v>
      </c>
      <c r="P1295" s="55" t="s">
        <v>8355</v>
      </c>
      <c r="Q1295" s="50">
        <v>201.0</v>
      </c>
      <c r="R1295" s="50">
        <v>218.0</v>
      </c>
      <c r="S1295" s="50"/>
      <c r="T1295" s="56" t="s">
        <v>8356</v>
      </c>
      <c r="U1295" s="53" t="s">
        <v>370</v>
      </c>
    </row>
    <row r="1296">
      <c r="A1296" s="54" t="s">
        <v>8357</v>
      </c>
      <c r="B1296" s="50" t="s">
        <v>8358</v>
      </c>
      <c r="C1296" s="51" t="s">
        <v>363</v>
      </c>
      <c r="D1296" s="51"/>
      <c r="E1296" s="51"/>
      <c r="F1296" s="51"/>
      <c r="G1296" s="50" t="s">
        <v>8359</v>
      </c>
      <c r="H1296" s="52">
        <v>44683.34744212963</v>
      </c>
      <c r="I1296" s="50"/>
      <c r="J1296" s="50"/>
      <c r="K1296" s="50"/>
      <c r="L1296" s="50"/>
      <c r="M1296" s="50" t="s">
        <v>8360</v>
      </c>
      <c r="N1296" s="50"/>
      <c r="O1296" s="53" t="s">
        <v>70</v>
      </c>
      <c r="P1296" s="55" t="s">
        <v>8361</v>
      </c>
      <c r="Q1296" s="50">
        <v>13.0</v>
      </c>
      <c r="R1296" s="50">
        <v>72.0</v>
      </c>
      <c r="S1296" s="50"/>
      <c r="T1296" s="56" t="s">
        <v>8362</v>
      </c>
      <c r="U1296" s="53" t="s">
        <v>332</v>
      </c>
    </row>
    <row r="1297">
      <c r="A1297" s="54" t="s">
        <v>8363</v>
      </c>
      <c r="B1297" s="50" t="s">
        <v>8364</v>
      </c>
      <c r="C1297" s="51" t="s">
        <v>1402</v>
      </c>
      <c r="D1297" s="51"/>
      <c r="E1297" s="51"/>
      <c r="F1297" s="51"/>
      <c r="G1297" s="50" t="s">
        <v>8365</v>
      </c>
      <c r="H1297" s="52">
        <v>44683.34741898148</v>
      </c>
      <c r="I1297" s="50"/>
      <c r="J1297" s="50"/>
      <c r="K1297" s="50"/>
      <c r="L1297" s="50"/>
      <c r="M1297" s="50" t="s">
        <v>8366</v>
      </c>
      <c r="N1297" s="50"/>
      <c r="O1297" s="53" t="s">
        <v>217</v>
      </c>
      <c r="P1297" s="55" t="s">
        <v>8367</v>
      </c>
      <c r="Q1297" s="50">
        <v>175.0</v>
      </c>
      <c r="R1297" s="50">
        <v>284.0</v>
      </c>
      <c r="S1297" s="50"/>
      <c r="T1297" s="56" t="s">
        <v>8368</v>
      </c>
      <c r="U1297" s="53" t="s">
        <v>1408</v>
      </c>
    </row>
    <row r="1298">
      <c r="A1298" s="54" t="s">
        <v>8369</v>
      </c>
      <c r="B1298" s="50" t="s">
        <v>8370</v>
      </c>
      <c r="C1298" s="51" t="s">
        <v>367</v>
      </c>
      <c r="D1298" s="51"/>
      <c r="E1298" s="51"/>
      <c r="F1298" s="51"/>
      <c r="G1298" s="50" t="s">
        <v>8371</v>
      </c>
      <c r="H1298" s="52">
        <v>44683.34724537037</v>
      </c>
      <c r="I1298" s="50"/>
      <c r="J1298" s="50"/>
      <c r="K1298" s="50"/>
      <c r="L1298" s="50"/>
      <c r="M1298" s="50" t="s">
        <v>8372</v>
      </c>
      <c r="N1298" s="50"/>
      <c r="O1298" s="53" t="s">
        <v>70</v>
      </c>
      <c r="P1298" s="55" t="s">
        <v>8373</v>
      </c>
      <c r="Q1298" s="50">
        <v>470.0</v>
      </c>
      <c r="R1298" s="50">
        <v>835.0</v>
      </c>
      <c r="S1298" s="50" t="s">
        <v>887</v>
      </c>
      <c r="T1298" s="56" t="s">
        <v>8374</v>
      </c>
      <c r="U1298" s="53" t="s">
        <v>370</v>
      </c>
    </row>
    <row r="1299">
      <c r="A1299" s="54" t="s">
        <v>8375</v>
      </c>
      <c r="B1299" s="50" t="s">
        <v>8376</v>
      </c>
      <c r="C1299" s="51" t="s">
        <v>367</v>
      </c>
      <c r="D1299" s="51"/>
      <c r="E1299" s="51"/>
      <c r="F1299" s="51"/>
      <c r="G1299" s="50" t="s">
        <v>8377</v>
      </c>
      <c r="H1299" s="52">
        <v>44683.347233796296</v>
      </c>
      <c r="I1299" s="50"/>
      <c r="J1299" s="50"/>
      <c r="K1299" s="50"/>
      <c r="L1299" s="50"/>
      <c r="M1299" s="50" t="s">
        <v>8378</v>
      </c>
      <c r="N1299" s="50"/>
      <c r="O1299" s="53" t="s">
        <v>70</v>
      </c>
      <c r="P1299" s="55" t="s">
        <v>8379</v>
      </c>
      <c r="Q1299" s="50">
        <v>6289.0</v>
      </c>
      <c r="R1299" s="50">
        <v>6320.0</v>
      </c>
      <c r="S1299" s="50" t="s">
        <v>8380</v>
      </c>
      <c r="T1299" s="56" t="s">
        <v>8381</v>
      </c>
      <c r="U1299" s="53" t="s">
        <v>370</v>
      </c>
    </row>
    <row r="1300">
      <c r="A1300" s="54" t="s">
        <v>8382</v>
      </c>
      <c r="B1300" s="50" t="s">
        <v>8383</v>
      </c>
      <c r="C1300" s="51" t="s">
        <v>8384</v>
      </c>
      <c r="D1300" s="51"/>
      <c r="E1300" s="51"/>
      <c r="F1300" s="51"/>
      <c r="G1300" s="50" t="s">
        <v>8377</v>
      </c>
      <c r="H1300" s="52">
        <v>44683.347233796296</v>
      </c>
      <c r="I1300" s="50"/>
      <c r="J1300" s="50"/>
      <c r="K1300" s="50"/>
      <c r="L1300" s="50"/>
      <c r="M1300" s="50" t="s">
        <v>8385</v>
      </c>
      <c r="N1300" s="50"/>
      <c r="O1300" s="53" t="s">
        <v>92</v>
      </c>
      <c r="P1300" s="55" t="s">
        <v>8386</v>
      </c>
      <c r="Q1300" s="50">
        <v>1016.0</v>
      </c>
      <c r="R1300" s="50">
        <v>1359.0</v>
      </c>
      <c r="S1300" s="50" t="s">
        <v>8387</v>
      </c>
      <c r="T1300" s="56" t="s">
        <v>8388</v>
      </c>
      <c r="U1300" s="53" t="s">
        <v>8389</v>
      </c>
    </row>
    <row r="1301">
      <c r="A1301" s="54" t="s">
        <v>8390</v>
      </c>
      <c r="B1301" s="50" t="s">
        <v>7580</v>
      </c>
      <c r="C1301" s="51" t="s">
        <v>8391</v>
      </c>
      <c r="D1301" s="51"/>
      <c r="E1301" s="51"/>
      <c r="F1301" s="51"/>
      <c r="G1301" s="50" t="s">
        <v>8392</v>
      </c>
      <c r="H1301" s="52">
        <v>44683.34717592593</v>
      </c>
      <c r="I1301" s="50"/>
      <c r="J1301" s="50"/>
      <c r="K1301" s="50"/>
      <c r="L1301" s="50"/>
      <c r="M1301" s="50" t="s">
        <v>7583</v>
      </c>
      <c r="N1301" s="50"/>
      <c r="O1301" s="53" t="s">
        <v>70</v>
      </c>
      <c r="P1301" s="55" t="s">
        <v>7584</v>
      </c>
      <c r="Q1301" s="50">
        <v>470.0</v>
      </c>
      <c r="R1301" s="50">
        <v>577.0</v>
      </c>
      <c r="S1301" s="50"/>
      <c r="T1301" s="56" t="s">
        <v>8393</v>
      </c>
      <c r="U1301" s="53" t="s">
        <v>8394</v>
      </c>
    </row>
    <row r="1302">
      <c r="A1302" s="54" t="s">
        <v>8395</v>
      </c>
      <c r="B1302" s="50" t="s">
        <v>8396</v>
      </c>
      <c r="C1302" s="51" t="s">
        <v>363</v>
      </c>
      <c r="D1302" s="51"/>
      <c r="E1302" s="51"/>
      <c r="F1302" s="51"/>
      <c r="G1302" s="50" t="s">
        <v>8392</v>
      </c>
      <c r="H1302" s="52">
        <v>44683.34717592593</v>
      </c>
      <c r="I1302" s="50"/>
      <c r="J1302" s="50"/>
      <c r="K1302" s="50"/>
      <c r="L1302" s="50"/>
      <c r="M1302" s="50" t="s">
        <v>8397</v>
      </c>
      <c r="N1302" s="50"/>
      <c r="O1302" s="53" t="s">
        <v>92</v>
      </c>
      <c r="P1302" s="55" t="s">
        <v>8398</v>
      </c>
      <c r="Q1302" s="50">
        <v>244.0</v>
      </c>
      <c r="R1302" s="50">
        <v>340.0</v>
      </c>
      <c r="S1302" s="50" t="s">
        <v>3792</v>
      </c>
      <c r="T1302" s="56" t="s">
        <v>8399</v>
      </c>
      <c r="U1302" s="53" t="s">
        <v>332</v>
      </c>
    </row>
    <row r="1303">
      <c r="A1303" s="54" t="s">
        <v>8400</v>
      </c>
      <c r="B1303" s="50" t="s">
        <v>8401</v>
      </c>
      <c r="C1303" s="51" t="s">
        <v>367</v>
      </c>
      <c r="D1303" s="51"/>
      <c r="E1303" s="51"/>
      <c r="F1303" s="51"/>
      <c r="G1303" s="50" t="s">
        <v>8402</v>
      </c>
      <c r="H1303" s="52">
        <v>44683.34715277777</v>
      </c>
      <c r="I1303" s="50"/>
      <c r="J1303" s="50"/>
      <c r="K1303" s="50"/>
      <c r="L1303" s="50"/>
      <c r="M1303" s="50" t="s">
        <v>8403</v>
      </c>
      <c r="N1303" s="50"/>
      <c r="O1303" s="53" t="s">
        <v>70</v>
      </c>
      <c r="P1303" s="55" t="s">
        <v>8404</v>
      </c>
      <c r="Q1303" s="50">
        <v>131.0</v>
      </c>
      <c r="R1303" s="50">
        <v>334.0</v>
      </c>
      <c r="S1303" s="50" t="s">
        <v>1153</v>
      </c>
      <c r="T1303" s="56" t="s">
        <v>8405</v>
      </c>
      <c r="U1303" s="53" t="s">
        <v>370</v>
      </c>
    </row>
    <row r="1304">
      <c r="A1304" s="54" t="s">
        <v>8406</v>
      </c>
      <c r="B1304" s="50" t="s">
        <v>8346</v>
      </c>
      <c r="C1304" s="51" t="s">
        <v>363</v>
      </c>
      <c r="D1304" s="51"/>
      <c r="E1304" s="51"/>
      <c r="F1304" s="51"/>
      <c r="G1304" s="50" t="s">
        <v>8407</v>
      </c>
      <c r="H1304" s="52">
        <v>44683.34711805556</v>
      </c>
      <c r="I1304" s="50"/>
      <c r="J1304" s="50"/>
      <c r="K1304" s="50"/>
      <c r="L1304" s="50"/>
      <c r="M1304" s="50" t="s">
        <v>8348</v>
      </c>
      <c r="N1304" s="50"/>
      <c r="O1304" s="53" t="s">
        <v>70</v>
      </c>
      <c r="P1304" s="55" t="s">
        <v>8349</v>
      </c>
      <c r="Q1304" s="50">
        <v>4.0</v>
      </c>
      <c r="R1304" s="50">
        <v>41.0</v>
      </c>
      <c r="S1304" s="50"/>
      <c r="T1304" s="56" t="s">
        <v>8408</v>
      </c>
      <c r="U1304" s="53" t="s">
        <v>332</v>
      </c>
    </row>
    <row r="1305">
      <c r="A1305" s="54" t="s">
        <v>8409</v>
      </c>
      <c r="B1305" s="50" t="s">
        <v>8346</v>
      </c>
      <c r="C1305" s="51" t="s">
        <v>367</v>
      </c>
      <c r="D1305" s="51"/>
      <c r="E1305" s="51"/>
      <c r="F1305" s="51"/>
      <c r="G1305" s="50" t="s">
        <v>8410</v>
      </c>
      <c r="H1305" s="52">
        <v>44683.34709490741</v>
      </c>
      <c r="I1305" s="50"/>
      <c r="J1305" s="50"/>
      <c r="K1305" s="50"/>
      <c r="L1305" s="50"/>
      <c r="M1305" s="50" t="s">
        <v>8348</v>
      </c>
      <c r="N1305" s="50"/>
      <c r="O1305" s="53" t="s">
        <v>70</v>
      </c>
      <c r="P1305" s="55" t="s">
        <v>8349</v>
      </c>
      <c r="Q1305" s="50">
        <v>4.0</v>
      </c>
      <c r="R1305" s="50">
        <v>41.0</v>
      </c>
      <c r="S1305" s="50"/>
      <c r="T1305" s="56" t="s">
        <v>8411</v>
      </c>
      <c r="U1305" s="53" t="s">
        <v>370</v>
      </c>
    </row>
    <row r="1306">
      <c r="A1306" s="54" t="s">
        <v>8412</v>
      </c>
      <c r="B1306" s="50" t="s">
        <v>8413</v>
      </c>
      <c r="C1306" s="51" t="s">
        <v>687</v>
      </c>
      <c r="D1306" s="51"/>
      <c r="E1306" s="51"/>
      <c r="F1306" s="51"/>
      <c r="G1306" s="50" t="s">
        <v>8414</v>
      </c>
      <c r="H1306" s="52">
        <v>44683.34706018519</v>
      </c>
      <c r="I1306" s="50"/>
      <c r="J1306" s="50"/>
      <c r="K1306" s="50"/>
      <c r="L1306" s="50"/>
      <c r="M1306" s="50" t="s">
        <v>8415</v>
      </c>
      <c r="N1306" s="50"/>
      <c r="O1306" s="53" t="s">
        <v>60</v>
      </c>
      <c r="P1306" s="55" t="s">
        <v>354</v>
      </c>
      <c r="Q1306" s="50">
        <v>340.0</v>
      </c>
      <c r="R1306" s="50">
        <v>459.0</v>
      </c>
      <c r="S1306" s="50"/>
      <c r="T1306" s="56" t="s">
        <v>8416</v>
      </c>
      <c r="U1306" s="53" t="s">
        <v>691</v>
      </c>
    </row>
    <row r="1307">
      <c r="A1307" s="54" t="s">
        <v>8417</v>
      </c>
      <c r="B1307" s="50" t="s">
        <v>8418</v>
      </c>
      <c r="C1307" s="51" t="s">
        <v>316</v>
      </c>
      <c r="D1307" s="51"/>
      <c r="E1307" s="51"/>
      <c r="F1307" s="51"/>
      <c r="G1307" s="50" t="s">
        <v>8419</v>
      </c>
      <c r="H1307" s="52">
        <v>44683.34704861111</v>
      </c>
      <c r="I1307" s="50"/>
      <c r="J1307" s="50"/>
      <c r="K1307" s="50"/>
      <c r="L1307" s="50"/>
      <c r="M1307" s="50" t="s">
        <v>8420</v>
      </c>
      <c r="N1307" s="50"/>
      <c r="O1307" s="53" t="s">
        <v>217</v>
      </c>
      <c r="P1307" s="55" t="s">
        <v>8421</v>
      </c>
      <c r="Q1307" s="50">
        <v>342.0</v>
      </c>
      <c r="R1307" s="50">
        <v>732.0</v>
      </c>
      <c r="S1307" s="50" t="s">
        <v>8422</v>
      </c>
      <c r="T1307" s="56" t="s">
        <v>8423</v>
      </c>
      <c r="U1307" s="53" t="s">
        <v>322</v>
      </c>
    </row>
    <row r="1308">
      <c r="A1308" s="54" t="s">
        <v>8424</v>
      </c>
      <c r="B1308" s="50" t="s">
        <v>8425</v>
      </c>
      <c r="C1308" s="51" t="s">
        <v>2869</v>
      </c>
      <c r="D1308" s="51"/>
      <c r="E1308" s="51"/>
      <c r="F1308" s="51"/>
      <c r="G1308" s="50" t="s">
        <v>8426</v>
      </c>
      <c r="H1308" s="52">
        <v>44683.347025462965</v>
      </c>
      <c r="I1308" s="50"/>
      <c r="J1308" s="50"/>
      <c r="K1308" s="50"/>
      <c r="L1308" s="50"/>
      <c r="M1308" s="50" t="s">
        <v>8427</v>
      </c>
      <c r="N1308" s="50"/>
      <c r="O1308" s="53" t="s">
        <v>60</v>
      </c>
      <c r="P1308" s="55" t="s">
        <v>8428</v>
      </c>
      <c r="Q1308" s="50">
        <v>957.0</v>
      </c>
      <c r="R1308" s="50">
        <v>1407.0</v>
      </c>
      <c r="S1308" s="50"/>
      <c r="T1308" s="56" t="s">
        <v>8429</v>
      </c>
      <c r="U1308" s="53" t="s">
        <v>2874</v>
      </c>
    </row>
    <row r="1309">
      <c r="A1309" s="54" t="s">
        <v>8430</v>
      </c>
      <c r="B1309" s="50" t="s">
        <v>7285</v>
      </c>
      <c r="C1309" s="51" t="s">
        <v>1402</v>
      </c>
      <c r="D1309" s="51"/>
      <c r="E1309" s="51"/>
      <c r="F1309" s="51"/>
      <c r="G1309" s="50" t="s">
        <v>8431</v>
      </c>
      <c r="H1309" s="52">
        <v>44683.34688657407</v>
      </c>
      <c r="I1309" s="50"/>
      <c r="J1309" s="50"/>
      <c r="K1309" s="50"/>
      <c r="L1309" s="50"/>
      <c r="M1309" s="50" t="s">
        <v>7286</v>
      </c>
      <c r="N1309" s="50"/>
      <c r="O1309" s="53" t="s">
        <v>70</v>
      </c>
      <c r="P1309" s="55" t="s">
        <v>7287</v>
      </c>
      <c r="Q1309" s="50">
        <v>23317.0</v>
      </c>
      <c r="R1309" s="50">
        <v>15703.0</v>
      </c>
      <c r="S1309" s="50" t="s">
        <v>7288</v>
      </c>
      <c r="T1309" s="56" t="s">
        <v>8432</v>
      </c>
      <c r="U1309" s="53" t="s">
        <v>1408</v>
      </c>
    </row>
    <row r="1310">
      <c r="A1310" s="54" t="s">
        <v>8433</v>
      </c>
      <c r="B1310" s="50" t="s">
        <v>8434</v>
      </c>
      <c r="C1310" s="51" t="s">
        <v>367</v>
      </c>
      <c r="D1310" s="51"/>
      <c r="E1310" s="51"/>
      <c r="F1310" s="51"/>
      <c r="G1310" s="50" t="s">
        <v>8435</v>
      </c>
      <c r="H1310" s="52">
        <v>44683.346875</v>
      </c>
      <c r="I1310" s="50"/>
      <c r="J1310" s="50"/>
      <c r="K1310" s="50"/>
      <c r="L1310" s="50"/>
      <c r="M1310" s="50" t="s">
        <v>8436</v>
      </c>
      <c r="N1310" s="50"/>
      <c r="O1310" s="53" t="s">
        <v>70</v>
      </c>
      <c r="P1310" s="55" t="s">
        <v>8437</v>
      </c>
      <c r="Q1310" s="50">
        <v>32.0</v>
      </c>
      <c r="R1310" s="50">
        <v>165.0</v>
      </c>
      <c r="S1310" s="50" t="s">
        <v>887</v>
      </c>
      <c r="T1310" s="56" t="s">
        <v>8438</v>
      </c>
      <c r="U1310" s="53" t="s">
        <v>370</v>
      </c>
    </row>
    <row r="1311">
      <c r="A1311" s="54" t="s">
        <v>8439</v>
      </c>
      <c r="B1311" s="50" t="s">
        <v>8440</v>
      </c>
      <c r="C1311" s="51" t="s">
        <v>367</v>
      </c>
      <c r="D1311" s="51"/>
      <c r="E1311" s="51"/>
      <c r="F1311" s="51"/>
      <c r="G1311" s="50" t="s">
        <v>8441</v>
      </c>
      <c r="H1311" s="52">
        <v>44683.346863425926</v>
      </c>
      <c r="I1311" s="50"/>
      <c r="J1311" s="50"/>
      <c r="K1311" s="50"/>
      <c r="L1311" s="50"/>
      <c r="M1311" s="50" t="s">
        <v>8442</v>
      </c>
      <c r="N1311" s="50"/>
      <c r="O1311" s="53" t="s">
        <v>70</v>
      </c>
      <c r="P1311" s="55" t="s">
        <v>8443</v>
      </c>
      <c r="Q1311" s="50">
        <v>230.0</v>
      </c>
      <c r="R1311" s="50">
        <v>321.0</v>
      </c>
      <c r="S1311" s="50" t="s">
        <v>8444</v>
      </c>
      <c r="T1311" s="56" t="s">
        <v>8445</v>
      </c>
      <c r="U1311" s="53" t="s">
        <v>370</v>
      </c>
    </row>
    <row r="1312">
      <c r="A1312" s="54" t="s">
        <v>8446</v>
      </c>
      <c r="B1312" s="50" t="s">
        <v>8447</v>
      </c>
      <c r="C1312" s="51" t="s">
        <v>8448</v>
      </c>
      <c r="D1312" s="51"/>
      <c r="E1312" s="51"/>
      <c r="F1312" s="51"/>
      <c r="G1312" s="50" t="s">
        <v>8449</v>
      </c>
      <c r="H1312" s="52">
        <v>44683.34684027778</v>
      </c>
      <c r="I1312" s="50"/>
      <c r="J1312" s="50"/>
      <c r="K1312" s="50"/>
      <c r="L1312" s="50"/>
      <c r="M1312" s="50" t="s">
        <v>8450</v>
      </c>
      <c r="N1312" s="50"/>
      <c r="O1312" s="53" t="s">
        <v>92</v>
      </c>
      <c r="P1312" s="55" t="s">
        <v>8451</v>
      </c>
      <c r="Q1312" s="50">
        <v>1348.0</v>
      </c>
      <c r="R1312" s="50">
        <v>1322.0</v>
      </c>
      <c r="S1312" s="50" t="s">
        <v>8452</v>
      </c>
      <c r="T1312" s="56" t="s">
        <v>8453</v>
      </c>
      <c r="U1312" s="53" t="s">
        <v>8454</v>
      </c>
    </row>
    <row r="1313">
      <c r="A1313" s="54" t="s">
        <v>8455</v>
      </c>
      <c r="B1313" s="50" t="s">
        <v>8456</v>
      </c>
      <c r="C1313" s="51" t="s">
        <v>1307</v>
      </c>
      <c r="D1313" s="51"/>
      <c r="E1313" s="51"/>
      <c r="F1313" s="51"/>
      <c r="G1313" s="50" t="s">
        <v>8457</v>
      </c>
      <c r="H1313" s="52">
        <v>44683.34658564815</v>
      </c>
      <c r="I1313" s="50"/>
      <c r="J1313" s="50"/>
      <c r="K1313" s="50"/>
      <c r="L1313" s="50"/>
      <c r="M1313" s="50" t="s">
        <v>8458</v>
      </c>
      <c r="N1313" s="50"/>
      <c r="O1313" s="53" t="s">
        <v>70</v>
      </c>
      <c r="P1313" s="55" t="s">
        <v>8459</v>
      </c>
      <c r="Q1313" s="50">
        <v>1944.0</v>
      </c>
      <c r="R1313" s="50">
        <v>4966.0</v>
      </c>
      <c r="S1313" s="50" t="s">
        <v>8460</v>
      </c>
      <c r="T1313" s="56" t="s">
        <v>8461</v>
      </c>
      <c r="U1313" s="53" t="s">
        <v>1313</v>
      </c>
    </row>
    <row r="1314">
      <c r="A1314" s="54" t="s">
        <v>8462</v>
      </c>
      <c r="B1314" s="50" t="s">
        <v>8463</v>
      </c>
      <c r="C1314" s="51" t="s">
        <v>1307</v>
      </c>
      <c r="D1314" s="51"/>
      <c r="E1314" s="51"/>
      <c r="F1314" s="51"/>
      <c r="G1314" s="50" t="s">
        <v>8464</v>
      </c>
      <c r="H1314" s="52">
        <v>44683.346192129626</v>
      </c>
      <c r="I1314" s="50"/>
      <c r="J1314" s="50"/>
      <c r="K1314" s="50"/>
      <c r="L1314" s="50"/>
      <c r="M1314" s="50" t="s">
        <v>8465</v>
      </c>
      <c r="N1314" s="50"/>
      <c r="O1314" s="53" t="s">
        <v>92</v>
      </c>
      <c r="P1314" s="55" t="s">
        <v>8466</v>
      </c>
      <c r="Q1314" s="50">
        <v>770.0</v>
      </c>
      <c r="R1314" s="50">
        <v>1379.0</v>
      </c>
      <c r="S1314" s="50"/>
      <c r="T1314" s="56" t="s">
        <v>8467</v>
      </c>
      <c r="U1314" s="53" t="s">
        <v>1313</v>
      </c>
    </row>
    <row r="1315">
      <c r="A1315" s="54" t="s">
        <v>8468</v>
      </c>
      <c r="B1315" s="50" t="s">
        <v>8469</v>
      </c>
      <c r="C1315" s="51" t="s">
        <v>367</v>
      </c>
      <c r="D1315" s="51"/>
      <c r="E1315" s="51"/>
      <c r="F1315" s="51"/>
      <c r="G1315" s="50" t="s">
        <v>8470</v>
      </c>
      <c r="H1315" s="52">
        <v>44683.346087962964</v>
      </c>
      <c r="I1315" s="50"/>
      <c r="J1315" s="50"/>
      <c r="K1315" s="50"/>
      <c r="L1315" s="50"/>
      <c r="M1315" s="50" t="s">
        <v>8471</v>
      </c>
      <c r="N1315" s="50"/>
      <c r="O1315" s="53" t="s">
        <v>70</v>
      </c>
      <c r="P1315" s="55" t="s">
        <v>8472</v>
      </c>
      <c r="Q1315" s="50">
        <v>1121.0</v>
      </c>
      <c r="R1315" s="50">
        <v>1509.0</v>
      </c>
      <c r="S1315" s="50" t="s">
        <v>1007</v>
      </c>
      <c r="T1315" s="56" t="s">
        <v>8473</v>
      </c>
      <c r="U1315" s="53" t="s">
        <v>370</v>
      </c>
    </row>
    <row r="1316">
      <c r="A1316" s="54" t="s">
        <v>8474</v>
      </c>
      <c r="B1316" s="50" t="s">
        <v>8475</v>
      </c>
      <c r="C1316" s="51" t="s">
        <v>316</v>
      </c>
      <c r="D1316" s="51"/>
      <c r="E1316" s="51"/>
      <c r="F1316" s="51"/>
      <c r="G1316" s="50" t="s">
        <v>8476</v>
      </c>
      <c r="H1316" s="52">
        <v>44683.34607638889</v>
      </c>
      <c r="I1316" s="50"/>
      <c r="J1316" s="50"/>
      <c r="K1316" s="50"/>
      <c r="L1316" s="50"/>
      <c r="M1316" s="50" t="s">
        <v>8477</v>
      </c>
      <c r="N1316" s="50"/>
      <c r="O1316" s="53" t="s">
        <v>70</v>
      </c>
      <c r="P1316" s="55" t="s">
        <v>8478</v>
      </c>
      <c r="Q1316" s="50">
        <v>49.0</v>
      </c>
      <c r="R1316" s="50">
        <v>130.0</v>
      </c>
      <c r="S1316" s="50"/>
      <c r="T1316" s="56" t="s">
        <v>8479</v>
      </c>
      <c r="U1316" s="53" t="s">
        <v>322</v>
      </c>
    </row>
    <row r="1317">
      <c r="A1317" s="54" t="s">
        <v>8480</v>
      </c>
      <c r="B1317" s="50" t="s">
        <v>8481</v>
      </c>
      <c r="C1317" s="51" t="s">
        <v>1307</v>
      </c>
      <c r="D1317" s="51"/>
      <c r="E1317" s="51"/>
      <c r="F1317" s="51"/>
      <c r="G1317" s="50" t="s">
        <v>8482</v>
      </c>
      <c r="H1317" s="52">
        <v>44683.34605324074</v>
      </c>
      <c r="I1317" s="50"/>
      <c r="J1317" s="50"/>
      <c r="K1317" s="50"/>
      <c r="L1317" s="50"/>
      <c r="M1317" s="50" t="s">
        <v>8483</v>
      </c>
      <c r="N1317" s="50"/>
      <c r="O1317" s="53" t="s">
        <v>92</v>
      </c>
      <c r="P1317" s="55" t="s">
        <v>8484</v>
      </c>
      <c r="Q1317" s="50">
        <v>4239.0</v>
      </c>
      <c r="R1317" s="50">
        <v>4398.0</v>
      </c>
      <c r="S1317" s="50"/>
      <c r="T1317" s="56" t="s">
        <v>8485</v>
      </c>
      <c r="U1317" s="53" t="s">
        <v>1313</v>
      </c>
    </row>
    <row r="1318">
      <c r="A1318" s="54" t="s">
        <v>8486</v>
      </c>
      <c r="B1318" s="50" t="s">
        <v>8487</v>
      </c>
      <c r="C1318" s="51" t="s">
        <v>8488</v>
      </c>
      <c r="D1318" s="51"/>
      <c r="E1318" s="51"/>
      <c r="F1318" s="51"/>
      <c r="G1318" s="50" t="s">
        <v>8489</v>
      </c>
      <c r="H1318" s="52">
        <v>44683.346041666664</v>
      </c>
      <c r="I1318" s="50"/>
      <c r="J1318" s="50"/>
      <c r="K1318" s="50"/>
      <c r="L1318" s="50"/>
      <c r="M1318" s="50" t="s">
        <v>8490</v>
      </c>
      <c r="N1318" s="50"/>
      <c r="O1318" s="53" t="s">
        <v>70</v>
      </c>
      <c r="P1318" s="55" t="s">
        <v>8491</v>
      </c>
      <c r="Q1318" s="50">
        <v>1435.0</v>
      </c>
      <c r="R1318" s="50">
        <v>1737.0</v>
      </c>
      <c r="S1318" s="50" t="s">
        <v>8492</v>
      </c>
      <c r="T1318" s="56" t="s">
        <v>8493</v>
      </c>
      <c r="U1318" s="53" t="s">
        <v>8494</v>
      </c>
    </row>
    <row r="1319">
      <c r="A1319" s="54" t="s">
        <v>8495</v>
      </c>
      <c r="B1319" s="50" t="s">
        <v>8481</v>
      </c>
      <c r="C1319" s="51" t="s">
        <v>3073</v>
      </c>
      <c r="D1319" s="51"/>
      <c r="E1319" s="51"/>
      <c r="F1319" s="51"/>
      <c r="G1319" s="50" t="s">
        <v>8496</v>
      </c>
      <c r="H1319" s="52">
        <v>44683.34594907408</v>
      </c>
      <c r="I1319" s="50"/>
      <c r="J1319" s="50"/>
      <c r="K1319" s="50"/>
      <c r="L1319" s="50"/>
      <c r="M1319" s="50" t="s">
        <v>8483</v>
      </c>
      <c r="N1319" s="50"/>
      <c r="O1319" s="53" t="s">
        <v>92</v>
      </c>
      <c r="P1319" s="55" t="s">
        <v>8484</v>
      </c>
      <c r="Q1319" s="50">
        <v>4239.0</v>
      </c>
      <c r="R1319" s="50">
        <v>4398.0</v>
      </c>
      <c r="S1319" s="50"/>
      <c r="T1319" s="56" t="s">
        <v>8497</v>
      </c>
      <c r="U1319" s="53" t="s">
        <v>3079</v>
      </c>
    </row>
    <row r="1320">
      <c r="A1320" s="54" t="s">
        <v>8498</v>
      </c>
      <c r="B1320" s="50" t="s">
        <v>8475</v>
      </c>
      <c r="C1320" s="51" t="s">
        <v>329</v>
      </c>
      <c r="D1320" s="51"/>
      <c r="E1320" s="51"/>
      <c r="F1320" s="51"/>
      <c r="G1320" s="50" t="s">
        <v>8499</v>
      </c>
      <c r="H1320" s="52">
        <v>44683.345937499995</v>
      </c>
      <c r="I1320" s="50"/>
      <c r="J1320" s="50"/>
      <c r="K1320" s="50"/>
      <c r="L1320" s="50"/>
      <c r="M1320" s="50" t="s">
        <v>8477</v>
      </c>
      <c r="N1320" s="50"/>
      <c r="O1320" s="53" t="s">
        <v>70</v>
      </c>
      <c r="P1320" s="55" t="s">
        <v>8478</v>
      </c>
      <c r="Q1320" s="50">
        <v>49.0</v>
      </c>
      <c r="R1320" s="50">
        <v>130.0</v>
      </c>
      <c r="S1320" s="50"/>
      <c r="T1320" s="56" t="s">
        <v>8500</v>
      </c>
      <c r="U1320" s="53" t="s">
        <v>332</v>
      </c>
    </row>
    <row r="1321">
      <c r="A1321" s="54" t="s">
        <v>8501</v>
      </c>
      <c r="B1321" s="50" t="s">
        <v>8502</v>
      </c>
      <c r="C1321" s="51" t="s">
        <v>367</v>
      </c>
      <c r="D1321" s="51"/>
      <c r="E1321" s="51"/>
      <c r="F1321" s="51"/>
      <c r="G1321" s="50" t="s">
        <v>8503</v>
      </c>
      <c r="H1321" s="52">
        <v>44683.34590277778</v>
      </c>
      <c r="I1321" s="50"/>
      <c r="J1321" s="50"/>
      <c r="K1321" s="50"/>
      <c r="L1321" s="50"/>
      <c r="M1321" s="50" t="s">
        <v>8504</v>
      </c>
      <c r="N1321" s="50"/>
      <c r="O1321" s="53" t="s">
        <v>70</v>
      </c>
      <c r="P1321" s="55" t="s">
        <v>8505</v>
      </c>
      <c r="Q1321" s="50">
        <v>3769.0</v>
      </c>
      <c r="R1321" s="50">
        <v>268.0</v>
      </c>
      <c r="S1321" s="50" t="s">
        <v>658</v>
      </c>
      <c r="T1321" s="56" t="s">
        <v>8506</v>
      </c>
      <c r="U1321" s="53" t="s">
        <v>370</v>
      </c>
    </row>
    <row r="1322">
      <c r="A1322" s="54" t="s">
        <v>8507</v>
      </c>
      <c r="B1322" s="50" t="s">
        <v>8508</v>
      </c>
      <c r="C1322" s="51" t="s">
        <v>316</v>
      </c>
      <c r="D1322" s="51"/>
      <c r="E1322" s="51"/>
      <c r="F1322" s="51"/>
      <c r="G1322" s="50" t="s">
        <v>8509</v>
      </c>
      <c r="H1322" s="52">
        <v>44683.3458912037</v>
      </c>
      <c r="I1322" s="50"/>
      <c r="J1322" s="50"/>
      <c r="K1322" s="50"/>
      <c r="L1322" s="50"/>
      <c r="M1322" s="50" t="s">
        <v>8510</v>
      </c>
      <c r="N1322" s="50"/>
      <c r="O1322" s="53" t="s">
        <v>70</v>
      </c>
      <c r="P1322" s="55" t="s">
        <v>8511</v>
      </c>
      <c r="Q1322" s="50">
        <v>1471.0</v>
      </c>
      <c r="R1322" s="50">
        <v>1406.0</v>
      </c>
      <c r="S1322" s="50" t="s">
        <v>8512</v>
      </c>
      <c r="T1322" s="56" t="s">
        <v>8513</v>
      </c>
      <c r="U1322" s="53" t="s">
        <v>322</v>
      </c>
    </row>
    <row r="1323">
      <c r="A1323" s="54" t="s">
        <v>8514</v>
      </c>
      <c r="B1323" s="50" t="s">
        <v>8515</v>
      </c>
      <c r="C1323" s="51" t="s">
        <v>367</v>
      </c>
      <c r="D1323" s="51"/>
      <c r="E1323" s="51"/>
      <c r="F1323" s="51"/>
      <c r="G1323" s="50" t="s">
        <v>8516</v>
      </c>
      <c r="H1323" s="52">
        <v>44683.345821759256</v>
      </c>
      <c r="I1323" s="50"/>
      <c r="J1323" s="50"/>
      <c r="K1323" s="50"/>
      <c r="L1323" s="50"/>
      <c r="M1323" s="50" t="s">
        <v>8517</v>
      </c>
      <c r="N1323" s="50"/>
      <c r="O1323" s="53" t="s">
        <v>60</v>
      </c>
      <c r="P1323" s="55" t="s">
        <v>354</v>
      </c>
      <c r="Q1323" s="50">
        <v>22.0</v>
      </c>
      <c r="R1323" s="50">
        <v>63.0</v>
      </c>
      <c r="S1323" s="50"/>
      <c r="T1323" s="56" t="s">
        <v>8518</v>
      </c>
      <c r="U1323" s="53" t="s">
        <v>370</v>
      </c>
    </row>
    <row r="1324">
      <c r="A1324" s="54" t="s">
        <v>8519</v>
      </c>
      <c r="B1324" s="50" t="s">
        <v>8520</v>
      </c>
      <c r="C1324" s="51" t="s">
        <v>1913</v>
      </c>
      <c r="D1324" s="51"/>
      <c r="E1324" s="51"/>
      <c r="F1324" s="51"/>
      <c r="G1324" s="50" t="s">
        <v>8521</v>
      </c>
      <c r="H1324" s="52">
        <v>44683.34568287037</v>
      </c>
      <c r="I1324" s="50"/>
      <c r="J1324" s="50"/>
      <c r="K1324" s="50"/>
      <c r="L1324" s="50"/>
      <c r="M1324" s="50" t="s">
        <v>8522</v>
      </c>
      <c r="N1324" s="50"/>
      <c r="O1324" s="53" t="s">
        <v>70</v>
      </c>
      <c r="P1324" s="55" t="s">
        <v>8523</v>
      </c>
      <c r="Q1324" s="50">
        <v>277.0</v>
      </c>
      <c r="R1324" s="50">
        <v>963.0</v>
      </c>
      <c r="S1324" s="50" t="s">
        <v>129</v>
      </c>
      <c r="T1324" s="56" t="s">
        <v>8524</v>
      </c>
      <c r="U1324" s="53" t="s">
        <v>1916</v>
      </c>
    </row>
    <row r="1325">
      <c r="A1325" s="54" t="s">
        <v>8525</v>
      </c>
      <c r="B1325" s="50" t="s">
        <v>8526</v>
      </c>
      <c r="C1325" s="51" t="s">
        <v>367</v>
      </c>
      <c r="D1325" s="51"/>
      <c r="E1325" s="51"/>
      <c r="F1325" s="51"/>
      <c r="G1325" s="50" t="s">
        <v>8527</v>
      </c>
      <c r="H1325" s="52">
        <v>44683.34560185185</v>
      </c>
      <c r="I1325" s="50"/>
      <c r="J1325" s="50"/>
      <c r="K1325" s="50"/>
      <c r="L1325" s="50"/>
      <c r="M1325" s="50" t="s">
        <v>8528</v>
      </c>
      <c r="N1325" s="50"/>
      <c r="O1325" s="53" t="s">
        <v>92</v>
      </c>
      <c r="P1325" s="55" t="s">
        <v>8529</v>
      </c>
      <c r="Q1325" s="50">
        <v>132.0</v>
      </c>
      <c r="R1325" s="50">
        <v>253.0</v>
      </c>
      <c r="S1325" s="50" t="s">
        <v>8530</v>
      </c>
      <c r="T1325" s="56" t="s">
        <v>8531</v>
      </c>
      <c r="U1325" s="53" t="s">
        <v>370</v>
      </c>
    </row>
    <row r="1326">
      <c r="A1326" s="54" t="s">
        <v>8532</v>
      </c>
      <c r="B1326" s="50" t="s">
        <v>8508</v>
      </c>
      <c r="C1326" s="51" t="s">
        <v>363</v>
      </c>
      <c r="D1326" s="51"/>
      <c r="E1326" s="51"/>
      <c r="F1326" s="51"/>
      <c r="G1326" s="50" t="s">
        <v>8533</v>
      </c>
      <c r="H1326" s="52">
        <v>44683.34559027778</v>
      </c>
      <c r="I1326" s="50"/>
      <c r="J1326" s="50"/>
      <c r="K1326" s="50"/>
      <c r="L1326" s="50"/>
      <c r="M1326" s="50" t="s">
        <v>8510</v>
      </c>
      <c r="N1326" s="50"/>
      <c r="O1326" s="53" t="s">
        <v>70</v>
      </c>
      <c r="P1326" s="55" t="s">
        <v>8511</v>
      </c>
      <c r="Q1326" s="50">
        <v>1471.0</v>
      </c>
      <c r="R1326" s="50">
        <v>1406.0</v>
      </c>
      <c r="S1326" s="50" t="s">
        <v>8512</v>
      </c>
      <c r="T1326" s="56" t="s">
        <v>8534</v>
      </c>
      <c r="U1326" s="53" t="s">
        <v>332</v>
      </c>
    </row>
    <row r="1327">
      <c r="A1327" s="54" t="s">
        <v>8535</v>
      </c>
      <c r="B1327" s="50" t="s">
        <v>8508</v>
      </c>
      <c r="C1327" s="51" t="s">
        <v>367</v>
      </c>
      <c r="D1327" s="51"/>
      <c r="E1327" s="51"/>
      <c r="F1327" s="51"/>
      <c r="G1327" s="50" t="s">
        <v>8536</v>
      </c>
      <c r="H1327" s="52">
        <v>44683.345567129625</v>
      </c>
      <c r="I1327" s="50"/>
      <c r="J1327" s="50"/>
      <c r="K1327" s="50"/>
      <c r="L1327" s="50"/>
      <c r="M1327" s="50" t="s">
        <v>8510</v>
      </c>
      <c r="N1327" s="50"/>
      <c r="O1327" s="53" t="s">
        <v>70</v>
      </c>
      <c r="P1327" s="55" t="s">
        <v>8511</v>
      </c>
      <c r="Q1327" s="50">
        <v>1471.0</v>
      </c>
      <c r="R1327" s="50">
        <v>1406.0</v>
      </c>
      <c r="S1327" s="50" t="s">
        <v>8512</v>
      </c>
      <c r="T1327" s="56" t="s">
        <v>8537</v>
      </c>
      <c r="U1327" s="53" t="s">
        <v>370</v>
      </c>
    </row>
    <row r="1328">
      <c r="A1328" s="54" t="s">
        <v>8538</v>
      </c>
      <c r="B1328" s="50" t="s">
        <v>8475</v>
      </c>
      <c r="C1328" s="51" t="s">
        <v>363</v>
      </c>
      <c r="D1328" s="51"/>
      <c r="E1328" s="51"/>
      <c r="F1328" s="51"/>
      <c r="G1328" s="50" t="s">
        <v>8539</v>
      </c>
      <c r="H1328" s="52">
        <v>44683.34550925926</v>
      </c>
      <c r="I1328" s="50"/>
      <c r="J1328" s="50"/>
      <c r="K1328" s="50"/>
      <c r="L1328" s="50"/>
      <c r="M1328" s="50" t="s">
        <v>8477</v>
      </c>
      <c r="N1328" s="50"/>
      <c r="O1328" s="53" t="s">
        <v>70</v>
      </c>
      <c r="P1328" s="55" t="s">
        <v>8478</v>
      </c>
      <c r="Q1328" s="50">
        <v>49.0</v>
      </c>
      <c r="R1328" s="50">
        <v>130.0</v>
      </c>
      <c r="S1328" s="50"/>
      <c r="T1328" s="56" t="s">
        <v>8540</v>
      </c>
      <c r="U1328" s="53" t="s">
        <v>332</v>
      </c>
    </row>
    <row r="1329">
      <c r="A1329" s="54" t="s">
        <v>8541</v>
      </c>
      <c r="B1329" s="50" t="s">
        <v>8542</v>
      </c>
      <c r="C1329" s="51" t="s">
        <v>367</v>
      </c>
      <c r="D1329" s="51"/>
      <c r="E1329" s="51"/>
      <c r="F1329" s="51"/>
      <c r="G1329" s="50" t="s">
        <v>8543</v>
      </c>
      <c r="H1329" s="52">
        <v>44683.34542824074</v>
      </c>
      <c r="I1329" s="50"/>
      <c r="J1329" s="50"/>
      <c r="K1329" s="50"/>
      <c r="L1329" s="50"/>
      <c r="M1329" s="50" t="s">
        <v>8544</v>
      </c>
      <c r="N1329" s="50"/>
      <c r="O1329" s="53" t="s">
        <v>217</v>
      </c>
      <c r="P1329" s="55" t="s">
        <v>8545</v>
      </c>
      <c r="Q1329" s="50">
        <v>6.0</v>
      </c>
      <c r="R1329" s="50">
        <v>235.0</v>
      </c>
      <c r="S1329" s="50"/>
      <c r="T1329" s="56" t="s">
        <v>8546</v>
      </c>
      <c r="U1329" s="53" t="s">
        <v>370</v>
      </c>
    </row>
    <row r="1330">
      <c r="A1330" s="54" t="s">
        <v>8547</v>
      </c>
      <c r="B1330" s="50" t="s">
        <v>8548</v>
      </c>
      <c r="C1330" s="51" t="s">
        <v>1402</v>
      </c>
      <c r="D1330" s="51"/>
      <c r="E1330" s="51"/>
      <c r="F1330" s="51"/>
      <c r="G1330" s="50" t="s">
        <v>8549</v>
      </c>
      <c r="H1330" s="52">
        <v>44683.345289351855</v>
      </c>
      <c r="I1330" s="50"/>
      <c r="J1330" s="50"/>
      <c r="K1330" s="50"/>
      <c r="L1330" s="50"/>
      <c r="M1330" s="50" t="s">
        <v>8550</v>
      </c>
      <c r="N1330" s="50"/>
      <c r="O1330" s="53" t="s">
        <v>60</v>
      </c>
      <c r="P1330" s="55" t="s">
        <v>8551</v>
      </c>
      <c r="Q1330" s="50">
        <v>1041.0</v>
      </c>
      <c r="R1330" s="50">
        <v>3106.0</v>
      </c>
      <c r="S1330" s="50" t="s">
        <v>3176</v>
      </c>
      <c r="T1330" s="56" t="s">
        <v>8552</v>
      </c>
      <c r="U1330" s="53" t="s">
        <v>1408</v>
      </c>
    </row>
    <row r="1331">
      <c r="A1331" s="54" t="s">
        <v>8553</v>
      </c>
      <c r="B1331" s="50" t="s">
        <v>8554</v>
      </c>
      <c r="C1331" s="51" t="s">
        <v>687</v>
      </c>
      <c r="D1331" s="51"/>
      <c r="E1331" s="51"/>
      <c r="F1331" s="51"/>
      <c r="G1331" s="50" t="s">
        <v>8555</v>
      </c>
      <c r="H1331" s="52">
        <v>44683.34521990741</v>
      </c>
      <c r="I1331" s="50"/>
      <c r="J1331" s="50"/>
      <c r="K1331" s="50"/>
      <c r="L1331" s="50"/>
      <c r="M1331" s="50" t="s">
        <v>8556</v>
      </c>
      <c r="N1331" s="50"/>
      <c r="O1331" s="53" t="s">
        <v>70</v>
      </c>
      <c r="P1331" s="55" t="s">
        <v>8557</v>
      </c>
      <c r="Q1331" s="50">
        <v>683.0</v>
      </c>
      <c r="R1331" s="50">
        <v>2558.0</v>
      </c>
      <c r="S1331" s="50"/>
      <c r="T1331" s="56" t="s">
        <v>8558</v>
      </c>
      <c r="U1331" s="53" t="s">
        <v>691</v>
      </c>
    </row>
    <row r="1332">
      <c r="A1332" s="54" t="s">
        <v>8559</v>
      </c>
      <c r="B1332" s="50" t="s">
        <v>8560</v>
      </c>
      <c r="C1332" s="51" t="s">
        <v>316</v>
      </c>
      <c r="D1332" s="51"/>
      <c r="E1332" s="51"/>
      <c r="F1332" s="51"/>
      <c r="G1332" s="50" t="s">
        <v>8561</v>
      </c>
      <c r="H1332" s="52">
        <v>44683.34517361112</v>
      </c>
      <c r="I1332" s="50"/>
      <c r="J1332" s="50"/>
      <c r="K1332" s="50"/>
      <c r="L1332" s="50"/>
      <c r="M1332" s="50" t="s">
        <v>8562</v>
      </c>
      <c r="N1332" s="50"/>
      <c r="O1332" s="53" t="s">
        <v>70</v>
      </c>
      <c r="P1332" s="55" t="s">
        <v>8563</v>
      </c>
      <c r="Q1332" s="50">
        <v>4332.0</v>
      </c>
      <c r="R1332" s="50">
        <v>4998.0</v>
      </c>
      <c r="S1332" s="50" t="s">
        <v>6723</v>
      </c>
      <c r="T1332" s="56" t="s">
        <v>8564</v>
      </c>
      <c r="U1332" s="53" t="s">
        <v>322</v>
      </c>
    </row>
    <row r="1333">
      <c r="A1333" s="54" t="s">
        <v>8565</v>
      </c>
      <c r="B1333" s="50" t="s">
        <v>8566</v>
      </c>
      <c r="C1333" s="51" t="s">
        <v>8567</v>
      </c>
      <c r="D1333" s="51"/>
      <c r="E1333" s="51"/>
      <c r="F1333" s="51"/>
      <c r="G1333" s="50" t="s">
        <v>8568</v>
      </c>
      <c r="H1333" s="52">
        <v>44683.34497685185</v>
      </c>
      <c r="I1333" s="50"/>
      <c r="J1333" s="50"/>
      <c r="K1333" s="50" t="s">
        <v>8569</v>
      </c>
      <c r="L1333" s="50" t="s">
        <v>8570</v>
      </c>
      <c r="M1333" s="50" t="s">
        <v>8571</v>
      </c>
      <c r="N1333" s="50" t="s">
        <v>8572</v>
      </c>
      <c r="O1333" s="53" t="s">
        <v>60</v>
      </c>
      <c r="P1333" s="55" t="s">
        <v>8573</v>
      </c>
      <c r="Q1333" s="50">
        <v>1290.0</v>
      </c>
      <c r="R1333" s="50">
        <v>996.0</v>
      </c>
      <c r="S1333" s="50" t="s">
        <v>5009</v>
      </c>
      <c r="T1333" s="56" t="s">
        <v>8574</v>
      </c>
      <c r="U1333" s="53" t="s">
        <v>8575</v>
      </c>
    </row>
    <row r="1334">
      <c r="A1334" s="54" t="s">
        <v>8576</v>
      </c>
      <c r="B1334" s="50" t="s">
        <v>8577</v>
      </c>
      <c r="C1334" s="51" t="s">
        <v>8578</v>
      </c>
      <c r="D1334" s="51"/>
      <c r="E1334" s="51"/>
      <c r="F1334" s="51"/>
      <c r="G1334" s="50" t="s">
        <v>8579</v>
      </c>
      <c r="H1334" s="52">
        <v>44683.34484953704</v>
      </c>
      <c r="I1334" s="50"/>
      <c r="J1334" s="50"/>
      <c r="K1334" s="50" t="s">
        <v>8580</v>
      </c>
      <c r="L1334" s="50" t="s">
        <v>8581</v>
      </c>
      <c r="M1334" s="50" t="s">
        <v>8582</v>
      </c>
      <c r="N1334" s="50" t="s">
        <v>8583</v>
      </c>
      <c r="O1334" s="53" t="s">
        <v>60</v>
      </c>
      <c r="P1334" s="55" t="s">
        <v>8584</v>
      </c>
      <c r="Q1334" s="50">
        <v>438.0</v>
      </c>
      <c r="R1334" s="50">
        <v>1245.0</v>
      </c>
      <c r="S1334" s="50"/>
      <c r="T1334" s="56" t="s">
        <v>8585</v>
      </c>
      <c r="U1334" s="53" t="s">
        <v>8586</v>
      </c>
    </row>
    <row r="1335">
      <c r="A1335" s="54" t="s">
        <v>8587</v>
      </c>
      <c r="B1335" s="50" t="s">
        <v>8588</v>
      </c>
      <c r="C1335" s="51" t="s">
        <v>367</v>
      </c>
      <c r="D1335" s="51"/>
      <c r="E1335" s="51"/>
      <c r="F1335" s="51"/>
      <c r="G1335" s="50" t="s">
        <v>8589</v>
      </c>
      <c r="H1335" s="52">
        <v>44683.34478009259</v>
      </c>
      <c r="I1335" s="50"/>
      <c r="J1335" s="50"/>
      <c r="K1335" s="50"/>
      <c r="L1335" s="50"/>
      <c r="M1335" s="50" t="s">
        <v>8590</v>
      </c>
      <c r="N1335" s="50"/>
      <c r="O1335" s="53" t="s">
        <v>92</v>
      </c>
      <c r="P1335" s="55" t="s">
        <v>8591</v>
      </c>
      <c r="Q1335" s="50">
        <v>430.0</v>
      </c>
      <c r="R1335" s="50">
        <v>704.0</v>
      </c>
      <c r="S1335" s="50"/>
      <c r="T1335" s="56" t="s">
        <v>8592</v>
      </c>
      <c r="U1335" s="53" t="s">
        <v>370</v>
      </c>
    </row>
    <row r="1336">
      <c r="A1336" s="54" t="s">
        <v>8593</v>
      </c>
      <c r="B1336" s="50" t="s">
        <v>8594</v>
      </c>
      <c r="C1336" s="51" t="s">
        <v>8595</v>
      </c>
      <c r="D1336" s="51"/>
      <c r="E1336" s="51"/>
      <c r="F1336" s="51"/>
      <c r="G1336" s="50" t="s">
        <v>8596</v>
      </c>
      <c r="H1336" s="52">
        <v>44683.34442129629</v>
      </c>
      <c r="I1336" s="50"/>
      <c r="J1336" s="50"/>
      <c r="K1336" s="50"/>
      <c r="L1336" s="50"/>
      <c r="M1336" s="50" t="s">
        <v>8597</v>
      </c>
      <c r="N1336" s="50"/>
      <c r="O1336" s="53" t="s">
        <v>60</v>
      </c>
      <c r="P1336" s="55" t="s">
        <v>8598</v>
      </c>
      <c r="Q1336" s="50">
        <v>235.0</v>
      </c>
      <c r="R1336" s="50">
        <v>635.0</v>
      </c>
      <c r="S1336" s="50" t="s">
        <v>8599</v>
      </c>
      <c r="T1336" s="56" t="s">
        <v>8600</v>
      </c>
      <c r="U1336" s="53" t="s">
        <v>8601</v>
      </c>
    </row>
    <row r="1337">
      <c r="A1337" s="54" t="s">
        <v>8602</v>
      </c>
      <c r="B1337" s="50" t="s">
        <v>8603</v>
      </c>
      <c r="C1337" s="51" t="s">
        <v>4762</v>
      </c>
      <c r="D1337" s="51"/>
      <c r="E1337" s="51"/>
      <c r="F1337" s="51"/>
      <c r="G1337" s="50" t="s">
        <v>8604</v>
      </c>
      <c r="H1337" s="52">
        <v>44683.34425925926</v>
      </c>
      <c r="I1337" s="50"/>
      <c r="J1337" s="50"/>
      <c r="K1337" s="50"/>
      <c r="L1337" s="50"/>
      <c r="M1337" s="50" t="s">
        <v>8605</v>
      </c>
      <c r="N1337" s="50"/>
      <c r="O1337" s="53" t="s">
        <v>92</v>
      </c>
      <c r="P1337" s="55" t="s">
        <v>8606</v>
      </c>
      <c r="Q1337" s="50">
        <v>1683.0</v>
      </c>
      <c r="R1337" s="50">
        <v>2001.0</v>
      </c>
      <c r="S1337" s="50" t="s">
        <v>8607</v>
      </c>
      <c r="T1337" s="56" t="s">
        <v>8608</v>
      </c>
      <c r="U1337" s="53" t="s">
        <v>4768</v>
      </c>
    </row>
    <row r="1338">
      <c r="A1338" s="54" t="s">
        <v>8609</v>
      </c>
      <c r="B1338" s="50" t="s">
        <v>8610</v>
      </c>
      <c r="C1338" s="51" t="s">
        <v>329</v>
      </c>
      <c r="D1338" s="51"/>
      <c r="E1338" s="51"/>
      <c r="F1338" s="51"/>
      <c r="G1338" s="50" t="s">
        <v>8611</v>
      </c>
      <c r="H1338" s="52">
        <v>44683.34391203704</v>
      </c>
      <c r="I1338" s="50"/>
      <c r="J1338" s="50"/>
      <c r="K1338" s="50"/>
      <c r="L1338" s="50"/>
      <c r="M1338" s="50" t="s">
        <v>8612</v>
      </c>
      <c r="N1338" s="50"/>
      <c r="O1338" s="53" t="s">
        <v>92</v>
      </c>
      <c r="P1338" s="55" t="s">
        <v>8613</v>
      </c>
      <c r="Q1338" s="50">
        <v>4155.0</v>
      </c>
      <c r="R1338" s="50">
        <v>4060.0</v>
      </c>
      <c r="S1338" s="50" t="s">
        <v>8614</v>
      </c>
      <c r="T1338" s="56" t="s">
        <v>8615</v>
      </c>
      <c r="U1338" s="53" t="s">
        <v>332</v>
      </c>
    </row>
    <row r="1339">
      <c r="A1339" s="54" t="s">
        <v>8616</v>
      </c>
      <c r="B1339" s="50" t="s">
        <v>8617</v>
      </c>
      <c r="C1339" s="51" t="s">
        <v>8618</v>
      </c>
      <c r="D1339" s="51"/>
      <c r="E1339" s="51"/>
      <c r="F1339" s="51"/>
      <c r="G1339" s="50" t="s">
        <v>8619</v>
      </c>
      <c r="H1339" s="52">
        <v>44683.343680555554</v>
      </c>
      <c r="I1339" s="50"/>
      <c r="J1339" s="50"/>
      <c r="K1339" s="50"/>
      <c r="L1339" s="50"/>
      <c r="M1339" s="50" t="s">
        <v>8620</v>
      </c>
      <c r="N1339" s="50"/>
      <c r="O1339" s="53" t="s">
        <v>60</v>
      </c>
      <c r="P1339" s="55" t="s">
        <v>8621</v>
      </c>
      <c r="Q1339" s="50">
        <v>1615.0</v>
      </c>
      <c r="R1339" s="50">
        <v>1548.0</v>
      </c>
      <c r="S1339" s="50" t="s">
        <v>129</v>
      </c>
      <c r="T1339" s="56" t="s">
        <v>8622</v>
      </c>
      <c r="U1339" s="53" t="s">
        <v>8623</v>
      </c>
    </row>
    <row r="1340">
      <c r="A1340" s="54" t="s">
        <v>8624</v>
      </c>
      <c r="B1340" s="50" t="s">
        <v>8625</v>
      </c>
      <c r="C1340" s="51" t="s">
        <v>687</v>
      </c>
      <c r="D1340" s="51"/>
      <c r="E1340" s="51"/>
      <c r="F1340" s="51"/>
      <c r="G1340" s="50" t="s">
        <v>8626</v>
      </c>
      <c r="H1340" s="52">
        <v>44683.34359953704</v>
      </c>
      <c r="I1340" s="50"/>
      <c r="J1340" s="50"/>
      <c r="K1340" s="50"/>
      <c r="L1340" s="50"/>
      <c r="M1340" s="50" t="s">
        <v>8627</v>
      </c>
      <c r="N1340" s="50"/>
      <c r="O1340" s="53" t="s">
        <v>60</v>
      </c>
      <c r="P1340" s="55" t="s">
        <v>8628</v>
      </c>
      <c r="Q1340" s="50">
        <v>4357.0</v>
      </c>
      <c r="R1340" s="50">
        <v>3561.0</v>
      </c>
      <c r="S1340" s="50" t="s">
        <v>8629</v>
      </c>
      <c r="T1340" s="56" t="s">
        <v>8630</v>
      </c>
      <c r="U1340" s="53" t="s">
        <v>691</v>
      </c>
    </row>
    <row r="1341">
      <c r="A1341" s="54" t="s">
        <v>8631</v>
      </c>
      <c r="B1341" s="50" t="s">
        <v>8632</v>
      </c>
      <c r="C1341" s="51" t="s">
        <v>363</v>
      </c>
      <c r="D1341" s="51"/>
      <c r="E1341" s="51"/>
      <c r="F1341" s="51"/>
      <c r="G1341" s="50" t="s">
        <v>8633</v>
      </c>
      <c r="H1341" s="52">
        <v>44683.34354166666</v>
      </c>
      <c r="I1341" s="50"/>
      <c r="J1341" s="50"/>
      <c r="K1341" s="50"/>
      <c r="L1341" s="50"/>
      <c r="M1341" s="50" t="s">
        <v>8634</v>
      </c>
      <c r="N1341" s="50"/>
      <c r="O1341" s="53" t="s">
        <v>70</v>
      </c>
      <c r="P1341" s="55" t="s">
        <v>8635</v>
      </c>
      <c r="Q1341" s="50">
        <v>68.0</v>
      </c>
      <c r="R1341" s="50">
        <v>605.0</v>
      </c>
      <c r="S1341" s="50"/>
      <c r="T1341" s="56" t="s">
        <v>8636</v>
      </c>
      <c r="U1341" s="53" t="s">
        <v>332</v>
      </c>
    </row>
    <row r="1342">
      <c r="A1342" s="54" t="s">
        <v>8637</v>
      </c>
      <c r="B1342" s="50" t="s">
        <v>8638</v>
      </c>
      <c r="C1342" s="51" t="s">
        <v>8639</v>
      </c>
      <c r="D1342" s="51"/>
      <c r="E1342" s="51"/>
      <c r="F1342" s="51"/>
      <c r="G1342" s="50" t="s">
        <v>8640</v>
      </c>
      <c r="H1342" s="52">
        <v>44683.34351851852</v>
      </c>
      <c r="I1342" s="50"/>
      <c r="J1342" s="50"/>
      <c r="K1342" s="50"/>
      <c r="L1342" s="50"/>
      <c r="M1342" s="50" t="s">
        <v>8641</v>
      </c>
      <c r="N1342" s="50"/>
      <c r="O1342" s="53" t="s">
        <v>60</v>
      </c>
      <c r="P1342" s="55" t="s">
        <v>8642</v>
      </c>
      <c r="Q1342" s="50">
        <v>4903.0</v>
      </c>
      <c r="R1342" s="50">
        <v>5098.0</v>
      </c>
      <c r="S1342" s="50" t="s">
        <v>129</v>
      </c>
      <c r="T1342" s="56" t="s">
        <v>8643</v>
      </c>
      <c r="U1342" s="53" t="s">
        <v>8644</v>
      </c>
    </row>
    <row r="1343">
      <c r="A1343" s="54" t="s">
        <v>8645</v>
      </c>
      <c r="B1343" s="50" t="s">
        <v>8646</v>
      </c>
      <c r="C1343" s="51" t="s">
        <v>367</v>
      </c>
      <c r="D1343" s="51"/>
      <c r="E1343" s="51"/>
      <c r="F1343" s="51"/>
      <c r="G1343" s="50" t="s">
        <v>8647</v>
      </c>
      <c r="H1343" s="52">
        <v>44683.343298611115</v>
      </c>
      <c r="I1343" s="50"/>
      <c r="J1343" s="50"/>
      <c r="K1343" s="50"/>
      <c r="L1343" s="50"/>
      <c r="M1343" s="50" t="s">
        <v>8648</v>
      </c>
      <c r="N1343" s="50"/>
      <c r="O1343" s="53" t="s">
        <v>60</v>
      </c>
      <c r="P1343" s="55" t="s">
        <v>8649</v>
      </c>
      <c r="Q1343" s="50">
        <v>2103.0</v>
      </c>
      <c r="R1343" s="50">
        <v>2314.0</v>
      </c>
      <c r="S1343" s="50" t="s">
        <v>8650</v>
      </c>
      <c r="T1343" s="56" t="s">
        <v>8651</v>
      </c>
      <c r="U1343" s="53" t="s">
        <v>370</v>
      </c>
    </row>
    <row r="1344">
      <c r="A1344" s="54" t="s">
        <v>8652</v>
      </c>
      <c r="B1344" s="50" t="s">
        <v>8653</v>
      </c>
      <c r="C1344" s="51" t="s">
        <v>687</v>
      </c>
      <c r="D1344" s="51"/>
      <c r="E1344" s="51"/>
      <c r="F1344" s="51"/>
      <c r="G1344" s="50" t="s">
        <v>8654</v>
      </c>
      <c r="H1344" s="52">
        <v>44683.34327546296</v>
      </c>
      <c r="I1344" s="50"/>
      <c r="J1344" s="50"/>
      <c r="K1344" s="50"/>
      <c r="L1344" s="50"/>
      <c r="M1344" s="50" t="s">
        <v>8655</v>
      </c>
      <c r="N1344" s="50"/>
      <c r="O1344" s="53" t="s">
        <v>217</v>
      </c>
      <c r="P1344" s="55" t="s">
        <v>8656</v>
      </c>
      <c r="Q1344" s="50">
        <v>182.0</v>
      </c>
      <c r="R1344" s="50">
        <v>1500.0</v>
      </c>
      <c r="S1344" s="50" t="s">
        <v>5052</v>
      </c>
      <c r="T1344" s="56" t="s">
        <v>8657</v>
      </c>
      <c r="U1344" s="53" t="s">
        <v>691</v>
      </c>
    </row>
    <row r="1345">
      <c r="A1345" s="54" t="s">
        <v>8658</v>
      </c>
      <c r="B1345" s="50" t="s">
        <v>1575</v>
      </c>
      <c r="C1345" s="51" t="s">
        <v>8659</v>
      </c>
      <c r="D1345" s="51"/>
      <c r="E1345" s="51"/>
      <c r="F1345" s="51"/>
      <c r="G1345" s="50" t="s">
        <v>8660</v>
      </c>
      <c r="H1345" s="52">
        <v>44683.34321759259</v>
      </c>
      <c r="I1345" s="50"/>
      <c r="J1345" s="50"/>
      <c r="K1345" s="50" t="s">
        <v>8641</v>
      </c>
      <c r="L1345" s="50" t="s">
        <v>8638</v>
      </c>
      <c r="M1345" s="50" t="s">
        <v>1574</v>
      </c>
      <c r="N1345" s="50" t="s">
        <v>8661</v>
      </c>
      <c r="O1345" s="53" t="s">
        <v>60</v>
      </c>
      <c r="P1345" s="55" t="s">
        <v>8662</v>
      </c>
      <c r="Q1345" s="50">
        <v>3033.0</v>
      </c>
      <c r="R1345" s="50">
        <v>4246.0</v>
      </c>
      <c r="S1345" s="50" t="s">
        <v>8663</v>
      </c>
      <c r="T1345" s="56" t="s">
        <v>8664</v>
      </c>
      <c r="U1345" s="53" t="s">
        <v>8665</v>
      </c>
    </row>
    <row r="1346">
      <c r="A1346" s="54" t="s">
        <v>8666</v>
      </c>
      <c r="B1346" s="50" t="s">
        <v>8667</v>
      </c>
      <c r="C1346" s="51" t="s">
        <v>367</v>
      </c>
      <c r="D1346" s="51"/>
      <c r="E1346" s="51"/>
      <c r="F1346" s="51"/>
      <c r="G1346" s="50" t="s">
        <v>8668</v>
      </c>
      <c r="H1346" s="52">
        <v>44683.343194444446</v>
      </c>
      <c r="I1346" s="50"/>
      <c r="J1346" s="50"/>
      <c r="K1346" s="50"/>
      <c r="L1346" s="50"/>
      <c r="M1346" s="50" t="s">
        <v>8669</v>
      </c>
      <c r="N1346" s="50"/>
      <c r="O1346" s="53" t="s">
        <v>217</v>
      </c>
      <c r="P1346" s="55" t="s">
        <v>354</v>
      </c>
      <c r="Q1346" s="50">
        <v>92.0</v>
      </c>
      <c r="R1346" s="50">
        <v>157.0</v>
      </c>
      <c r="S1346" s="50" t="s">
        <v>8670</v>
      </c>
      <c r="T1346" s="56" t="s">
        <v>8671</v>
      </c>
      <c r="U1346" s="53" t="s">
        <v>370</v>
      </c>
    </row>
    <row r="1347">
      <c r="A1347" s="54" t="s">
        <v>8672</v>
      </c>
      <c r="B1347" s="50" t="s">
        <v>8603</v>
      </c>
      <c r="C1347" s="51" t="s">
        <v>1209</v>
      </c>
      <c r="D1347" s="51"/>
      <c r="E1347" s="51"/>
      <c r="F1347" s="51"/>
      <c r="G1347" s="50" t="s">
        <v>8673</v>
      </c>
      <c r="H1347" s="52">
        <v>44683.34311342593</v>
      </c>
      <c r="I1347" s="50"/>
      <c r="J1347" s="50"/>
      <c r="K1347" s="50"/>
      <c r="L1347" s="50"/>
      <c r="M1347" s="50" t="s">
        <v>8605</v>
      </c>
      <c r="N1347" s="50"/>
      <c r="O1347" s="53" t="s">
        <v>92</v>
      </c>
      <c r="P1347" s="55" t="s">
        <v>8606</v>
      </c>
      <c r="Q1347" s="50">
        <v>1683.0</v>
      </c>
      <c r="R1347" s="50">
        <v>2001.0</v>
      </c>
      <c r="S1347" s="50" t="s">
        <v>8607</v>
      </c>
      <c r="T1347" s="56" t="s">
        <v>8674</v>
      </c>
      <c r="U1347" s="53" t="s">
        <v>1214</v>
      </c>
    </row>
    <row r="1348">
      <c r="A1348" s="54" t="s">
        <v>8675</v>
      </c>
      <c r="B1348" s="50" t="s">
        <v>8603</v>
      </c>
      <c r="C1348" s="51" t="s">
        <v>316</v>
      </c>
      <c r="D1348" s="51"/>
      <c r="E1348" s="51"/>
      <c r="F1348" s="51"/>
      <c r="G1348" s="50" t="s">
        <v>8676</v>
      </c>
      <c r="H1348" s="52">
        <v>44683.34290509259</v>
      </c>
      <c r="I1348" s="50"/>
      <c r="J1348" s="50"/>
      <c r="K1348" s="50"/>
      <c r="L1348" s="50"/>
      <c r="M1348" s="50" t="s">
        <v>8605</v>
      </c>
      <c r="N1348" s="50"/>
      <c r="O1348" s="53" t="s">
        <v>92</v>
      </c>
      <c r="P1348" s="55" t="s">
        <v>8606</v>
      </c>
      <c r="Q1348" s="50">
        <v>1683.0</v>
      </c>
      <c r="R1348" s="50">
        <v>2001.0</v>
      </c>
      <c r="S1348" s="50" t="s">
        <v>8607</v>
      </c>
      <c r="T1348" s="56" t="s">
        <v>8677</v>
      </c>
      <c r="U1348" s="53" t="s">
        <v>322</v>
      </c>
    </row>
    <row r="1349">
      <c r="A1349" s="54" t="s">
        <v>8678</v>
      </c>
      <c r="B1349" s="50" t="s">
        <v>7175</v>
      </c>
      <c r="C1349" s="51" t="s">
        <v>367</v>
      </c>
      <c r="D1349" s="51"/>
      <c r="E1349" s="51"/>
      <c r="F1349" s="51"/>
      <c r="G1349" s="50" t="s">
        <v>8679</v>
      </c>
      <c r="H1349" s="52">
        <v>44683.342824074076</v>
      </c>
      <c r="I1349" s="50"/>
      <c r="J1349" s="50"/>
      <c r="K1349" s="50"/>
      <c r="L1349" s="50"/>
      <c r="M1349" s="50" t="s">
        <v>7177</v>
      </c>
      <c r="N1349" s="50"/>
      <c r="O1349" s="53" t="s">
        <v>70</v>
      </c>
      <c r="P1349" s="55" t="s">
        <v>7178</v>
      </c>
      <c r="Q1349" s="50">
        <v>5012.0</v>
      </c>
      <c r="R1349" s="50">
        <v>5512.0</v>
      </c>
      <c r="S1349" s="50" t="s">
        <v>7179</v>
      </c>
      <c r="T1349" s="56" t="s">
        <v>8680</v>
      </c>
      <c r="U1349" s="53" t="s">
        <v>370</v>
      </c>
    </row>
    <row r="1350">
      <c r="A1350" s="54" t="s">
        <v>8681</v>
      </c>
      <c r="B1350" s="50" t="s">
        <v>8603</v>
      </c>
      <c r="C1350" s="51" t="s">
        <v>329</v>
      </c>
      <c r="D1350" s="51"/>
      <c r="E1350" s="51"/>
      <c r="F1350" s="51"/>
      <c r="G1350" s="50" t="s">
        <v>8682</v>
      </c>
      <c r="H1350" s="52">
        <v>44683.3427662037</v>
      </c>
      <c r="I1350" s="50"/>
      <c r="J1350" s="50"/>
      <c r="K1350" s="50"/>
      <c r="L1350" s="50"/>
      <c r="M1350" s="50" t="s">
        <v>8605</v>
      </c>
      <c r="N1350" s="50"/>
      <c r="O1350" s="53" t="s">
        <v>92</v>
      </c>
      <c r="P1350" s="55" t="s">
        <v>8606</v>
      </c>
      <c r="Q1350" s="50">
        <v>1683.0</v>
      </c>
      <c r="R1350" s="50">
        <v>2001.0</v>
      </c>
      <c r="S1350" s="50" t="s">
        <v>8607</v>
      </c>
      <c r="T1350" s="56" t="s">
        <v>8683</v>
      </c>
      <c r="U1350" s="53" t="s">
        <v>332</v>
      </c>
    </row>
    <row r="1351">
      <c r="A1351" s="54" t="s">
        <v>8684</v>
      </c>
      <c r="B1351" s="50" t="s">
        <v>8603</v>
      </c>
      <c r="C1351" s="51" t="s">
        <v>335</v>
      </c>
      <c r="D1351" s="51"/>
      <c r="E1351" s="51"/>
      <c r="F1351" s="51"/>
      <c r="G1351" s="50" t="s">
        <v>8685</v>
      </c>
      <c r="H1351" s="52">
        <v>44683.342685185184</v>
      </c>
      <c r="I1351" s="50"/>
      <c r="J1351" s="50"/>
      <c r="K1351" s="50"/>
      <c r="L1351" s="50"/>
      <c r="M1351" s="50" t="s">
        <v>8605</v>
      </c>
      <c r="N1351" s="50"/>
      <c r="O1351" s="53" t="s">
        <v>92</v>
      </c>
      <c r="P1351" s="55" t="s">
        <v>8606</v>
      </c>
      <c r="Q1351" s="50">
        <v>1683.0</v>
      </c>
      <c r="R1351" s="50">
        <v>2001.0</v>
      </c>
      <c r="S1351" s="50" t="s">
        <v>8607</v>
      </c>
      <c r="T1351" s="56" t="s">
        <v>8686</v>
      </c>
      <c r="U1351" s="53" t="s">
        <v>339</v>
      </c>
    </row>
    <row r="1352">
      <c r="A1352" s="54" t="s">
        <v>8687</v>
      </c>
      <c r="B1352" s="50" t="s">
        <v>8688</v>
      </c>
      <c r="C1352" s="51" t="s">
        <v>687</v>
      </c>
      <c r="D1352" s="51"/>
      <c r="E1352" s="51"/>
      <c r="F1352" s="51"/>
      <c r="G1352" s="50" t="s">
        <v>8689</v>
      </c>
      <c r="H1352" s="52">
        <v>44683.34261574074</v>
      </c>
      <c r="I1352" s="50"/>
      <c r="J1352" s="50"/>
      <c r="K1352" s="50"/>
      <c r="L1352" s="50"/>
      <c r="M1352" s="50" t="s">
        <v>8690</v>
      </c>
      <c r="N1352" s="50"/>
      <c r="O1352" s="53" t="s">
        <v>217</v>
      </c>
      <c r="P1352" s="55" t="s">
        <v>8691</v>
      </c>
      <c r="Q1352" s="50">
        <v>1464.0</v>
      </c>
      <c r="R1352" s="50">
        <v>2560.0</v>
      </c>
      <c r="S1352" s="50" t="s">
        <v>5052</v>
      </c>
      <c r="T1352" s="56" t="s">
        <v>8692</v>
      </c>
      <c r="U1352" s="53" t="s">
        <v>691</v>
      </c>
    </row>
    <row r="1353">
      <c r="A1353" s="54" t="s">
        <v>8693</v>
      </c>
      <c r="B1353" s="50" t="s">
        <v>8603</v>
      </c>
      <c r="C1353" s="51" t="s">
        <v>363</v>
      </c>
      <c r="D1353" s="51"/>
      <c r="E1353" s="51"/>
      <c r="F1353" s="51"/>
      <c r="G1353" s="50" t="s">
        <v>8694</v>
      </c>
      <c r="H1353" s="52">
        <v>44683.34260416667</v>
      </c>
      <c r="I1353" s="50"/>
      <c r="J1353" s="50"/>
      <c r="K1353" s="50"/>
      <c r="L1353" s="50"/>
      <c r="M1353" s="50" t="s">
        <v>8605</v>
      </c>
      <c r="N1353" s="50"/>
      <c r="O1353" s="53" t="s">
        <v>92</v>
      </c>
      <c r="P1353" s="55" t="s">
        <v>8606</v>
      </c>
      <c r="Q1353" s="50">
        <v>1683.0</v>
      </c>
      <c r="R1353" s="50">
        <v>2001.0</v>
      </c>
      <c r="S1353" s="50" t="s">
        <v>8607</v>
      </c>
      <c r="T1353" s="56" t="s">
        <v>8695</v>
      </c>
      <c r="U1353" s="53" t="s">
        <v>332</v>
      </c>
    </row>
    <row r="1354">
      <c r="A1354" s="54" t="s">
        <v>8696</v>
      </c>
      <c r="B1354" s="50" t="s">
        <v>8697</v>
      </c>
      <c r="C1354" s="51" t="s">
        <v>367</v>
      </c>
      <c r="D1354" s="51"/>
      <c r="E1354" s="51"/>
      <c r="F1354" s="51"/>
      <c r="G1354" s="50" t="s">
        <v>8698</v>
      </c>
      <c r="H1354" s="52">
        <v>44683.342465277776</v>
      </c>
      <c r="I1354" s="50"/>
      <c r="J1354" s="50"/>
      <c r="K1354" s="50"/>
      <c r="L1354" s="50"/>
      <c r="M1354" s="50" t="s">
        <v>8699</v>
      </c>
      <c r="N1354" s="50"/>
      <c r="O1354" s="53" t="s">
        <v>217</v>
      </c>
      <c r="P1354" s="55" t="s">
        <v>354</v>
      </c>
      <c r="Q1354" s="50">
        <v>1.0</v>
      </c>
      <c r="R1354" s="50">
        <v>69.0</v>
      </c>
      <c r="S1354" s="50"/>
      <c r="T1354" s="56" t="s">
        <v>8700</v>
      </c>
      <c r="U1354" s="53" t="s">
        <v>370</v>
      </c>
    </row>
    <row r="1355">
      <c r="A1355" s="54" t="s">
        <v>8701</v>
      </c>
      <c r="B1355" s="50" t="s">
        <v>8603</v>
      </c>
      <c r="C1355" s="51" t="s">
        <v>367</v>
      </c>
      <c r="D1355" s="51"/>
      <c r="E1355" s="51"/>
      <c r="F1355" s="51"/>
      <c r="G1355" s="50" t="s">
        <v>8702</v>
      </c>
      <c r="H1355" s="52">
        <v>44683.34241898148</v>
      </c>
      <c r="I1355" s="50"/>
      <c r="J1355" s="50"/>
      <c r="K1355" s="50"/>
      <c r="L1355" s="50"/>
      <c r="M1355" s="50" t="s">
        <v>8605</v>
      </c>
      <c r="N1355" s="50"/>
      <c r="O1355" s="53" t="s">
        <v>92</v>
      </c>
      <c r="P1355" s="55" t="s">
        <v>8606</v>
      </c>
      <c r="Q1355" s="50">
        <v>1683.0</v>
      </c>
      <c r="R1355" s="50">
        <v>2001.0</v>
      </c>
      <c r="S1355" s="50" t="s">
        <v>8607</v>
      </c>
      <c r="T1355" s="56" t="s">
        <v>8703</v>
      </c>
      <c r="U1355" s="53" t="s">
        <v>370</v>
      </c>
    </row>
    <row r="1356">
      <c r="A1356" s="54" t="s">
        <v>8704</v>
      </c>
      <c r="B1356" s="50" t="s">
        <v>8705</v>
      </c>
      <c r="C1356" s="51" t="s">
        <v>8706</v>
      </c>
      <c r="D1356" s="51"/>
      <c r="E1356" s="51"/>
      <c r="F1356" s="51"/>
      <c r="G1356" s="50" t="s">
        <v>8707</v>
      </c>
      <c r="H1356" s="52">
        <v>44683.34228009259</v>
      </c>
      <c r="I1356" s="50"/>
      <c r="J1356" s="50"/>
      <c r="K1356" s="50"/>
      <c r="L1356" s="50"/>
      <c r="M1356" s="50" t="s">
        <v>8708</v>
      </c>
      <c r="N1356" s="50"/>
      <c r="O1356" s="53" t="s">
        <v>70</v>
      </c>
      <c r="P1356" s="55" t="s">
        <v>8709</v>
      </c>
      <c r="Q1356" s="50">
        <v>13350.0</v>
      </c>
      <c r="R1356" s="50">
        <v>12852.0</v>
      </c>
      <c r="S1356" s="50" t="s">
        <v>8710</v>
      </c>
      <c r="T1356" s="56" t="s">
        <v>8711</v>
      </c>
      <c r="U1356" s="53" t="s">
        <v>8712</v>
      </c>
    </row>
    <row r="1357">
      <c r="A1357" s="54" t="s">
        <v>8713</v>
      </c>
      <c r="B1357" s="50" t="s">
        <v>8714</v>
      </c>
      <c r="C1357" s="51" t="s">
        <v>363</v>
      </c>
      <c r="D1357" s="51"/>
      <c r="E1357" s="51"/>
      <c r="F1357" s="51"/>
      <c r="G1357" s="50" t="s">
        <v>8715</v>
      </c>
      <c r="H1357" s="52">
        <v>44683.342094907406</v>
      </c>
      <c r="I1357" s="50"/>
      <c r="J1357" s="50"/>
      <c r="K1357" s="50"/>
      <c r="L1357" s="50"/>
      <c r="M1357" s="50" t="s">
        <v>8716</v>
      </c>
      <c r="N1357" s="50"/>
      <c r="O1357" s="53" t="s">
        <v>70</v>
      </c>
      <c r="P1357" s="55" t="s">
        <v>8717</v>
      </c>
      <c r="Q1357" s="50">
        <v>1389.0</v>
      </c>
      <c r="R1357" s="50">
        <v>1231.0</v>
      </c>
      <c r="S1357" s="50"/>
      <c r="T1357" s="56" t="s">
        <v>8718</v>
      </c>
      <c r="U1357" s="53" t="s">
        <v>332</v>
      </c>
    </row>
    <row r="1358">
      <c r="A1358" s="54" t="s">
        <v>8719</v>
      </c>
      <c r="B1358" s="50" t="s">
        <v>8720</v>
      </c>
      <c r="C1358" s="51" t="s">
        <v>367</v>
      </c>
      <c r="D1358" s="51"/>
      <c r="E1358" s="51"/>
      <c r="F1358" s="51"/>
      <c r="G1358" s="50" t="s">
        <v>8721</v>
      </c>
      <c r="H1358" s="52">
        <v>44683.34203703704</v>
      </c>
      <c r="I1358" s="50"/>
      <c r="J1358" s="50"/>
      <c r="K1358" s="50"/>
      <c r="L1358" s="50"/>
      <c r="M1358" s="50" t="s">
        <v>8722</v>
      </c>
      <c r="N1358" s="50"/>
      <c r="O1358" s="53" t="s">
        <v>70</v>
      </c>
      <c r="P1358" s="55" t="s">
        <v>8723</v>
      </c>
      <c r="Q1358" s="50">
        <v>3689.0</v>
      </c>
      <c r="R1358" s="50">
        <v>4994.0</v>
      </c>
      <c r="S1358" s="50"/>
      <c r="T1358" s="56" t="s">
        <v>8724</v>
      </c>
      <c r="U1358" s="53" t="s">
        <v>370</v>
      </c>
    </row>
    <row r="1359">
      <c r="A1359" s="54" t="s">
        <v>8725</v>
      </c>
      <c r="B1359" s="50" t="s">
        <v>8726</v>
      </c>
      <c r="C1359" s="51" t="s">
        <v>367</v>
      </c>
      <c r="D1359" s="51"/>
      <c r="E1359" s="51"/>
      <c r="F1359" s="51"/>
      <c r="G1359" s="50" t="s">
        <v>8727</v>
      </c>
      <c r="H1359" s="52">
        <v>44683.3419675926</v>
      </c>
      <c r="I1359" s="50"/>
      <c r="J1359" s="50"/>
      <c r="K1359" s="50"/>
      <c r="L1359" s="50"/>
      <c r="M1359" s="50" t="s">
        <v>8728</v>
      </c>
      <c r="N1359" s="50"/>
      <c r="O1359" s="53" t="s">
        <v>92</v>
      </c>
      <c r="P1359" s="55" t="s">
        <v>8729</v>
      </c>
      <c r="Q1359" s="50">
        <v>217.0</v>
      </c>
      <c r="R1359" s="50">
        <v>1074.0</v>
      </c>
      <c r="S1359" s="50"/>
      <c r="T1359" s="56" t="s">
        <v>8730</v>
      </c>
      <c r="U1359" s="53" t="s">
        <v>370</v>
      </c>
    </row>
    <row r="1360">
      <c r="A1360" s="54" t="s">
        <v>8731</v>
      </c>
      <c r="B1360" s="50" t="s">
        <v>8732</v>
      </c>
      <c r="C1360" s="51" t="s">
        <v>1307</v>
      </c>
      <c r="D1360" s="51"/>
      <c r="E1360" s="51"/>
      <c r="F1360" s="51"/>
      <c r="G1360" s="50" t="s">
        <v>8733</v>
      </c>
      <c r="H1360" s="52">
        <v>44683.34190972222</v>
      </c>
      <c r="I1360" s="50"/>
      <c r="J1360" s="50"/>
      <c r="K1360" s="50"/>
      <c r="L1360" s="50"/>
      <c r="M1360" s="50" t="s">
        <v>8734</v>
      </c>
      <c r="N1360" s="50"/>
      <c r="O1360" s="53" t="s">
        <v>60</v>
      </c>
      <c r="P1360" s="55" t="s">
        <v>354</v>
      </c>
      <c r="Q1360" s="50">
        <v>88.0</v>
      </c>
      <c r="R1360" s="50">
        <v>65.0</v>
      </c>
      <c r="S1360" s="50"/>
      <c r="T1360" s="56" t="s">
        <v>8735</v>
      </c>
      <c r="U1360" s="53" t="s">
        <v>1313</v>
      </c>
    </row>
    <row r="1361">
      <c r="A1361" s="54" t="s">
        <v>8736</v>
      </c>
      <c r="B1361" s="50" t="s">
        <v>8737</v>
      </c>
      <c r="C1361" s="51" t="s">
        <v>1307</v>
      </c>
      <c r="D1361" s="51"/>
      <c r="E1361" s="51"/>
      <c r="F1361" s="51"/>
      <c r="G1361" s="50" t="s">
        <v>8738</v>
      </c>
      <c r="H1361" s="52">
        <v>44683.341828703706</v>
      </c>
      <c r="I1361" s="50"/>
      <c r="J1361" s="50"/>
      <c r="K1361" s="50"/>
      <c r="L1361" s="50"/>
      <c r="M1361" s="50" t="s">
        <v>8739</v>
      </c>
      <c r="N1361" s="50"/>
      <c r="O1361" s="53" t="s">
        <v>70</v>
      </c>
      <c r="P1361" s="55" t="s">
        <v>8740</v>
      </c>
      <c r="Q1361" s="50">
        <v>205.0</v>
      </c>
      <c r="R1361" s="50">
        <v>452.0</v>
      </c>
      <c r="S1361" s="50" t="s">
        <v>8741</v>
      </c>
      <c r="T1361" s="56" t="s">
        <v>8742</v>
      </c>
      <c r="U1361" s="53" t="s">
        <v>1313</v>
      </c>
    </row>
    <row r="1362">
      <c r="A1362" s="54" t="s">
        <v>8743</v>
      </c>
      <c r="B1362" s="50" t="s">
        <v>8744</v>
      </c>
      <c r="C1362" s="51" t="s">
        <v>367</v>
      </c>
      <c r="D1362" s="51"/>
      <c r="E1362" s="51"/>
      <c r="F1362" s="51"/>
      <c r="G1362" s="50" t="s">
        <v>8745</v>
      </c>
      <c r="H1362" s="52">
        <v>44683.341469907406</v>
      </c>
      <c r="I1362" s="50"/>
      <c r="J1362" s="50"/>
      <c r="K1362" s="50"/>
      <c r="L1362" s="50"/>
      <c r="M1362" s="50" t="s">
        <v>8746</v>
      </c>
      <c r="N1362" s="50"/>
      <c r="O1362" s="53" t="s">
        <v>92</v>
      </c>
      <c r="P1362" s="55" t="s">
        <v>8747</v>
      </c>
      <c r="Q1362" s="50">
        <v>763.0</v>
      </c>
      <c r="R1362" s="50">
        <v>499.0</v>
      </c>
      <c r="S1362" s="50" t="s">
        <v>4376</v>
      </c>
      <c r="T1362" s="56" t="s">
        <v>8748</v>
      </c>
      <c r="U1362" s="53" t="s">
        <v>370</v>
      </c>
    </row>
    <row r="1363">
      <c r="A1363" s="54" t="s">
        <v>8749</v>
      </c>
      <c r="B1363" s="50" t="s">
        <v>8750</v>
      </c>
      <c r="C1363" s="51" t="s">
        <v>687</v>
      </c>
      <c r="D1363" s="51"/>
      <c r="E1363" s="51"/>
      <c r="F1363" s="51"/>
      <c r="G1363" s="50" t="s">
        <v>8751</v>
      </c>
      <c r="H1363" s="52">
        <v>44683.34142361111</v>
      </c>
      <c r="I1363" s="50"/>
      <c r="J1363" s="50"/>
      <c r="K1363" s="50"/>
      <c r="L1363" s="50"/>
      <c r="M1363" s="50" t="s">
        <v>8752</v>
      </c>
      <c r="N1363" s="50"/>
      <c r="O1363" s="53" t="s">
        <v>60</v>
      </c>
      <c r="P1363" s="55" t="s">
        <v>354</v>
      </c>
      <c r="Q1363" s="50">
        <v>54.0</v>
      </c>
      <c r="R1363" s="50">
        <v>226.0</v>
      </c>
      <c r="S1363" s="50"/>
      <c r="T1363" s="56" t="s">
        <v>8753</v>
      </c>
      <c r="U1363" s="53" t="s">
        <v>691</v>
      </c>
    </row>
    <row r="1364">
      <c r="A1364" s="54" t="s">
        <v>8754</v>
      </c>
      <c r="B1364" s="50" t="s">
        <v>8755</v>
      </c>
      <c r="C1364" s="51" t="s">
        <v>367</v>
      </c>
      <c r="D1364" s="51"/>
      <c r="E1364" s="51"/>
      <c r="F1364" s="51"/>
      <c r="G1364" s="50" t="s">
        <v>8756</v>
      </c>
      <c r="H1364" s="52">
        <v>44683.341261574074</v>
      </c>
      <c r="I1364" s="50"/>
      <c r="J1364" s="50"/>
      <c r="K1364" s="50"/>
      <c r="L1364" s="50"/>
      <c r="M1364" s="50" t="s">
        <v>8757</v>
      </c>
      <c r="N1364" s="50"/>
      <c r="O1364" s="53" t="s">
        <v>70</v>
      </c>
      <c r="P1364" s="55" t="s">
        <v>8758</v>
      </c>
      <c r="Q1364" s="50">
        <v>371.0</v>
      </c>
      <c r="R1364" s="50">
        <v>1420.0</v>
      </c>
      <c r="S1364" s="50" t="s">
        <v>8759</v>
      </c>
      <c r="T1364" s="56" t="s">
        <v>8760</v>
      </c>
      <c r="U1364" s="53" t="s">
        <v>370</v>
      </c>
    </row>
    <row r="1365">
      <c r="A1365" s="54" t="s">
        <v>8761</v>
      </c>
      <c r="B1365" s="50" t="s">
        <v>8762</v>
      </c>
      <c r="C1365" s="51" t="s">
        <v>8763</v>
      </c>
      <c r="D1365" s="51"/>
      <c r="E1365" s="51"/>
      <c r="F1365" s="51"/>
      <c r="G1365" s="50" t="s">
        <v>8764</v>
      </c>
      <c r="H1365" s="52">
        <v>44683.34125</v>
      </c>
      <c r="I1365" s="50"/>
      <c r="J1365" s="50"/>
      <c r="K1365" s="50" t="s">
        <v>8765</v>
      </c>
      <c r="L1365" s="50" t="s">
        <v>8766</v>
      </c>
      <c r="M1365" s="50" t="s">
        <v>8767</v>
      </c>
      <c r="N1365" s="50" t="s">
        <v>8768</v>
      </c>
      <c r="O1365" s="53" t="s">
        <v>70</v>
      </c>
      <c r="P1365" s="55" t="s">
        <v>8769</v>
      </c>
      <c r="Q1365" s="50">
        <v>2794.0</v>
      </c>
      <c r="R1365" s="50">
        <v>5001.0</v>
      </c>
      <c r="S1365" s="50" t="s">
        <v>1153</v>
      </c>
      <c r="T1365" s="56" t="s">
        <v>8770</v>
      </c>
      <c r="U1365" s="53" t="s">
        <v>8771</v>
      </c>
    </row>
    <row r="1366">
      <c r="A1366" s="54" t="s">
        <v>8772</v>
      </c>
      <c r="B1366" s="50" t="s">
        <v>8617</v>
      </c>
      <c r="C1366" s="51" t="s">
        <v>8773</v>
      </c>
      <c r="D1366" s="51"/>
      <c r="E1366" s="51"/>
      <c r="F1366" s="51"/>
      <c r="G1366" s="50" t="s">
        <v>8764</v>
      </c>
      <c r="H1366" s="52">
        <v>44683.34125</v>
      </c>
      <c r="I1366" s="50"/>
      <c r="J1366" s="50"/>
      <c r="K1366" s="50" t="s">
        <v>8774</v>
      </c>
      <c r="L1366" s="50" t="s">
        <v>8775</v>
      </c>
      <c r="M1366" s="50" t="s">
        <v>8620</v>
      </c>
      <c r="N1366" s="50"/>
      <c r="O1366" s="53" t="s">
        <v>60</v>
      </c>
      <c r="P1366" s="55" t="s">
        <v>8621</v>
      </c>
      <c r="Q1366" s="50">
        <v>1615.0</v>
      </c>
      <c r="R1366" s="50">
        <v>1548.0</v>
      </c>
      <c r="S1366" s="50" t="s">
        <v>129</v>
      </c>
      <c r="T1366" s="56" t="s">
        <v>8776</v>
      </c>
      <c r="U1366" s="53" t="s">
        <v>8777</v>
      </c>
    </row>
    <row r="1367">
      <c r="A1367" s="54" t="s">
        <v>8778</v>
      </c>
      <c r="B1367" s="50" t="s">
        <v>8779</v>
      </c>
      <c r="C1367" s="51" t="s">
        <v>367</v>
      </c>
      <c r="D1367" s="51"/>
      <c r="E1367" s="51"/>
      <c r="F1367" s="51"/>
      <c r="G1367" s="50" t="s">
        <v>8780</v>
      </c>
      <c r="H1367" s="52">
        <v>44683.34105324074</v>
      </c>
      <c r="I1367" s="50"/>
      <c r="J1367" s="50"/>
      <c r="K1367" s="50"/>
      <c r="L1367" s="50"/>
      <c r="M1367" s="50" t="s">
        <v>8781</v>
      </c>
      <c r="N1367" s="50"/>
      <c r="O1367" s="53" t="s">
        <v>70</v>
      </c>
      <c r="P1367" s="55" t="s">
        <v>8782</v>
      </c>
      <c r="Q1367" s="50">
        <v>588.0</v>
      </c>
      <c r="R1367" s="50">
        <v>597.0</v>
      </c>
      <c r="S1367" s="50"/>
      <c r="T1367" s="56" t="s">
        <v>8783</v>
      </c>
      <c r="U1367" s="53" t="s">
        <v>370</v>
      </c>
    </row>
    <row r="1368">
      <c r="A1368" s="54" t="s">
        <v>8784</v>
      </c>
      <c r="B1368" s="50" t="s">
        <v>8785</v>
      </c>
      <c r="C1368" s="51" t="s">
        <v>8786</v>
      </c>
      <c r="D1368" s="51"/>
      <c r="E1368" s="51"/>
      <c r="F1368" s="51"/>
      <c r="G1368" s="50" t="s">
        <v>8787</v>
      </c>
      <c r="H1368" s="52">
        <v>44683.340960648144</v>
      </c>
      <c r="I1368" s="50"/>
      <c r="J1368" s="50"/>
      <c r="K1368" s="50" t="s">
        <v>8788</v>
      </c>
      <c r="L1368" s="50" t="s">
        <v>8789</v>
      </c>
      <c r="M1368" s="50" t="s">
        <v>8790</v>
      </c>
      <c r="N1368" s="50"/>
      <c r="O1368" s="53" t="s">
        <v>70</v>
      </c>
      <c r="P1368" s="55" t="s">
        <v>8791</v>
      </c>
      <c r="Q1368" s="50">
        <v>449.0</v>
      </c>
      <c r="R1368" s="50">
        <v>857.0</v>
      </c>
      <c r="S1368" s="50" t="s">
        <v>8792</v>
      </c>
      <c r="T1368" s="56" t="s">
        <v>8793</v>
      </c>
      <c r="U1368" s="53" t="s">
        <v>8794</v>
      </c>
    </row>
    <row r="1369">
      <c r="A1369" s="54" t="s">
        <v>8795</v>
      </c>
      <c r="B1369" s="50" t="s">
        <v>8796</v>
      </c>
      <c r="C1369" s="51" t="s">
        <v>367</v>
      </c>
      <c r="D1369" s="51"/>
      <c r="E1369" s="51"/>
      <c r="F1369" s="51"/>
      <c r="G1369" s="50" t="s">
        <v>8797</v>
      </c>
      <c r="H1369" s="52">
        <v>44683.34061342593</v>
      </c>
      <c r="I1369" s="50"/>
      <c r="J1369" s="50"/>
      <c r="K1369" s="50"/>
      <c r="L1369" s="50"/>
      <c r="M1369" s="50" t="s">
        <v>8798</v>
      </c>
      <c r="N1369" s="50"/>
      <c r="O1369" s="53" t="s">
        <v>70</v>
      </c>
      <c r="P1369" s="55" t="s">
        <v>8799</v>
      </c>
      <c r="Q1369" s="50">
        <v>774.0</v>
      </c>
      <c r="R1369" s="50">
        <v>881.0</v>
      </c>
      <c r="S1369" s="50"/>
      <c r="T1369" s="56" t="s">
        <v>8800</v>
      </c>
      <c r="U1369" s="53" t="s">
        <v>370</v>
      </c>
    </row>
    <row r="1370">
      <c r="A1370" s="54" t="s">
        <v>8801</v>
      </c>
      <c r="B1370" s="50" t="s">
        <v>8802</v>
      </c>
      <c r="C1370" s="51" t="s">
        <v>855</v>
      </c>
      <c r="D1370" s="51"/>
      <c r="E1370" s="51"/>
      <c r="F1370" s="51"/>
      <c r="G1370" s="50" t="s">
        <v>8803</v>
      </c>
      <c r="H1370" s="52">
        <v>44683.340590277774</v>
      </c>
      <c r="I1370" s="50"/>
      <c r="J1370" s="50"/>
      <c r="K1370" s="50"/>
      <c r="L1370" s="50"/>
      <c r="M1370" s="50" t="s">
        <v>8804</v>
      </c>
      <c r="N1370" s="50"/>
      <c r="O1370" s="53" t="s">
        <v>70</v>
      </c>
      <c r="P1370" s="55" t="s">
        <v>8805</v>
      </c>
      <c r="Q1370" s="50">
        <v>117.0</v>
      </c>
      <c r="R1370" s="50">
        <v>1273.0</v>
      </c>
      <c r="S1370" s="50"/>
      <c r="T1370" s="56" t="s">
        <v>8806</v>
      </c>
      <c r="U1370" s="53" t="s">
        <v>861</v>
      </c>
    </row>
    <row r="1371">
      <c r="A1371" s="54" t="s">
        <v>8807</v>
      </c>
      <c r="B1371" s="50" t="s">
        <v>8808</v>
      </c>
      <c r="C1371" s="51" t="s">
        <v>687</v>
      </c>
      <c r="D1371" s="51"/>
      <c r="E1371" s="51"/>
      <c r="F1371" s="51"/>
      <c r="G1371" s="50" t="s">
        <v>8809</v>
      </c>
      <c r="H1371" s="52">
        <v>44683.340567129635</v>
      </c>
      <c r="I1371" s="50"/>
      <c r="J1371" s="50"/>
      <c r="K1371" s="50"/>
      <c r="L1371" s="50"/>
      <c r="M1371" s="50" t="s">
        <v>8810</v>
      </c>
      <c r="N1371" s="50"/>
      <c r="O1371" s="53" t="s">
        <v>70</v>
      </c>
      <c r="P1371" s="55" t="s">
        <v>8811</v>
      </c>
      <c r="Q1371" s="50">
        <v>1173.0</v>
      </c>
      <c r="R1371" s="50">
        <v>1203.0</v>
      </c>
      <c r="S1371" s="50"/>
      <c r="T1371" s="56" t="s">
        <v>8812</v>
      </c>
      <c r="U1371" s="53" t="s">
        <v>691</v>
      </c>
    </row>
    <row r="1372">
      <c r="A1372" s="54" t="s">
        <v>8813</v>
      </c>
      <c r="B1372" s="50" t="s">
        <v>8814</v>
      </c>
      <c r="C1372" s="51" t="s">
        <v>316</v>
      </c>
      <c r="D1372" s="51"/>
      <c r="E1372" s="51"/>
      <c r="F1372" s="51"/>
      <c r="G1372" s="50" t="s">
        <v>8815</v>
      </c>
      <c r="H1372" s="52">
        <v>44683.34049768519</v>
      </c>
      <c r="I1372" s="50"/>
      <c r="J1372" s="50"/>
      <c r="K1372" s="50"/>
      <c r="L1372" s="50"/>
      <c r="M1372" s="50" t="s">
        <v>8816</v>
      </c>
      <c r="N1372" s="50"/>
      <c r="O1372" s="53" t="s">
        <v>60</v>
      </c>
      <c r="P1372" s="55" t="s">
        <v>8817</v>
      </c>
      <c r="Q1372" s="50">
        <v>6.0</v>
      </c>
      <c r="R1372" s="50">
        <v>23.0</v>
      </c>
      <c r="S1372" s="50" t="s">
        <v>8818</v>
      </c>
      <c r="T1372" s="56" t="s">
        <v>8819</v>
      </c>
      <c r="U1372" s="53" t="s">
        <v>322</v>
      </c>
    </row>
    <row r="1373">
      <c r="A1373" s="54" t="s">
        <v>8820</v>
      </c>
      <c r="B1373" s="50" t="s">
        <v>8814</v>
      </c>
      <c r="C1373" s="51" t="s">
        <v>329</v>
      </c>
      <c r="D1373" s="51"/>
      <c r="E1373" s="51"/>
      <c r="F1373" s="51"/>
      <c r="G1373" s="50" t="s">
        <v>8821</v>
      </c>
      <c r="H1373" s="52">
        <v>44683.340370370366</v>
      </c>
      <c r="I1373" s="50"/>
      <c r="J1373" s="50"/>
      <c r="K1373" s="50"/>
      <c r="L1373" s="50"/>
      <c r="M1373" s="50" t="s">
        <v>8816</v>
      </c>
      <c r="N1373" s="50"/>
      <c r="O1373" s="53" t="s">
        <v>60</v>
      </c>
      <c r="P1373" s="55" t="s">
        <v>8817</v>
      </c>
      <c r="Q1373" s="50">
        <v>6.0</v>
      </c>
      <c r="R1373" s="50">
        <v>23.0</v>
      </c>
      <c r="S1373" s="50" t="s">
        <v>8818</v>
      </c>
      <c r="T1373" s="56" t="s">
        <v>8822</v>
      </c>
      <c r="U1373" s="53" t="s">
        <v>332</v>
      </c>
    </row>
    <row r="1374">
      <c r="A1374" s="54" t="s">
        <v>8823</v>
      </c>
      <c r="B1374" s="50" t="s">
        <v>8824</v>
      </c>
      <c r="C1374" s="51" t="s">
        <v>316</v>
      </c>
      <c r="D1374" s="51"/>
      <c r="E1374" s="51"/>
      <c r="F1374" s="51"/>
      <c r="G1374" s="50" t="s">
        <v>8825</v>
      </c>
      <c r="H1374" s="52">
        <v>44683.34032407407</v>
      </c>
      <c r="I1374" s="50"/>
      <c r="J1374" s="50"/>
      <c r="K1374" s="50"/>
      <c r="L1374" s="50"/>
      <c r="M1374" s="50" t="s">
        <v>8826</v>
      </c>
      <c r="N1374" s="50"/>
      <c r="O1374" s="53" t="s">
        <v>70</v>
      </c>
      <c r="P1374" s="55" t="s">
        <v>8827</v>
      </c>
      <c r="Q1374" s="50">
        <v>524.0</v>
      </c>
      <c r="R1374" s="50">
        <v>248.0</v>
      </c>
      <c r="S1374" s="50"/>
      <c r="T1374" s="56" t="s">
        <v>8828</v>
      </c>
      <c r="U1374" s="53" t="s">
        <v>322</v>
      </c>
    </row>
    <row r="1375">
      <c r="A1375" s="54" t="s">
        <v>8829</v>
      </c>
      <c r="B1375" s="50" t="s">
        <v>8824</v>
      </c>
      <c r="C1375" s="51" t="s">
        <v>329</v>
      </c>
      <c r="D1375" s="51"/>
      <c r="E1375" s="51"/>
      <c r="F1375" s="51"/>
      <c r="G1375" s="50" t="s">
        <v>8830</v>
      </c>
      <c r="H1375" s="52">
        <v>44683.34028935185</v>
      </c>
      <c r="I1375" s="50"/>
      <c r="J1375" s="50"/>
      <c r="K1375" s="50"/>
      <c r="L1375" s="50"/>
      <c r="M1375" s="50" t="s">
        <v>8826</v>
      </c>
      <c r="N1375" s="50"/>
      <c r="O1375" s="53" t="s">
        <v>70</v>
      </c>
      <c r="P1375" s="55" t="s">
        <v>8827</v>
      </c>
      <c r="Q1375" s="50">
        <v>524.0</v>
      </c>
      <c r="R1375" s="50">
        <v>248.0</v>
      </c>
      <c r="S1375" s="50"/>
      <c r="T1375" s="56" t="s">
        <v>8831</v>
      </c>
      <c r="U1375" s="53" t="s">
        <v>332</v>
      </c>
    </row>
    <row r="1376">
      <c r="A1376" s="54" t="s">
        <v>8832</v>
      </c>
      <c r="B1376" s="50" t="s">
        <v>8833</v>
      </c>
      <c r="C1376" s="51" t="s">
        <v>1307</v>
      </c>
      <c r="D1376" s="51"/>
      <c r="E1376" s="51"/>
      <c r="F1376" s="51"/>
      <c r="G1376" s="50" t="s">
        <v>8834</v>
      </c>
      <c r="H1376" s="52">
        <v>44683.340266203704</v>
      </c>
      <c r="I1376" s="50"/>
      <c r="J1376" s="50"/>
      <c r="K1376" s="50"/>
      <c r="L1376" s="50"/>
      <c r="M1376" s="50" t="s">
        <v>8835</v>
      </c>
      <c r="N1376" s="50"/>
      <c r="O1376" s="53" t="s">
        <v>217</v>
      </c>
      <c r="P1376" s="55" t="s">
        <v>8836</v>
      </c>
      <c r="Q1376" s="50">
        <v>135.0</v>
      </c>
      <c r="R1376" s="50">
        <v>133.0</v>
      </c>
      <c r="S1376" s="50" t="s">
        <v>8837</v>
      </c>
      <c r="T1376" s="56" t="s">
        <v>8838</v>
      </c>
      <c r="U1376" s="53" t="s">
        <v>1313</v>
      </c>
    </row>
    <row r="1377">
      <c r="A1377" s="54" t="s">
        <v>8839</v>
      </c>
      <c r="B1377" s="50" t="s">
        <v>8824</v>
      </c>
      <c r="C1377" s="51" t="s">
        <v>367</v>
      </c>
      <c r="D1377" s="51"/>
      <c r="E1377" s="51"/>
      <c r="F1377" s="51"/>
      <c r="G1377" s="50" t="s">
        <v>8840</v>
      </c>
      <c r="H1377" s="52">
        <v>44683.34024305556</v>
      </c>
      <c r="I1377" s="50"/>
      <c r="J1377" s="50"/>
      <c r="K1377" s="50"/>
      <c r="L1377" s="50"/>
      <c r="M1377" s="50" t="s">
        <v>8826</v>
      </c>
      <c r="N1377" s="50"/>
      <c r="O1377" s="53" t="s">
        <v>70</v>
      </c>
      <c r="P1377" s="55" t="s">
        <v>8827</v>
      </c>
      <c r="Q1377" s="50">
        <v>524.0</v>
      </c>
      <c r="R1377" s="50">
        <v>248.0</v>
      </c>
      <c r="S1377" s="50"/>
      <c r="T1377" s="56" t="s">
        <v>8841</v>
      </c>
      <c r="U1377" s="53" t="s">
        <v>370</v>
      </c>
    </row>
    <row r="1378">
      <c r="A1378" s="54" t="s">
        <v>8842</v>
      </c>
      <c r="B1378" s="50" t="s">
        <v>8814</v>
      </c>
      <c r="C1378" s="51" t="s">
        <v>367</v>
      </c>
      <c r="D1378" s="51"/>
      <c r="E1378" s="51"/>
      <c r="F1378" s="51"/>
      <c r="G1378" s="50" t="s">
        <v>8843</v>
      </c>
      <c r="H1378" s="52">
        <v>44683.34019675926</v>
      </c>
      <c r="I1378" s="50"/>
      <c r="J1378" s="50"/>
      <c r="K1378" s="50"/>
      <c r="L1378" s="50"/>
      <c r="M1378" s="50" t="s">
        <v>8816</v>
      </c>
      <c r="N1378" s="50"/>
      <c r="O1378" s="53" t="s">
        <v>60</v>
      </c>
      <c r="P1378" s="55" t="s">
        <v>8817</v>
      </c>
      <c r="Q1378" s="50">
        <v>6.0</v>
      </c>
      <c r="R1378" s="50">
        <v>23.0</v>
      </c>
      <c r="S1378" s="50" t="s">
        <v>8818</v>
      </c>
      <c r="T1378" s="56" t="s">
        <v>8844</v>
      </c>
      <c r="U1378" s="53" t="s">
        <v>370</v>
      </c>
    </row>
    <row r="1379">
      <c r="A1379" s="54" t="s">
        <v>8845</v>
      </c>
      <c r="B1379" s="50" t="s">
        <v>8846</v>
      </c>
      <c r="C1379" s="51" t="s">
        <v>8847</v>
      </c>
      <c r="D1379" s="51"/>
      <c r="E1379" s="51"/>
      <c r="F1379" s="51"/>
      <c r="G1379" s="50" t="s">
        <v>8848</v>
      </c>
      <c r="H1379" s="52">
        <v>44683.34015046296</v>
      </c>
      <c r="I1379" s="50"/>
      <c r="J1379" s="50"/>
      <c r="K1379" s="50"/>
      <c r="L1379" s="50"/>
      <c r="M1379" s="50" t="s">
        <v>8849</v>
      </c>
      <c r="N1379" s="50"/>
      <c r="O1379" s="53" t="s">
        <v>70</v>
      </c>
      <c r="P1379" s="55" t="s">
        <v>354</v>
      </c>
      <c r="Q1379" s="50">
        <v>164.0</v>
      </c>
      <c r="R1379" s="50">
        <v>357.0</v>
      </c>
      <c r="S1379" s="50"/>
      <c r="T1379" s="56" t="s">
        <v>8850</v>
      </c>
      <c r="U1379" s="53" t="s">
        <v>8851</v>
      </c>
    </row>
    <row r="1380">
      <c r="A1380" s="54" t="s">
        <v>8852</v>
      </c>
      <c r="B1380" s="50" t="s">
        <v>1944</v>
      </c>
      <c r="C1380" s="51" t="s">
        <v>8853</v>
      </c>
      <c r="D1380" s="51"/>
      <c r="E1380" s="51"/>
      <c r="F1380" s="51"/>
      <c r="G1380" s="50" t="s">
        <v>8854</v>
      </c>
      <c r="H1380" s="52">
        <v>44683.34001157407</v>
      </c>
      <c r="I1380" s="50"/>
      <c r="J1380" s="50"/>
      <c r="K1380" s="50" t="s">
        <v>4436</v>
      </c>
      <c r="L1380" s="50" t="s">
        <v>4437</v>
      </c>
      <c r="M1380" s="50" t="s">
        <v>1949</v>
      </c>
      <c r="N1380" s="50" t="s">
        <v>4439</v>
      </c>
      <c r="O1380" s="53" t="s">
        <v>92</v>
      </c>
      <c r="P1380" s="55" t="s">
        <v>1951</v>
      </c>
      <c r="Q1380" s="50">
        <v>141.0</v>
      </c>
      <c r="R1380" s="50">
        <v>198.0</v>
      </c>
      <c r="S1380" s="50"/>
      <c r="T1380" s="56" t="s">
        <v>8855</v>
      </c>
      <c r="U1380" s="53" t="s">
        <v>8856</v>
      </c>
    </row>
    <row r="1381">
      <c r="A1381" s="54" t="s">
        <v>8857</v>
      </c>
      <c r="B1381" s="50" t="s">
        <v>8858</v>
      </c>
      <c r="C1381" s="51" t="s">
        <v>316</v>
      </c>
      <c r="D1381" s="51"/>
      <c r="E1381" s="51"/>
      <c r="F1381" s="51"/>
      <c r="G1381" s="50" t="s">
        <v>8859</v>
      </c>
      <c r="H1381" s="52">
        <v>44683.33993055555</v>
      </c>
      <c r="I1381" s="50"/>
      <c r="J1381" s="50"/>
      <c r="K1381" s="50"/>
      <c r="L1381" s="50"/>
      <c r="M1381" s="50" t="s">
        <v>8860</v>
      </c>
      <c r="N1381" s="50"/>
      <c r="O1381" s="53" t="s">
        <v>60</v>
      </c>
      <c r="P1381" s="55" t="s">
        <v>8861</v>
      </c>
      <c r="Q1381" s="50">
        <v>3422.0</v>
      </c>
      <c r="R1381" s="50">
        <v>4847.0</v>
      </c>
      <c r="S1381" s="50"/>
      <c r="T1381" s="56" t="s">
        <v>8862</v>
      </c>
      <c r="U1381" s="53" t="s">
        <v>322</v>
      </c>
    </row>
    <row r="1382">
      <c r="A1382" s="54" t="s">
        <v>8863</v>
      </c>
      <c r="B1382" s="50" t="s">
        <v>8864</v>
      </c>
      <c r="C1382" s="51" t="s">
        <v>367</v>
      </c>
      <c r="D1382" s="51"/>
      <c r="E1382" s="51"/>
      <c r="F1382" s="51"/>
      <c r="G1382" s="50" t="s">
        <v>8859</v>
      </c>
      <c r="H1382" s="52">
        <v>44683.33993055555</v>
      </c>
      <c r="I1382" s="50"/>
      <c r="J1382" s="50"/>
      <c r="K1382" s="50"/>
      <c r="L1382" s="50"/>
      <c r="M1382" s="50" t="s">
        <v>8865</v>
      </c>
      <c r="N1382" s="50"/>
      <c r="O1382" s="53" t="s">
        <v>70</v>
      </c>
      <c r="P1382" s="55" t="s">
        <v>8866</v>
      </c>
      <c r="Q1382" s="50">
        <v>153.0</v>
      </c>
      <c r="R1382" s="50">
        <v>87.0</v>
      </c>
      <c r="S1382" s="50" t="s">
        <v>8867</v>
      </c>
      <c r="T1382" s="56" t="s">
        <v>8868</v>
      </c>
      <c r="U1382" s="53" t="s">
        <v>370</v>
      </c>
    </row>
    <row r="1383">
      <c r="A1383" s="54" t="s">
        <v>8869</v>
      </c>
      <c r="B1383" s="50" t="s">
        <v>8870</v>
      </c>
      <c r="C1383" s="51" t="s">
        <v>367</v>
      </c>
      <c r="D1383" s="51"/>
      <c r="E1383" s="51"/>
      <c r="F1383" s="51"/>
      <c r="G1383" s="50" t="s">
        <v>8871</v>
      </c>
      <c r="H1383" s="52">
        <v>44683.339594907404</v>
      </c>
      <c r="I1383" s="50"/>
      <c r="J1383" s="50"/>
      <c r="K1383" s="50"/>
      <c r="L1383" s="50"/>
      <c r="M1383" s="50" t="s">
        <v>8872</v>
      </c>
      <c r="N1383" s="50"/>
      <c r="O1383" s="53" t="s">
        <v>70</v>
      </c>
      <c r="P1383" s="55" t="s">
        <v>8873</v>
      </c>
      <c r="Q1383" s="50">
        <v>334.0</v>
      </c>
      <c r="R1383" s="50">
        <v>1721.0</v>
      </c>
      <c r="S1383" s="50" t="s">
        <v>8874</v>
      </c>
      <c r="T1383" s="56" t="s">
        <v>8875</v>
      </c>
      <c r="U1383" s="53" t="s">
        <v>370</v>
      </c>
    </row>
    <row r="1384">
      <c r="A1384" s="54" t="s">
        <v>8876</v>
      </c>
      <c r="B1384" s="50" t="s">
        <v>8003</v>
      </c>
      <c r="C1384" s="51" t="s">
        <v>367</v>
      </c>
      <c r="D1384" s="51"/>
      <c r="E1384" s="51"/>
      <c r="F1384" s="51"/>
      <c r="G1384" s="50" t="s">
        <v>8877</v>
      </c>
      <c r="H1384" s="52">
        <v>44683.33954861111</v>
      </c>
      <c r="I1384" s="50"/>
      <c r="J1384" s="50"/>
      <c r="K1384" s="50"/>
      <c r="L1384" s="50"/>
      <c r="M1384" s="50" t="s">
        <v>8006</v>
      </c>
      <c r="N1384" s="50"/>
      <c r="O1384" s="53" t="s">
        <v>70</v>
      </c>
      <c r="P1384" s="55" t="s">
        <v>8007</v>
      </c>
      <c r="Q1384" s="50">
        <v>81.0</v>
      </c>
      <c r="R1384" s="50">
        <v>49.0</v>
      </c>
      <c r="S1384" s="50"/>
      <c r="T1384" s="56" t="s">
        <v>8878</v>
      </c>
      <c r="U1384" s="53" t="s">
        <v>370</v>
      </c>
    </row>
    <row r="1385">
      <c r="A1385" s="54" t="s">
        <v>8879</v>
      </c>
      <c r="B1385" s="50" t="s">
        <v>8880</v>
      </c>
      <c r="C1385" s="51" t="s">
        <v>8881</v>
      </c>
      <c r="D1385" s="51"/>
      <c r="E1385" s="51"/>
      <c r="F1385" s="51"/>
      <c r="G1385" s="50" t="s">
        <v>8882</v>
      </c>
      <c r="H1385" s="52">
        <v>44683.339479166665</v>
      </c>
      <c r="I1385" s="50"/>
      <c r="J1385" s="50"/>
      <c r="K1385" s="50"/>
      <c r="L1385" s="50"/>
      <c r="M1385" s="50" t="s">
        <v>8883</v>
      </c>
      <c r="N1385" s="50"/>
      <c r="O1385" s="53" t="s">
        <v>92</v>
      </c>
      <c r="P1385" s="55" t="s">
        <v>8884</v>
      </c>
      <c r="Q1385" s="50">
        <v>1451.0</v>
      </c>
      <c r="R1385" s="50">
        <v>864.0</v>
      </c>
      <c r="S1385" s="50" t="s">
        <v>1132</v>
      </c>
      <c r="T1385" s="56" t="s">
        <v>8885</v>
      </c>
      <c r="U1385" s="53" t="s">
        <v>8886</v>
      </c>
    </row>
    <row r="1386">
      <c r="A1386" s="54" t="s">
        <v>8887</v>
      </c>
      <c r="B1386" s="50" t="s">
        <v>8888</v>
      </c>
      <c r="C1386" s="51" t="s">
        <v>6131</v>
      </c>
      <c r="D1386" s="51"/>
      <c r="E1386" s="51"/>
      <c r="F1386" s="51"/>
      <c r="G1386" s="50" t="s">
        <v>8882</v>
      </c>
      <c r="H1386" s="52">
        <v>44683.339479166665</v>
      </c>
      <c r="I1386" s="50"/>
      <c r="J1386" s="50"/>
      <c r="K1386" s="50"/>
      <c r="L1386" s="50"/>
      <c r="M1386" s="50" t="s">
        <v>8889</v>
      </c>
      <c r="N1386" s="50"/>
      <c r="O1386" s="53" t="s">
        <v>60</v>
      </c>
      <c r="P1386" s="55" t="s">
        <v>8890</v>
      </c>
      <c r="Q1386" s="50">
        <v>10708.0</v>
      </c>
      <c r="R1386" s="50">
        <v>11601.0</v>
      </c>
      <c r="S1386" s="50"/>
      <c r="T1386" s="56" t="s">
        <v>8891</v>
      </c>
      <c r="U1386" s="53" t="s">
        <v>6136</v>
      </c>
    </row>
    <row r="1387">
      <c r="A1387" s="54" t="s">
        <v>8892</v>
      </c>
      <c r="B1387" s="50" t="s">
        <v>8893</v>
      </c>
      <c r="C1387" s="51" t="s">
        <v>8894</v>
      </c>
      <c r="D1387" s="51"/>
      <c r="E1387" s="51"/>
      <c r="F1387" s="51"/>
      <c r="G1387" s="50" t="s">
        <v>8895</v>
      </c>
      <c r="H1387" s="52">
        <v>44683.33943287037</v>
      </c>
      <c r="I1387" s="50"/>
      <c r="J1387" s="50"/>
      <c r="K1387" s="50"/>
      <c r="L1387" s="50"/>
      <c r="M1387" s="50" t="s">
        <v>8896</v>
      </c>
      <c r="N1387" s="50"/>
      <c r="O1387" s="53" t="s">
        <v>92</v>
      </c>
      <c r="P1387" s="55" t="s">
        <v>8897</v>
      </c>
      <c r="Q1387" s="50">
        <v>362.0</v>
      </c>
      <c r="R1387" s="50">
        <v>763.0</v>
      </c>
      <c r="S1387" s="50" t="s">
        <v>8898</v>
      </c>
      <c r="T1387" s="56" t="s">
        <v>8899</v>
      </c>
      <c r="U1387" s="53" t="s">
        <v>8900</v>
      </c>
    </row>
    <row r="1388">
      <c r="A1388" s="54" t="s">
        <v>8901</v>
      </c>
      <c r="B1388" s="50" t="s">
        <v>5037</v>
      </c>
      <c r="C1388" s="51" t="s">
        <v>8902</v>
      </c>
      <c r="D1388" s="51"/>
      <c r="E1388" s="51"/>
      <c r="F1388" s="51"/>
      <c r="G1388" s="50" t="s">
        <v>8903</v>
      </c>
      <c r="H1388" s="52">
        <v>44683.33907407407</v>
      </c>
      <c r="I1388" s="50"/>
      <c r="J1388" s="50"/>
      <c r="K1388" s="50"/>
      <c r="L1388" s="50"/>
      <c r="M1388" s="50" t="s">
        <v>5039</v>
      </c>
      <c r="N1388" s="50"/>
      <c r="O1388" s="53" t="s">
        <v>70</v>
      </c>
      <c r="P1388" s="55" t="s">
        <v>354</v>
      </c>
      <c r="Q1388" s="50">
        <v>103.0</v>
      </c>
      <c r="R1388" s="50">
        <v>419.0</v>
      </c>
      <c r="S1388" s="50" t="s">
        <v>3792</v>
      </c>
      <c r="T1388" s="56" t="s">
        <v>8904</v>
      </c>
      <c r="U1388" s="53" t="s">
        <v>8905</v>
      </c>
    </row>
    <row r="1389">
      <c r="A1389" s="54" t="s">
        <v>8906</v>
      </c>
      <c r="B1389" s="50" t="s">
        <v>8907</v>
      </c>
      <c r="C1389" s="51" t="s">
        <v>329</v>
      </c>
      <c r="D1389" s="51"/>
      <c r="E1389" s="51"/>
      <c r="F1389" s="51"/>
      <c r="G1389" s="50" t="s">
        <v>8908</v>
      </c>
      <c r="H1389" s="52">
        <v>44683.33899305556</v>
      </c>
      <c r="I1389" s="50"/>
      <c r="J1389" s="50"/>
      <c r="K1389" s="50"/>
      <c r="L1389" s="50"/>
      <c r="M1389" s="50" t="s">
        <v>8909</v>
      </c>
      <c r="N1389" s="50"/>
      <c r="O1389" s="53" t="s">
        <v>70</v>
      </c>
      <c r="P1389" s="55" t="s">
        <v>8910</v>
      </c>
      <c r="Q1389" s="50">
        <v>885.0</v>
      </c>
      <c r="R1389" s="50">
        <v>4405.0</v>
      </c>
      <c r="S1389" s="50"/>
      <c r="T1389" s="56" t="s">
        <v>8911</v>
      </c>
      <c r="U1389" s="53" t="s">
        <v>332</v>
      </c>
    </row>
    <row r="1390">
      <c r="A1390" s="54" t="s">
        <v>8912</v>
      </c>
      <c r="B1390" s="50" t="s">
        <v>8913</v>
      </c>
      <c r="C1390" s="51" t="s">
        <v>367</v>
      </c>
      <c r="D1390" s="51"/>
      <c r="E1390" s="51"/>
      <c r="F1390" s="51"/>
      <c r="G1390" s="50" t="s">
        <v>8914</v>
      </c>
      <c r="H1390" s="52">
        <v>44683.338958333334</v>
      </c>
      <c r="I1390" s="50"/>
      <c r="J1390" s="50"/>
      <c r="K1390" s="50"/>
      <c r="L1390" s="50"/>
      <c r="M1390" s="50" t="s">
        <v>8915</v>
      </c>
      <c r="N1390" s="50"/>
      <c r="O1390" s="53" t="s">
        <v>70</v>
      </c>
      <c r="P1390" s="55" t="s">
        <v>8916</v>
      </c>
      <c r="Q1390" s="50">
        <v>703.0</v>
      </c>
      <c r="R1390" s="50">
        <v>2452.0</v>
      </c>
      <c r="S1390" s="50" t="s">
        <v>8917</v>
      </c>
      <c r="T1390" s="56" t="s">
        <v>8918</v>
      </c>
      <c r="U1390" s="53" t="s">
        <v>370</v>
      </c>
    </row>
    <row r="1391">
      <c r="A1391" s="54" t="s">
        <v>8919</v>
      </c>
      <c r="B1391" s="50" t="s">
        <v>8920</v>
      </c>
      <c r="C1391" s="51" t="s">
        <v>8921</v>
      </c>
      <c r="D1391" s="51"/>
      <c r="E1391" s="51"/>
      <c r="F1391" s="51"/>
      <c r="G1391" s="50" t="s">
        <v>8922</v>
      </c>
      <c r="H1391" s="52">
        <v>44683.33869212963</v>
      </c>
      <c r="I1391" s="50"/>
      <c r="J1391" s="50"/>
      <c r="K1391" s="50"/>
      <c r="L1391" s="50"/>
      <c r="M1391" s="50" t="s">
        <v>8923</v>
      </c>
      <c r="N1391" s="50"/>
      <c r="O1391" s="53" t="s">
        <v>217</v>
      </c>
      <c r="P1391" s="55" t="s">
        <v>8924</v>
      </c>
      <c r="Q1391" s="50">
        <v>4333.0</v>
      </c>
      <c r="R1391" s="50">
        <v>5000.0</v>
      </c>
      <c r="S1391" s="50" t="s">
        <v>8925</v>
      </c>
      <c r="T1391" s="56" t="s">
        <v>8926</v>
      </c>
      <c r="U1391" s="53" t="s">
        <v>8927</v>
      </c>
    </row>
    <row r="1392">
      <c r="A1392" s="54" t="s">
        <v>8928</v>
      </c>
      <c r="B1392" s="50" t="s">
        <v>8929</v>
      </c>
      <c r="C1392" s="51" t="s">
        <v>316</v>
      </c>
      <c r="D1392" s="51"/>
      <c r="E1392" s="51"/>
      <c r="F1392" s="51"/>
      <c r="G1392" s="50" t="s">
        <v>8930</v>
      </c>
      <c r="H1392" s="52">
        <v>44683.33849537037</v>
      </c>
      <c r="I1392" s="50"/>
      <c r="J1392" s="50"/>
      <c r="K1392" s="50"/>
      <c r="L1392" s="50"/>
      <c r="M1392" s="50" t="s">
        <v>8931</v>
      </c>
      <c r="N1392" s="50"/>
      <c r="O1392" s="53" t="s">
        <v>92</v>
      </c>
      <c r="P1392" s="55" t="s">
        <v>354</v>
      </c>
      <c r="Q1392" s="50">
        <v>14.0</v>
      </c>
      <c r="R1392" s="50">
        <v>35.0</v>
      </c>
      <c r="S1392" s="50"/>
      <c r="T1392" s="56" t="s">
        <v>8932</v>
      </c>
      <c r="U1392" s="53" t="s">
        <v>322</v>
      </c>
    </row>
    <row r="1393">
      <c r="A1393" s="54" t="s">
        <v>8933</v>
      </c>
      <c r="B1393" s="50" t="s">
        <v>8929</v>
      </c>
      <c r="C1393" s="51" t="s">
        <v>329</v>
      </c>
      <c r="D1393" s="51"/>
      <c r="E1393" s="51"/>
      <c r="F1393" s="51"/>
      <c r="G1393" s="50" t="s">
        <v>8934</v>
      </c>
      <c r="H1393" s="52">
        <v>44683.3383912037</v>
      </c>
      <c r="I1393" s="50"/>
      <c r="J1393" s="50"/>
      <c r="K1393" s="50"/>
      <c r="L1393" s="50"/>
      <c r="M1393" s="50" t="s">
        <v>8931</v>
      </c>
      <c r="N1393" s="50"/>
      <c r="O1393" s="53" t="s">
        <v>92</v>
      </c>
      <c r="P1393" s="55" t="s">
        <v>354</v>
      </c>
      <c r="Q1393" s="50">
        <v>14.0</v>
      </c>
      <c r="R1393" s="50">
        <v>35.0</v>
      </c>
      <c r="S1393" s="50"/>
      <c r="T1393" s="56" t="s">
        <v>8935</v>
      </c>
      <c r="U1393" s="53" t="s">
        <v>332</v>
      </c>
    </row>
    <row r="1394">
      <c r="A1394" s="54" t="s">
        <v>8936</v>
      </c>
      <c r="B1394" s="50" t="s">
        <v>8937</v>
      </c>
      <c r="C1394" s="51" t="s">
        <v>363</v>
      </c>
      <c r="D1394" s="51"/>
      <c r="E1394" s="51"/>
      <c r="F1394" s="51"/>
      <c r="G1394" s="50" t="s">
        <v>8938</v>
      </c>
      <c r="H1394" s="52">
        <v>44683.33832175926</v>
      </c>
      <c r="I1394" s="50"/>
      <c r="J1394" s="50"/>
      <c r="K1394" s="50"/>
      <c r="L1394" s="50"/>
      <c r="M1394" s="50" t="s">
        <v>8939</v>
      </c>
      <c r="N1394" s="50"/>
      <c r="O1394" s="53" t="s">
        <v>70</v>
      </c>
      <c r="P1394" s="55" t="s">
        <v>8940</v>
      </c>
      <c r="Q1394" s="50">
        <v>6514.0</v>
      </c>
      <c r="R1394" s="50">
        <v>7005.0</v>
      </c>
      <c r="S1394" s="50" t="s">
        <v>219</v>
      </c>
      <c r="T1394" s="56" t="s">
        <v>8941</v>
      </c>
      <c r="U1394" s="53" t="s">
        <v>332</v>
      </c>
    </row>
    <row r="1395">
      <c r="A1395" s="54" t="s">
        <v>8942</v>
      </c>
      <c r="B1395" s="50" t="s">
        <v>8929</v>
      </c>
      <c r="C1395" s="51" t="s">
        <v>367</v>
      </c>
      <c r="D1395" s="51"/>
      <c r="E1395" s="51"/>
      <c r="F1395" s="51"/>
      <c r="G1395" s="50" t="s">
        <v>8943</v>
      </c>
      <c r="H1395" s="52">
        <v>44683.33828703704</v>
      </c>
      <c r="I1395" s="50"/>
      <c r="J1395" s="50"/>
      <c r="K1395" s="50"/>
      <c r="L1395" s="50"/>
      <c r="M1395" s="50" t="s">
        <v>8931</v>
      </c>
      <c r="N1395" s="50"/>
      <c r="O1395" s="53" t="s">
        <v>92</v>
      </c>
      <c r="P1395" s="55" t="s">
        <v>354</v>
      </c>
      <c r="Q1395" s="50">
        <v>14.0</v>
      </c>
      <c r="R1395" s="50">
        <v>35.0</v>
      </c>
      <c r="S1395" s="50"/>
      <c r="T1395" s="56" t="s">
        <v>8944</v>
      </c>
      <c r="U1395" s="53" t="s">
        <v>370</v>
      </c>
    </row>
    <row r="1396">
      <c r="A1396" s="54" t="s">
        <v>8945</v>
      </c>
      <c r="B1396" s="50" t="s">
        <v>8946</v>
      </c>
      <c r="C1396" s="51" t="s">
        <v>1402</v>
      </c>
      <c r="D1396" s="51"/>
      <c r="E1396" s="51"/>
      <c r="F1396" s="51"/>
      <c r="G1396" s="50" t="s">
        <v>8947</v>
      </c>
      <c r="H1396" s="52">
        <v>44683.33820601852</v>
      </c>
      <c r="I1396" s="50"/>
      <c r="J1396" s="50"/>
      <c r="K1396" s="50"/>
      <c r="L1396" s="50"/>
      <c r="M1396" s="50" t="s">
        <v>8948</v>
      </c>
      <c r="N1396" s="50"/>
      <c r="O1396" s="53" t="s">
        <v>60</v>
      </c>
      <c r="P1396" s="55" t="s">
        <v>8949</v>
      </c>
      <c r="Q1396" s="50">
        <v>5451.0</v>
      </c>
      <c r="R1396" s="50">
        <v>5733.0</v>
      </c>
      <c r="S1396" s="50"/>
      <c r="T1396" s="56" t="s">
        <v>8950</v>
      </c>
      <c r="U1396" s="53" t="s">
        <v>1408</v>
      </c>
    </row>
    <row r="1397">
      <c r="A1397" s="54" t="s">
        <v>8951</v>
      </c>
      <c r="B1397" s="50" t="s">
        <v>8952</v>
      </c>
      <c r="C1397" s="51" t="s">
        <v>367</v>
      </c>
      <c r="D1397" s="51"/>
      <c r="E1397" s="51"/>
      <c r="F1397" s="51"/>
      <c r="G1397" s="50" t="s">
        <v>8953</v>
      </c>
      <c r="H1397" s="52">
        <v>44683.33809027778</v>
      </c>
      <c r="I1397" s="50"/>
      <c r="J1397" s="50"/>
      <c r="K1397" s="50"/>
      <c r="L1397" s="50"/>
      <c r="M1397" s="50" t="s">
        <v>8954</v>
      </c>
      <c r="N1397" s="50"/>
      <c r="O1397" s="53" t="s">
        <v>92</v>
      </c>
      <c r="P1397" s="55" t="s">
        <v>8955</v>
      </c>
      <c r="Q1397" s="50">
        <v>3331.0</v>
      </c>
      <c r="R1397" s="50">
        <v>4998.0</v>
      </c>
      <c r="S1397" s="50" t="s">
        <v>8956</v>
      </c>
      <c r="T1397" s="56" t="s">
        <v>8957</v>
      </c>
      <c r="U1397" s="53" t="s">
        <v>370</v>
      </c>
    </row>
    <row r="1398">
      <c r="A1398" s="54" t="s">
        <v>8958</v>
      </c>
      <c r="B1398" s="50" t="s">
        <v>8959</v>
      </c>
      <c r="C1398" s="51" t="s">
        <v>5381</v>
      </c>
      <c r="D1398" s="51"/>
      <c r="E1398" s="51"/>
      <c r="F1398" s="51"/>
      <c r="G1398" s="50" t="s">
        <v>8960</v>
      </c>
      <c r="H1398" s="52">
        <v>44683.338055555556</v>
      </c>
      <c r="I1398" s="50"/>
      <c r="J1398" s="50"/>
      <c r="K1398" s="50"/>
      <c r="L1398" s="50"/>
      <c r="M1398" s="50" t="s">
        <v>8961</v>
      </c>
      <c r="N1398" s="50"/>
      <c r="O1398" s="53" t="s">
        <v>60</v>
      </c>
      <c r="P1398" s="55" t="s">
        <v>8962</v>
      </c>
      <c r="Q1398" s="50">
        <v>3847.0</v>
      </c>
      <c r="R1398" s="50">
        <v>3849.0</v>
      </c>
      <c r="S1398" s="50"/>
      <c r="T1398" s="56" t="s">
        <v>8963</v>
      </c>
      <c r="U1398" s="53" t="s">
        <v>5386</v>
      </c>
    </row>
    <row r="1399">
      <c r="A1399" s="54" t="s">
        <v>8964</v>
      </c>
      <c r="B1399" s="50" t="s">
        <v>8965</v>
      </c>
      <c r="C1399" s="51" t="s">
        <v>367</v>
      </c>
      <c r="D1399" s="51"/>
      <c r="E1399" s="51"/>
      <c r="F1399" s="51"/>
      <c r="G1399" s="50" t="s">
        <v>8966</v>
      </c>
      <c r="H1399" s="52">
        <v>44683.33803240741</v>
      </c>
      <c r="I1399" s="50"/>
      <c r="J1399" s="50"/>
      <c r="K1399" s="50"/>
      <c r="L1399" s="50"/>
      <c r="M1399" s="50" t="s">
        <v>8967</v>
      </c>
      <c r="N1399" s="50"/>
      <c r="O1399" s="53" t="s">
        <v>92</v>
      </c>
      <c r="P1399" s="55" t="s">
        <v>8968</v>
      </c>
      <c r="Q1399" s="50">
        <v>5.0</v>
      </c>
      <c r="R1399" s="50">
        <v>168.0</v>
      </c>
      <c r="S1399" s="50" t="s">
        <v>8969</v>
      </c>
      <c r="T1399" s="56" t="s">
        <v>8970</v>
      </c>
      <c r="U1399" s="53" t="s">
        <v>370</v>
      </c>
    </row>
    <row r="1400">
      <c r="A1400" s="54" t="s">
        <v>8971</v>
      </c>
      <c r="B1400" s="50" t="s">
        <v>8972</v>
      </c>
      <c r="C1400" s="51" t="s">
        <v>8973</v>
      </c>
      <c r="D1400" s="51"/>
      <c r="E1400" s="51"/>
      <c r="F1400" s="51"/>
      <c r="G1400" s="50" t="s">
        <v>8974</v>
      </c>
      <c r="H1400" s="52">
        <v>44683.337858796294</v>
      </c>
      <c r="I1400" s="50"/>
      <c r="J1400" s="50"/>
      <c r="K1400" s="50"/>
      <c r="L1400" s="50"/>
      <c r="M1400" s="50" t="s">
        <v>8975</v>
      </c>
      <c r="N1400" s="50"/>
      <c r="O1400" s="53" t="s">
        <v>70</v>
      </c>
      <c r="P1400" s="55" t="s">
        <v>8976</v>
      </c>
      <c r="Q1400" s="50">
        <v>2266.0</v>
      </c>
      <c r="R1400" s="50">
        <v>2262.0</v>
      </c>
      <c r="S1400" s="50" t="s">
        <v>8977</v>
      </c>
      <c r="T1400" s="56" t="s">
        <v>8978</v>
      </c>
      <c r="U1400" s="53" t="s">
        <v>5899</v>
      </c>
    </row>
    <row r="1401">
      <c r="A1401" s="54" t="s">
        <v>8979</v>
      </c>
      <c r="B1401" s="50" t="s">
        <v>8980</v>
      </c>
      <c r="C1401" s="51" t="s">
        <v>367</v>
      </c>
      <c r="D1401" s="51"/>
      <c r="E1401" s="51"/>
      <c r="F1401" s="51"/>
      <c r="G1401" s="50" t="s">
        <v>8981</v>
      </c>
      <c r="H1401" s="52">
        <v>44683.33765046296</v>
      </c>
      <c r="I1401" s="50"/>
      <c r="J1401" s="50"/>
      <c r="K1401" s="50"/>
      <c r="L1401" s="50"/>
      <c r="M1401" s="50" t="s">
        <v>8982</v>
      </c>
      <c r="N1401" s="50"/>
      <c r="O1401" s="53" t="s">
        <v>70</v>
      </c>
      <c r="P1401" s="55" t="s">
        <v>8983</v>
      </c>
      <c r="Q1401" s="50">
        <v>718.0</v>
      </c>
      <c r="R1401" s="50">
        <v>856.0</v>
      </c>
      <c r="S1401" s="50" t="s">
        <v>887</v>
      </c>
      <c r="T1401" s="56" t="s">
        <v>8984</v>
      </c>
      <c r="U1401" s="53" t="s">
        <v>370</v>
      </c>
    </row>
    <row r="1402">
      <c r="A1402" s="54" t="s">
        <v>8985</v>
      </c>
      <c r="B1402" s="50" t="s">
        <v>8986</v>
      </c>
      <c r="C1402" s="51" t="s">
        <v>363</v>
      </c>
      <c r="D1402" s="51"/>
      <c r="E1402" s="51"/>
      <c r="F1402" s="51"/>
      <c r="G1402" s="50" t="s">
        <v>8987</v>
      </c>
      <c r="H1402" s="52">
        <v>44683.33732638889</v>
      </c>
      <c r="I1402" s="50"/>
      <c r="J1402" s="50"/>
      <c r="K1402" s="50"/>
      <c r="L1402" s="50"/>
      <c r="M1402" s="50" t="s">
        <v>8988</v>
      </c>
      <c r="N1402" s="50"/>
      <c r="O1402" s="53" t="s">
        <v>70</v>
      </c>
      <c r="P1402" s="55" t="s">
        <v>8989</v>
      </c>
      <c r="Q1402" s="50">
        <v>728.0</v>
      </c>
      <c r="R1402" s="50">
        <v>647.0</v>
      </c>
      <c r="S1402" s="50" t="s">
        <v>8990</v>
      </c>
      <c r="T1402" s="56" t="s">
        <v>8991</v>
      </c>
      <c r="U1402" s="53" t="s">
        <v>332</v>
      </c>
    </row>
    <row r="1403">
      <c r="A1403" s="54" t="s">
        <v>8992</v>
      </c>
      <c r="B1403" s="50" t="s">
        <v>7502</v>
      </c>
      <c r="C1403" s="51" t="s">
        <v>8993</v>
      </c>
      <c r="D1403" s="51"/>
      <c r="E1403" s="51"/>
      <c r="F1403" s="51"/>
      <c r="G1403" s="50" t="s">
        <v>8994</v>
      </c>
      <c r="H1403" s="52">
        <v>44683.33726851852</v>
      </c>
      <c r="I1403" s="50"/>
      <c r="J1403" s="50"/>
      <c r="K1403" s="50"/>
      <c r="L1403" s="50"/>
      <c r="M1403" s="50" t="s">
        <v>7504</v>
      </c>
      <c r="N1403" s="50"/>
      <c r="O1403" s="53" t="s">
        <v>7505</v>
      </c>
      <c r="P1403" s="55" t="s">
        <v>7506</v>
      </c>
      <c r="Q1403" s="50">
        <v>548.0</v>
      </c>
      <c r="R1403" s="50">
        <v>59.0</v>
      </c>
      <c r="S1403" s="50" t="s">
        <v>246</v>
      </c>
      <c r="T1403" s="56" t="s">
        <v>8995</v>
      </c>
      <c r="U1403" s="53" t="s">
        <v>8996</v>
      </c>
    </row>
    <row r="1404">
      <c r="A1404" s="54" t="s">
        <v>8997</v>
      </c>
      <c r="B1404" s="50" t="s">
        <v>8998</v>
      </c>
      <c r="C1404" s="51" t="s">
        <v>8999</v>
      </c>
      <c r="D1404" s="51"/>
      <c r="E1404" s="51"/>
      <c r="F1404" s="51"/>
      <c r="G1404" s="50" t="s">
        <v>9000</v>
      </c>
      <c r="H1404" s="52">
        <v>44683.33725694445</v>
      </c>
      <c r="I1404" s="50"/>
      <c r="J1404" s="50"/>
      <c r="K1404" s="50"/>
      <c r="L1404" s="50"/>
      <c r="M1404" s="50" t="s">
        <v>9001</v>
      </c>
      <c r="N1404" s="50"/>
      <c r="O1404" s="53" t="s">
        <v>217</v>
      </c>
      <c r="P1404" s="55" t="s">
        <v>9002</v>
      </c>
      <c r="Q1404" s="50">
        <v>4259.0</v>
      </c>
      <c r="R1404" s="50">
        <v>4707.0</v>
      </c>
      <c r="S1404" s="50"/>
      <c r="T1404" s="56" t="s">
        <v>9003</v>
      </c>
      <c r="U1404" s="53" t="s">
        <v>9004</v>
      </c>
    </row>
    <row r="1405">
      <c r="A1405" s="54" t="s">
        <v>9005</v>
      </c>
      <c r="B1405" s="50" t="s">
        <v>6628</v>
      </c>
      <c r="C1405" s="51" t="s">
        <v>9006</v>
      </c>
      <c r="D1405" s="51"/>
      <c r="E1405" s="51"/>
      <c r="F1405" s="51"/>
      <c r="G1405" s="50" t="s">
        <v>9007</v>
      </c>
      <c r="H1405" s="52">
        <v>44683.33719907407</v>
      </c>
      <c r="I1405" s="50"/>
      <c r="J1405" s="50"/>
      <c r="K1405" s="50"/>
      <c r="L1405" s="50"/>
      <c r="M1405" s="50" t="s">
        <v>6631</v>
      </c>
      <c r="N1405" s="50"/>
      <c r="O1405" s="53" t="s">
        <v>60</v>
      </c>
      <c r="P1405" s="55" t="s">
        <v>6632</v>
      </c>
      <c r="Q1405" s="50">
        <v>1318.0</v>
      </c>
      <c r="R1405" s="50">
        <v>1807.0</v>
      </c>
      <c r="S1405" s="50"/>
      <c r="T1405" s="56" t="s">
        <v>9008</v>
      </c>
      <c r="U1405" s="53" t="s">
        <v>9009</v>
      </c>
    </row>
    <row r="1406">
      <c r="A1406" s="54" t="s">
        <v>9010</v>
      </c>
      <c r="B1406" s="50" t="s">
        <v>9011</v>
      </c>
      <c r="C1406" s="51" t="s">
        <v>687</v>
      </c>
      <c r="D1406" s="51"/>
      <c r="E1406" s="51"/>
      <c r="F1406" s="51"/>
      <c r="G1406" s="50" t="s">
        <v>9012</v>
      </c>
      <c r="H1406" s="52">
        <v>44683.337129629625</v>
      </c>
      <c r="I1406" s="50"/>
      <c r="J1406" s="50"/>
      <c r="K1406" s="50"/>
      <c r="L1406" s="50"/>
      <c r="M1406" s="50" t="s">
        <v>9013</v>
      </c>
      <c r="N1406" s="50"/>
      <c r="O1406" s="53" t="s">
        <v>70</v>
      </c>
      <c r="P1406" s="55" t="s">
        <v>9014</v>
      </c>
      <c r="Q1406" s="50">
        <v>3115.0</v>
      </c>
      <c r="R1406" s="50">
        <v>2812.0</v>
      </c>
      <c r="S1406" s="50" t="s">
        <v>129</v>
      </c>
      <c r="T1406" s="56" t="s">
        <v>9015</v>
      </c>
      <c r="U1406" s="53" t="s">
        <v>691</v>
      </c>
    </row>
    <row r="1407">
      <c r="A1407" s="54" t="s">
        <v>9016</v>
      </c>
      <c r="B1407" s="50" t="s">
        <v>9017</v>
      </c>
      <c r="C1407" s="51" t="s">
        <v>726</v>
      </c>
      <c r="D1407" s="51"/>
      <c r="E1407" s="51"/>
      <c r="F1407" s="51"/>
      <c r="G1407" s="50" t="s">
        <v>9018</v>
      </c>
      <c r="H1407" s="52">
        <v>44683.33699074074</v>
      </c>
      <c r="I1407" s="50"/>
      <c r="J1407" s="50"/>
      <c r="K1407" s="50"/>
      <c r="L1407" s="50"/>
      <c r="M1407" s="50" t="s">
        <v>9019</v>
      </c>
      <c r="N1407" s="50"/>
      <c r="O1407" s="53" t="s">
        <v>70</v>
      </c>
      <c r="P1407" s="55" t="s">
        <v>9020</v>
      </c>
      <c r="Q1407" s="50">
        <v>1655.0</v>
      </c>
      <c r="R1407" s="50">
        <v>2906.0</v>
      </c>
      <c r="S1407" s="50" t="s">
        <v>1311</v>
      </c>
      <c r="T1407" s="56" t="s">
        <v>9021</v>
      </c>
      <c r="U1407" s="53" t="s">
        <v>731</v>
      </c>
    </row>
    <row r="1408">
      <c r="A1408" s="54" t="s">
        <v>9022</v>
      </c>
      <c r="B1408" s="50" t="s">
        <v>9023</v>
      </c>
      <c r="C1408" s="51" t="s">
        <v>1307</v>
      </c>
      <c r="D1408" s="51"/>
      <c r="E1408" s="51"/>
      <c r="F1408" s="51"/>
      <c r="G1408" s="50" t="s">
        <v>9024</v>
      </c>
      <c r="H1408" s="52">
        <v>44683.336851851855</v>
      </c>
      <c r="I1408" s="50"/>
      <c r="J1408" s="50"/>
      <c r="K1408" s="50"/>
      <c r="L1408" s="50"/>
      <c r="M1408" s="50" t="s">
        <v>9025</v>
      </c>
      <c r="N1408" s="50"/>
      <c r="O1408" s="53" t="s">
        <v>70</v>
      </c>
      <c r="P1408" s="55" t="s">
        <v>9026</v>
      </c>
      <c r="Q1408" s="50">
        <v>399.0</v>
      </c>
      <c r="R1408" s="50">
        <v>1276.0</v>
      </c>
      <c r="S1408" s="50" t="s">
        <v>9027</v>
      </c>
      <c r="T1408" s="56" t="s">
        <v>9028</v>
      </c>
      <c r="U1408" s="53" t="s">
        <v>1313</v>
      </c>
    </row>
    <row r="1409">
      <c r="A1409" s="54" t="s">
        <v>9029</v>
      </c>
      <c r="B1409" s="50" t="s">
        <v>9030</v>
      </c>
      <c r="C1409" s="51" t="s">
        <v>367</v>
      </c>
      <c r="D1409" s="51"/>
      <c r="E1409" s="51"/>
      <c r="F1409" s="51"/>
      <c r="G1409" s="50" t="s">
        <v>9031</v>
      </c>
      <c r="H1409" s="52">
        <v>44683.33684027778</v>
      </c>
      <c r="I1409" s="50"/>
      <c r="J1409" s="50"/>
      <c r="K1409" s="50"/>
      <c r="L1409" s="50"/>
      <c r="M1409" s="50" t="s">
        <v>9032</v>
      </c>
      <c r="N1409" s="50"/>
      <c r="O1409" s="53" t="s">
        <v>70</v>
      </c>
      <c r="P1409" s="55" t="s">
        <v>9033</v>
      </c>
      <c r="Q1409" s="50">
        <v>3618.0</v>
      </c>
      <c r="R1409" s="50">
        <v>4610.0</v>
      </c>
      <c r="S1409" s="50" t="s">
        <v>9034</v>
      </c>
      <c r="T1409" s="56" t="s">
        <v>9035</v>
      </c>
      <c r="U1409" s="53" t="s">
        <v>370</v>
      </c>
    </row>
    <row r="1410">
      <c r="A1410" s="54" t="s">
        <v>9036</v>
      </c>
      <c r="B1410" s="50" t="s">
        <v>9037</v>
      </c>
      <c r="C1410" s="51" t="s">
        <v>1402</v>
      </c>
      <c r="D1410" s="51"/>
      <c r="E1410" s="51"/>
      <c r="F1410" s="51"/>
      <c r="G1410" s="50" t="s">
        <v>9038</v>
      </c>
      <c r="H1410" s="52">
        <v>44683.336805555555</v>
      </c>
      <c r="I1410" s="50"/>
      <c r="J1410" s="50"/>
      <c r="K1410" s="50"/>
      <c r="L1410" s="50"/>
      <c r="M1410" s="50" t="s">
        <v>9039</v>
      </c>
      <c r="N1410" s="50"/>
      <c r="O1410" s="53" t="s">
        <v>217</v>
      </c>
      <c r="P1410" s="55" t="s">
        <v>9040</v>
      </c>
      <c r="Q1410" s="50">
        <v>15.0</v>
      </c>
      <c r="R1410" s="50">
        <v>71.0</v>
      </c>
      <c r="S1410" s="50" t="s">
        <v>9041</v>
      </c>
      <c r="T1410" s="56" t="s">
        <v>9042</v>
      </c>
      <c r="U1410" s="53" t="s">
        <v>1408</v>
      </c>
    </row>
    <row r="1411">
      <c r="A1411" s="54" t="s">
        <v>9043</v>
      </c>
      <c r="B1411" s="50" t="s">
        <v>9044</v>
      </c>
      <c r="C1411" s="51" t="s">
        <v>316</v>
      </c>
      <c r="D1411" s="51"/>
      <c r="E1411" s="51"/>
      <c r="F1411" s="51"/>
      <c r="G1411" s="50" t="s">
        <v>9045</v>
      </c>
      <c r="H1411" s="52">
        <v>44683.336759259255</v>
      </c>
      <c r="I1411" s="50"/>
      <c r="J1411" s="50"/>
      <c r="K1411" s="50"/>
      <c r="L1411" s="50"/>
      <c r="M1411" s="50" t="s">
        <v>9046</v>
      </c>
      <c r="N1411" s="50"/>
      <c r="O1411" s="53" t="s">
        <v>70</v>
      </c>
      <c r="P1411" s="55" t="s">
        <v>9047</v>
      </c>
      <c r="Q1411" s="50">
        <v>332.0</v>
      </c>
      <c r="R1411" s="50">
        <v>1172.0</v>
      </c>
      <c r="S1411" s="50" t="s">
        <v>9048</v>
      </c>
      <c r="T1411" s="56" t="s">
        <v>9049</v>
      </c>
      <c r="U1411" s="53" t="s">
        <v>322</v>
      </c>
    </row>
    <row r="1412">
      <c r="A1412" s="54" t="s">
        <v>9050</v>
      </c>
      <c r="B1412" s="50" t="s">
        <v>9044</v>
      </c>
      <c r="C1412" s="51" t="s">
        <v>329</v>
      </c>
      <c r="D1412" s="51"/>
      <c r="E1412" s="51"/>
      <c r="F1412" s="51"/>
      <c r="G1412" s="50" t="s">
        <v>9051</v>
      </c>
      <c r="H1412" s="52">
        <v>44683.33666666667</v>
      </c>
      <c r="I1412" s="50"/>
      <c r="J1412" s="50"/>
      <c r="K1412" s="50"/>
      <c r="L1412" s="50"/>
      <c r="M1412" s="50" t="s">
        <v>9046</v>
      </c>
      <c r="N1412" s="50"/>
      <c r="O1412" s="53" t="s">
        <v>70</v>
      </c>
      <c r="P1412" s="55" t="s">
        <v>9047</v>
      </c>
      <c r="Q1412" s="50">
        <v>332.0</v>
      </c>
      <c r="R1412" s="50">
        <v>1172.0</v>
      </c>
      <c r="S1412" s="50" t="s">
        <v>9048</v>
      </c>
      <c r="T1412" s="56" t="s">
        <v>9052</v>
      </c>
      <c r="U1412" s="53" t="s">
        <v>332</v>
      </c>
    </row>
    <row r="1413">
      <c r="A1413" s="54" t="s">
        <v>9053</v>
      </c>
      <c r="B1413" s="50" t="s">
        <v>3044</v>
      </c>
      <c r="C1413" s="51" t="s">
        <v>9054</v>
      </c>
      <c r="D1413" s="51"/>
      <c r="E1413" s="51"/>
      <c r="F1413" s="51"/>
      <c r="G1413" s="50" t="s">
        <v>9055</v>
      </c>
      <c r="H1413" s="52">
        <v>44683.33662037037</v>
      </c>
      <c r="I1413" s="50"/>
      <c r="J1413" s="50"/>
      <c r="K1413" s="50" t="s">
        <v>3317</v>
      </c>
      <c r="L1413" s="50" t="s">
        <v>3318</v>
      </c>
      <c r="M1413" s="50" t="s">
        <v>3046</v>
      </c>
      <c r="N1413" s="50" t="s">
        <v>3426</v>
      </c>
      <c r="O1413" s="53" t="s">
        <v>70</v>
      </c>
      <c r="P1413" s="55" t="s">
        <v>3047</v>
      </c>
      <c r="Q1413" s="50">
        <v>502.0</v>
      </c>
      <c r="R1413" s="50">
        <v>2041.0</v>
      </c>
      <c r="S1413" s="50" t="s">
        <v>3048</v>
      </c>
      <c r="T1413" s="56" t="s">
        <v>9056</v>
      </c>
      <c r="U1413" s="53" t="s">
        <v>9057</v>
      </c>
    </row>
    <row r="1414">
      <c r="A1414" s="54" t="s">
        <v>9058</v>
      </c>
      <c r="B1414" s="50" t="s">
        <v>9044</v>
      </c>
      <c r="C1414" s="51" t="s">
        <v>367</v>
      </c>
      <c r="D1414" s="51"/>
      <c r="E1414" s="51"/>
      <c r="F1414" s="51"/>
      <c r="G1414" s="50" t="s">
        <v>9059</v>
      </c>
      <c r="H1414" s="52">
        <v>44683.33646990741</v>
      </c>
      <c r="I1414" s="50"/>
      <c r="J1414" s="50"/>
      <c r="K1414" s="50"/>
      <c r="L1414" s="50"/>
      <c r="M1414" s="50" t="s">
        <v>9046</v>
      </c>
      <c r="N1414" s="50"/>
      <c r="O1414" s="53" t="s">
        <v>70</v>
      </c>
      <c r="P1414" s="55" t="s">
        <v>9047</v>
      </c>
      <c r="Q1414" s="50">
        <v>332.0</v>
      </c>
      <c r="R1414" s="50">
        <v>1172.0</v>
      </c>
      <c r="S1414" s="50" t="s">
        <v>9048</v>
      </c>
      <c r="T1414" s="56" t="s">
        <v>9060</v>
      </c>
      <c r="U1414" s="53" t="s">
        <v>370</v>
      </c>
    </row>
    <row r="1415">
      <c r="A1415" s="54" t="s">
        <v>9061</v>
      </c>
      <c r="B1415" s="50" t="s">
        <v>9062</v>
      </c>
      <c r="C1415" s="51" t="s">
        <v>687</v>
      </c>
      <c r="D1415" s="51"/>
      <c r="E1415" s="51"/>
      <c r="F1415" s="51"/>
      <c r="G1415" s="50" t="s">
        <v>9063</v>
      </c>
      <c r="H1415" s="52">
        <v>44683.33645833333</v>
      </c>
      <c r="I1415" s="50"/>
      <c r="J1415" s="50"/>
      <c r="K1415" s="50"/>
      <c r="L1415" s="50"/>
      <c r="M1415" s="50" t="s">
        <v>9064</v>
      </c>
      <c r="N1415" s="50"/>
      <c r="O1415" s="53" t="s">
        <v>217</v>
      </c>
      <c r="P1415" s="55" t="s">
        <v>9065</v>
      </c>
      <c r="Q1415" s="50">
        <v>1468.0</v>
      </c>
      <c r="R1415" s="50">
        <v>3159.0</v>
      </c>
      <c r="S1415" s="50"/>
      <c r="T1415" s="56" t="s">
        <v>9066</v>
      </c>
      <c r="U1415" s="53" t="s">
        <v>691</v>
      </c>
    </row>
    <row r="1416">
      <c r="A1416" s="54" t="s">
        <v>9067</v>
      </c>
      <c r="B1416" s="50" t="s">
        <v>9068</v>
      </c>
      <c r="C1416" s="51" t="s">
        <v>367</v>
      </c>
      <c r="D1416" s="51"/>
      <c r="E1416" s="51"/>
      <c r="F1416" s="51"/>
      <c r="G1416" s="50" t="s">
        <v>9069</v>
      </c>
      <c r="H1416" s="52">
        <v>44683.33635416666</v>
      </c>
      <c r="I1416" s="50"/>
      <c r="J1416" s="50"/>
      <c r="K1416" s="50"/>
      <c r="L1416" s="50"/>
      <c r="M1416" s="50" t="s">
        <v>9070</v>
      </c>
      <c r="N1416" s="50"/>
      <c r="O1416" s="53" t="s">
        <v>70</v>
      </c>
      <c r="P1416" s="55" t="s">
        <v>354</v>
      </c>
      <c r="Q1416" s="50">
        <v>842.0</v>
      </c>
      <c r="R1416" s="50">
        <v>3910.0</v>
      </c>
      <c r="S1416" s="50" t="s">
        <v>658</v>
      </c>
      <c r="T1416" s="56" t="s">
        <v>9071</v>
      </c>
      <c r="U1416" s="53" t="s">
        <v>370</v>
      </c>
    </row>
    <row r="1417">
      <c r="A1417" s="54" t="s">
        <v>9072</v>
      </c>
      <c r="B1417" s="50" t="s">
        <v>9044</v>
      </c>
      <c r="C1417" s="51" t="s">
        <v>363</v>
      </c>
      <c r="D1417" s="51"/>
      <c r="E1417" s="51"/>
      <c r="F1417" s="51"/>
      <c r="G1417" s="50" t="s">
        <v>9073</v>
      </c>
      <c r="H1417" s="52">
        <v>44683.33603009259</v>
      </c>
      <c r="I1417" s="50"/>
      <c r="J1417" s="50"/>
      <c r="K1417" s="50"/>
      <c r="L1417" s="50"/>
      <c r="M1417" s="50" t="s">
        <v>9046</v>
      </c>
      <c r="N1417" s="50"/>
      <c r="O1417" s="53" t="s">
        <v>70</v>
      </c>
      <c r="P1417" s="55" t="s">
        <v>9047</v>
      </c>
      <c r="Q1417" s="50">
        <v>332.0</v>
      </c>
      <c r="R1417" s="50">
        <v>1172.0</v>
      </c>
      <c r="S1417" s="50" t="s">
        <v>9048</v>
      </c>
      <c r="T1417" s="56" t="s">
        <v>9074</v>
      </c>
      <c r="U1417" s="53" t="s">
        <v>332</v>
      </c>
    </row>
    <row r="1418">
      <c r="A1418" s="54" t="s">
        <v>9075</v>
      </c>
      <c r="B1418" s="50" t="s">
        <v>9076</v>
      </c>
      <c r="C1418" s="51" t="s">
        <v>687</v>
      </c>
      <c r="D1418" s="51"/>
      <c r="E1418" s="51"/>
      <c r="F1418" s="51"/>
      <c r="G1418" s="50" t="s">
        <v>9077</v>
      </c>
      <c r="H1418" s="52">
        <v>44683.33572916666</v>
      </c>
      <c r="I1418" s="50"/>
      <c r="J1418" s="50"/>
      <c r="K1418" s="50"/>
      <c r="L1418" s="50"/>
      <c r="M1418" s="50" t="s">
        <v>9078</v>
      </c>
      <c r="N1418" s="50"/>
      <c r="O1418" s="53" t="s">
        <v>70</v>
      </c>
      <c r="P1418" s="55" t="s">
        <v>9079</v>
      </c>
      <c r="Q1418" s="50">
        <v>3299.0</v>
      </c>
      <c r="R1418" s="50">
        <v>1632.0</v>
      </c>
      <c r="S1418" s="50" t="s">
        <v>219</v>
      </c>
      <c r="T1418" s="56" t="s">
        <v>9080</v>
      </c>
      <c r="U1418" s="53" t="s">
        <v>691</v>
      </c>
    </row>
    <row r="1419">
      <c r="A1419" s="54" t="s">
        <v>9081</v>
      </c>
      <c r="B1419" s="50" t="s">
        <v>625</v>
      </c>
      <c r="C1419" s="51" t="s">
        <v>9082</v>
      </c>
      <c r="D1419" s="51"/>
      <c r="E1419" s="51"/>
      <c r="F1419" s="51"/>
      <c r="G1419" s="50" t="s">
        <v>9083</v>
      </c>
      <c r="H1419" s="52">
        <v>44683.33563657408</v>
      </c>
      <c r="I1419" s="50"/>
      <c r="J1419" s="50"/>
      <c r="K1419" s="50" t="s">
        <v>9084</v>
      </c>
      <c r="L1419" s="50" t="s">
        <v>9085</v>
      </c>
      <c r="M1419" s="50" t="s">
        <v>630</v>
      </c>
      <c r="N1419" s="50" t="s">
        <v>9086</v>
      </c>
      <c r="O1419" s="53" t="s">
        <v>60</v>
      </c>
      <c r="P1419" s="55" t="s">
        <v>632</v>
      </c>
      <c r="Q1419" s="50">
        <v>5102.0</v>
      </c>
      <c r="R1419" s="50">
        <v>4680.0</v>
      </c>
      <c r="S1419" s="50"/>
      <c r="T1419" s="56" t="s">
        <v>9087</v>
      </c>
      <c r="U1419" s="53" t="s">
        <v>9088</v>
      </c>
    </row>
    <row r="1420">
      <c r="A1420" s="54" t="s">
        <v>9089</v>
      </c>
      <c r="B1420" s="50" t="s">
        <v>9090</v>
      </c>
      <c r="C1420" s="51" t="s">
        <v>316</v>
      </c>
      <c r="D1420" s="51"/>
      <c r="E1420" s="51"/>
      <c r="F1420" s="51"/>
      <c r="G1420" s="50" t="s">
        <v>9091</v>
      </c>
      <c r="H1420" s="52">
        <v>44683.33552083334</v>
      </c>
      <c r="I1420" s="50"/>
      <c r="J1420" s="50"/>
      <c r="K1420" s="50"/>
      <c r="L1420" s="50"/>
      <c r="M1420" s="50" t="s">
        <v>9092</v>
      </c>
      <c r="N1420" s="50"/>
      <c r="O1420" s="53" t="s">
        <v>70</v>
      </c>
      <c r="P1420" s="55" t="s">
        <v>9093</v>
      </c>
      <c r="Q1420" s="50">
        <v>391.0</v>
      </c>
      <c r="R1420" s="50">
        <v>228.0</v>
      </c>
      <c r="S1420" s="50" t="s">
        <v>2487</v>
      </c>
      <c r="T1420" s="56" t="s">
        <v>9094</v>
      </c>
      <c r="U1420" s="53" t="s">
        <v>322</v>
      </c>
    </row>
    <row r="1421">
      <c r="A1421" s="54" t="s">
        <v>9095</v>
      </c>
      <c r="B1421" s="50" t="s">
        <v>9096</v>
      </c>
      <c r="C1421" s="51" t="s">
        <v>367</v>
      </c>
      <c r="D1421" s="51"/>
      <c r="E1421" s="51"/>
      <c r="F1421" s="51"/>
      <c r="G1421" s="50" t="s">
        <v>9097</v>
      </c>
      <c r="H1421" s="52">
        <v>44683.33547453704</v>
      </c>
      <c r="I1421" s="50"/>
      <c r="J1421" s="50"/>
      <c r="K1421" s="50"/>
      <c r="L1421" s="50"/>
      <c r="M1421" s="50" t="s">
        <v>9098</v>
      </c>
      <c r="N1421" s="50"/>
      <c r="O1421" s="53" t="s">
        <v>217</v>
      </c>
      <c r="P1421" s="55" t="s">
        <v>9099</v>
      </c>
      <c r="Q1421" s="50">
        <v>1808.0</v>
      </c>
      <c r="R1421" s="50">
        <v>897.0</v>
      </c>
      <c r="S1421" s="50" t="s">
        <v>3291</v>
      </c>
      <c r="T1421" s="56" t="s">
        <v>9100</v>
      </c>
      <c r="U1421" s="53" t="s">
        <v>370</v>
      </c>
    </row>
    <row r="1422">
      <c r="A1422" s="54" t="s">
        <v>9101</v>
      </c>
      <c r="B1422" s="50" t="s">
        <v>9090</v>
      </c>
      <c r="C1422" s="51" t="s">
        <v>329</v>
      </c>
      <c r="D1422" s="51"/>
      <c r="E1422" s="51"/>
      <c r="F1422" s="51"/>
      <c r="G1422" s="50" t="s">
        <v>9097</v>
      </c>
      <c r="H1422" s="52">
        <v>44683.33547453704</v>
      </c>
      <c r="I1422" s="50"/>
      <c r="J1422" s="50"/>
      <c r="K1422" s="50"/>
      <c r="L1422" s="50"/>
      <c r="M1422" s="50" t="s">
        <v>9092</v>
      </c>
      <c r="N1422" s="50"/>
      <c r="O1422" s="53" t="s">
        <v>70</v>
      </c>
      <c r="P1422" s="55" t="s">
        <v>9093</v>
      </c>
      <c r="Q1422" s="50">
        <v>391.0</v>
      </c>
      <c r="R1422" s="50">
        <v>228.0</v>
      </c>
      <c r="S1422" s="50" t="s">
        <v>2487</v>
      </c>
      <c r="T1422" s="56" t="s">
        <v>9102</v>
      </c>
      <c r="U1422" s="53" t="s">
        <v>332</v>
      </c>
    </row>
    <row r="1423">
      <c r="A1423" s="54" t="s">
        <v>9103</v>
      </c>
      <c r="B1423" s="50" t="s">
        <v>9104</v>
      </c>
      <c r="C1423" s="51" t="s">
        <v>367</v>
      </c>
      <c r="D1423" s="51"/>
      <c r="E1423" s="51"/>
      <c r="F1423" s="51"/>
      <c r="G1423" s="50" t="s">
        <v>9105</v>
      </c>
      <c r="H1423" s="52">
        <v>44683.33530092593</v>
      </c>
      <c r="I1423" s="50"/>
      <c r="J1423" s="50"/>
      <c r="K1423" s="50"/>
      <c r="L1423" s="50"/>
      <c r="M1423" s="50" t="s">
        <v>9106</v>
      </c>
      <c r="N1423" s="50"/>
      <c r="O1423" s="53" t="s">
        <v>70</v>
      </c>
      <c r="P1423" s="55" t="s">
        <v>9107</v>
      </c>
      <c r="Q1423" s="50">
        <v>1762.0</v>
      </c>
      <c r="R1423" s="50">
        <v>4244.0</v>
      </c>
      <c r="S1423" s="50"/>
      <c r="T1423" s="56" t="s">
        <v>9108</v>
      </c>
      <c r="U1423" s="53" t="s">
        <v>370</v>
      </c>
    </row>
    <row r="1424">
      <c r="A1424" s="54" t="s">
        <v>9109</v>
      </c>
      <c r="B1424" s="50" t="s">
        <v>9110</v>
      </c>
      <c r="C1424" s="51" t="s">
        <v>9111</v>
      </c>
      <c r="D1424" s="51"/>
      <c r="E1424" s="51"/>
      <c r="F1424" s="51"/>
      <c r="G1424" s="50" t="s">
        <v>9112</v>
      </c>
      <c r="H1424" s="52">
        <v>44683.33520833333</v>
      </c>
      <c r="I1424" s="50"/>
      <c r="J1424" s="50"/>
      <c r="K1424" s="50"/>
      <c r="L1424" s="50"/>
      <c r="M1424" s="50" t="s">
        <v>9113</v>
      </c>
      <c r="N1424" s="50"/>
      <c r="O1424" s="53" t="s">
        <v>7505</v>
      </c>
      <c r="P1424" s="55" t="s">
        <v>9114</v>
      </c>
      <c r="Q1424" s="50">
        <v>9507.0</v>
      </c>
      <c r="R1424" s="50">
        <v>8084.0</v>
      </c>
      <c r="S1424" s="50" t="s">
        <v>9115</v>
      </c>
      <c r="T1424" s="56" t="s">
        <v>9116</v>
      </c>
      <c r="U1424" s="53" t="s">
        <v>9117</v>
      </c>
    </row>
    <row r="1425">
      <c r="A1425" s="54" t="s">
        <v>9118</v>
      </c>
      <c r="B1425" s="50" t="s">
        <v>9090</v>
      </c>
      <c r="C1425" s="51" t="s">
        <v>367</v>
      </c>
      <c r="D1425" s="51"/>
      <c r="E1425" s="51"/>
      <c r="F1425" s="51"/>
      <c r="G1425" s="50" t="s">
        <v>9119</v>
      </c>
      <c r="H1425" s="52">
        <v>44683.33517361111</v>
      </c>
      <c r="I1425" s="50"/>
      <c r="J1425" s="50"/>
      <c r="K1425" s="50"/>
      <c r="L1425" s="50"/>
      <c r="M1425" s="50" t="s">
        <v>9092</v>
      </c>
      <c r="N1425" s="50"/>
      <c r="O1425" s="53" t="s">
        <v>70</v>
      </c>
      <c r="P1425" s="55" t="s">
        <v>9093</v>
      </c>
      <c r="Q1425" s="50">
        <v>391.0</v>
      </c>
      <c r="R1425" s="50">
        <v>228.0</v>
      </c>
      <c r="S1425" s="50" t="s">
        <v>2487</v>
      </c>
      <c r="T1425" s="56" t="s">
        <v>9120</v>
      </c>
      <c r="U1425" s="53" t="s">
        <v>370</v>
      </c>
    </row>
    <row r="1426">
      <c r="A1426" s="54" t="s">
        <v>9121</v>
      </c>
      <c r="B1426" s="50" t="s">
        <v>9096</v>
      </c>
      <c r="C1426" s="51" t="s">
        <v>329</v>
      </c>
      <c r="D1426" s="51"/>
      <c r="E1426" s="51"/>
      <c r="F1426" s="51"/>
      <c r="G1426" s="50" t="s">
        <v>9122</v>
      </c>
      <c r="H1426" s="52">
        <v>44683.335011574076</v>
      </c>
      <c r="I1426" s="50"/>
      <c r="J1426" s="50"/>
      <c r="K1426" s="50"/>
      <c r="L1426" s="50"/>
      <c r="M1426" s="50" t="s">
        <v>9098</v>
      </c>
      <c r="N1426" s="50"/>
      <c r="O1426" s="53" t="s">
        <v>217</v>
      </c>
      <c r="P1426" s="55" t="s">
        <v>9099</v>
      </c>
      <c r="Q1426" s="50">
        <v>1808.0</v>
      </c>
      <c r="R1426" s="50">
        <v>897.0</v>
      </c>
      <c r="S1426" s="50" t="s">
        <v>3291</v>
      </c>
      <c r="T1426" s="56" t="s">
        <v>9123</v>
      </c>
      <c r="U1426" s="53" t="s">
        <v>332</v>
      </c>
    </row>
    <row r="1427">
      <c r="A1427" s="54" t="s">
        <v>9124</v>
      </c>
      <c r="B1427" s="50" t="s">
        <v>9125</v>
      </c>
      <c r="C1427" s="51" t="s">
        <v>316</v>
      </c>
      <c r="D1427" s="51"/>
      <c r="E1427" s="51"/>
      <c r="F1427" s="51"/>
      <c r="G1427" s="50" t="s">
        <v>9126</v>
      </c>
      <c r="H1427" s="52">
        <v>44683.334965277776</v>
      </c>
      <c r="I1427" s="50"/>
      <c r="J1427" s="50"/>
      <c r="K1427" s="50"/>
      <c r="L1427" s="50"/>
      <c r="M1427" s="50" t="s">
        <v>9127</v>
      </c>
      <c r="N1427" s="50"/>
      <c r="O1427" s="53" t="s">
        <v>70</v>
      </c>
      <c r="P1427" s="55" t="s">
        <v>9128</v>
      </c>
      <c r="Q1427" s="50">
        <v>2314.0</v>
      </c>
      <c r="R1427" s="50">
        <v>2347.0</v>
      </c>
      <c r="S1427" s="50" t="s">
        <v>379</v>
      </c>
      <c r="T1427" s="56" t="s">
        <v>9129</v>
      </c>
      <c r="U1427" s="53" t="s">
        <v>322</v>
      </c>
    </row>
    <row r="1428">
      <c r="A1428" s="54" t="s">
        <v>9130</v>
      </c>
      <c r="B1428" s="50" t="s">
        <v>9131</v>
      </c>
      <c r="C1428" s="51" t="s">
        <v>2076</v>
      </c>
      <c r="D1428" s="51"/>
      <c r="E1428" s="51"/>
      <c r="F1428" s="51"/>
      <c r="G1428" s="50" t="s">
        <v>9132</v>
      </c>
      <c r="H1428" s="52">
        <v>44683.33490740741</v>
      </c>
      <c r="I1428" s="50"/>
      <c r="J1428" s="50"/>
      <c r="K1428" s="50"/>
      <c r="L1428" s="50"/>
      <c r="M1428" s="50" t="s">
        <v>9133</v>
      </c>
      <c r="N1428" s="50"/>
      <c r="O1428" s="53" t="s">
        <v>60</v>
      </c>
      <c r="P1428" s="55" t="s">
        <v>9134</v>
      </c>
      <c r="Q1428" s="50">
        <v>51.0</v>
      </c>
      <c r="R1428" s="50">
        <v>33.0</v>
      </c>
      <c r="S1428" s="50"/>
      <c r="T1428" s="56" t="s">
        <v>9135</v>
      </c>
      <c r="U1428" s="53" t="s">
        <v>691</v>
      </c>
    </row>
    <row r="1429">
      <c r="A1429" s="54" t="s">
        <v>9136</v>
      </c>
      <c r="B1429" s="50" t="s">
        <v>9137</v>
      </c>
      <c r="C1429" s="51" t="s">
        <v>1209</v>
      </c>
      <c r="D1429" s="51"/>
      <c r="E1429" s="51"/>
      <c r="F1429" s="51"/>
      <c r="G1429" s="50" t="s">
        <v>9138</v>
      </c>
      <c r="H1429" s="52">
        <v>44683.33467592593</v>
      </c>
      <c r="I1429" s="50"/>
      <c r="J1429" s="50"/>
      <c r="K1429" s="50"/>
      <c r="L1429" s="50"/>
      <c r="M1429" s="50" t="s">
        <v>9139</v>
      </c>
      <c r="N1429" s="50"/>
      <c r="O1429" s="53" t="s">
        <v>92</v>
      </c>
      <c r="P1429" s="55" t="s">
        <v>354</v>
      </c>
      <c r="Q1429" s="50">
        <v>559.0</v>
      </c>
      <c r="R1429" s="50">
        <v>981.0</v>
      </c>
      <c r="S1429" s="50"/>
      <c r="T1429" s="56" t="s">
        <v>9140</v>
      </c>
      <c r="U1429" s="53" t="s">
        <v>1214</v>
      </c>
    </row>
    <row r="1430">
      <c r="A1430" s="54" t="s">
        <v>9141</v>
      </c>
      <c r="B1430" s="50" t="s">
        <v>9142</v>
      </c>
      <c r="C1430" s="51" t="s">
        <v>367</v>
      </c>
      <c r="D1430" s="51"/>
      <c r="E1430" s="51"/>
      <c r="F1430" s="51"/>
      <c r="G1430" s="50" t="s">
        <v>9143</v>
      </c>
      <c r="H1430" s="52">
        <v>44683.33459490741</v>
      </c>
      <c r="I1430" s="50"/>
      <c r="J1430" s="50"/>
      <c r="K1430" s="50"/>
      <c r="L1430" s="50"/>
      <c r="M1430" s="50" t="s">
        <v>9144</v>
      </c>
      <c r="N1430" s="50"/>
      <c r="O1430" s="53" t="s">
        <v>70</v>
      </c>
      <c r="P1430" s="55" t="s">
        <v>9145</v>
      </c>
      <c r="Q1430" s="50">
        <v>219.0</v>
      </c>
      <c r="R1430" s="50">
        <v>847.0</v>
      </c>
      <c r="S1430" s="50" t="s">
        <v>129</v>
      </c>
      <c r="T1430" s="56" t="s">
        <v>9146</v>
      </c>
      <c r="U1430" s="53" t="s">
        <v>370</v>
      </c>
    </row>
    <row r="1431">
      <c r="A1431" s="54" t="s">
        <v>9147</v>
      </c>
      <c r="B1431" s="50" t="s">
        <v>9148</v>
      </c>
      <c r="C1431" s="51" t="s">
        <v>9149</v>
      </c>
      <c r="D1431" s="51"/>
      <c r="E1431" s="51"/>
      <c r="F1431" s="51"/>
      <c r="G1431" s="50" t="s">
        <v>9150</v>
      </c>
      <c r="H1431" s="52">
        <v>44683.33458333333</v>
      </c>
      <c r="I1431" s="50"/>
      <c r="J1431" s="50"/>
      <c r="K1431" s="50"/>
      <c r="L1431" s="50"/>
      <c r="M1431" s="50" t="s">
        <v>9151</v>
      </c>
      <c r="N1431" s="50"/>
      <c r="O1431" s="53" t="s">
        <v>92</v>
      </c>
      <c r="P1431" s="55" t="s">
        <v>9152</v>
      </c>
      <c r="Q1431" s="50">
        <v>2547.0</v>
      </c>
      <c r="R1431" s="50">
        <v>4976.0</v>
      </c>
      <c r="S1431" s="50" t="s">
        <v>246</v>
      </c>
      <c r="T1431" s="56" t="s">
        <v>9153</v>
      </c>
      <c r="U1431" s="53" t="s">
        <v>9154</v>
      </c>
    </row>
    <row r="1432">
      <c r="A1432" s="54" t="s">
        <v>9155</v>
      </c>
      <c r="B1432" s="50" t="s">
        <v>9156</v>
      </c>
      <c r="C1432" s="51" t="s">
        <v>9157</v>
      </c>
      <c r="D1432" s="51"/>
      <c r="E1432" s="51"/>
      <c r="F1432" s="51"/>
      <c r="G1432" s="50" t="s">
        <v>9158</v>
      </c>
      <c r="H1432" s="52">
        <v>44683.33445601852</v>
      </c>
      <c r="I1432" s="50"/>
      <c r="J1432" s="50"/>
      <c r="K1432" s="50"/>
      <c r="L1432" s="50"/>
      <c r="M1432" s="50" t="s">
        <v>9159</v>
      </c>
      <c r="N1432" s="50"/>
      <c r="O1432" s="53" t="s">
        <v>60</v>
      </c>
      <c r="P1432" s="55" t="s">
        <v>9160</v>
      </c>
      <c r="Q1432" s="50">
        <v>2208.0</v>
      </c>
      <c r="R1432" s="50">
        <v>2823.0</v>
      </c>
      <c r="S1432" s="50"/>
      <c r="T1432" s="56" t="s">
        <v>9161</v>
      </c>
      <c r="U1432" s="53" t="s">
        <v>9162</v>
      </c>
    </row>
    <row r="1433">
      <c r="A1433" s="54" t="s">
        <v>9163</v>
      </c>
      <c r="B1433" s="50" t="s">
        <v>9164</v>
      </c>
      <c r="C1433" s="51" t="s">
        <v>367</v>
      </c>
      <c r="D1433" s="51"/>
      <c r="E1433" s="51"/>
      <c r="F1433" s="51"/>
      <c r="G1433" s="50" t="s">
        <v>9165</v>
      </c>
      <c r="H1433" s="52">
        <v>44683.334386574075</v>
      </c>
      <c r="I1433" s="50"/>
      <c r="J1433" s="50"/>
      <c r="K1433" s="50"/>
      <c r="L1433" s="50"/>
      <c r="M1433" s="50" t="s">
        <v>9166</v>
      </c>
      <c r="N1433" s="50"/>
      <c r="O1433" s="53" t="s">
        <v>92</v>
      </c>
      <c r="P1433" s="55" t="s">
        <v>9167</v>
      </c>
      <c r="Q1433" s="50">
        <v>1365.0</v>
      </c>
      <c r="R1433" s="50">
        <v>2087.0</v>
      </c>
      <c r="S1433" s="50" t="s">
        <v>9168</v>
      </c>
      <c r="T1433" s="56" t="s">
        <v>9169</v>
      </c>
      <c r="U1433" s="53" t="s">
        <v>370</v>
      </c>
    </row>
    <row r="1434">
      <c r="A1434" s="54" t="s">
        <v>9170</v>
      </c>
      <c r="B1434" s="50" t="s">
        <v>9171</v>
      </c>
      <c r="C1434" s="51" t="s">
        <v>367</v>
      </c>
      <c r="D1434" s="51"/>
      <c r="E1434" s="51"/>
      <c r="F1434" s="51"/>
      <c r="G1434" s="50" t="s">
        <v>9172</v>
      </c>
      <c r="H1434" s="52">
        <v>44683.3343287037</v>
      </c>
      <c r="I1434" s="50"/>
      <c r="J1434" s="50"/>
      <c r="K1434" s="50"/>
      <c r="L1434" s="50"/>
      <c r="M1434" s="50" t="s">
        <v>9173</v>
      </c>
      <c r="N1434" s="50"/>
      <c r="O1434" s="53" t="s">
        <v>92</v>
      </c>
      <c r="P1434" s="55" t="s">
        <v>354</v>
      </c>
      <c r="Q1434" s="50">
        <v>231.0</v>
      </c>
      <c r="R1434" s="50">
        <v>289.0</v>
      </c>
      <c r="S1434" s="50" t="s">
        <v>1311</v>
      </c>
      <c r="T1434" s="56" t="s">
        <v>9174</v>
      </c>
      <c r="U1434" s="53" t="s">
        <v>370</v>
      </c>
    </row>
    <row r="1435">
      <c r="A1435" s="54" t="s">
        <v>9175</v>
      </c>
      <c r="B1435" s="50" t="s">
        <v>9176</v>
      </c>
      <c r="C1435" s="51" t="s">
        <v>367</v>
      </c>
      <c r="D1435" s="51"/>
      <c r="E1435" s="51"/>
      <c r="F1435" s="51"/>
      <c r="G1435" s="50" t="s">
        <v>9177</v>
      </c>
      <c r="H1435" s="52">
        <v>44683.334189814814</v>
      </c>
      <c r="I1435" s="50"/>
      <c r="J1435" s="50"/>
      <c r="K1435" s="50"/>
      <c r="L1435" s="50"/>
      <c r="M1435" s="50" t="s">
        <v>9178</v>
      </c>
      <c r="N1435" s="50"/>
      <c r="O1435" s="53" t="s">
        <v>92</v>
      </c>
      <c r="P1435" s="55" t="s">
        <v>9179</v>
      </c>
      <c r="Q1435" s="50">
        <v>74.0</v>
      </c>
      <c r="R1435" s="50">
        <v>289.0</v>
      </c>
      <c r="S1435" s="50" t="s">
        <v>5965</v>
      </c>
      <c r="T1435" s="56" t="s">
        <v>9180</v>
      </c>
      <c r="U1435" s="53" t="s">
        <v>370</v>
      </c>
    </row>
    <row r="1436">
      <c r="A1436" s="54" t="s">
        <v>9181</v>
      </c>
      <c r="B1436" s="50" t="s">
        <v>9182</v>
      </c>
      <c r="C1436" s="51" t="s">
        <v>1402</v>
      </c>
      <c r="D1436" s="51"/>
      <c r="E1436" s="51"/>
      <c r="F1436" s="51"/>
      <c r="G1436" s="50" t="s">
        <v>9183</v>
      </c>
      <c r="H1436" s="52">
        <v>44683.334120370375</v>
      </c>
      <c r="I1436" s="50"/>
      <c r="J1436" s="50"/>
      <c r="K1436" s="50"/>
      <c r="L1436" s="50"/>
      <c r="M1436" s="50" t="s">
        <v>9184</v>
      </c>
      <c r="N1436" s="50"/>
      <c r="O1436" s="53" t="s">
        <v>60</v>
      </c>
      <c r="P1436" s="55" t="s">
        <v>9185</v>
      </c>
      <c r="Q1436" s="50">
        <v>7906.0</v>
      </c>
      <c r="R1436" s="50">
        <v>7295.0</v>
      </c>
      <c r="S1436" s="50" t="s">
        <v>4349</v>
      </c>
      <c r="T1436" s="56" t="s">
        <v>9186</v>
      </c>
      <c r="U1436" s="53" t="s">
        <v>1408</v>
      </c>
    </row>
    <row r="1437">
      <c r="A1437" s="54" t="s">
        <v>9187</v>
      </c>
      <c r="B1437" s="50" t="s">
        <v>9188</v>
      </c>
      <c r="C1437" s="51" t="s">
        <v>367</v>
      </c>
      <c r="D1437" s="51"/>
      <c r="E1437" s="51"/>
      <c r="F1437" s="51"/>
      <c r="G1437" s="50" t="s">
        <v>9189</v>
      </c>
      <c r="H1437" s="52">
        <v>44683.33403935185</v>
      </c>
      <c r="I1437" s="50"/>
      <c r="J1437" s="50"/>
      <c r="K1437" s="50"/>
      <c r="L1437" s="50"/>
      <c r="M1437" s="50" t="s">
        <v>9190</v>
      </c>
      <c r="N1437" s="50"/>
      <c r="O1437" s="53" t="s">
        <v>92</v>
      </c>
      <c r="P1437" s="55" t="s">
        <v>9191</v>
      </c>
      <c r="Q1437" s="50">
        <v>382.0</v>
      </c>
      <c r="R1437" s="50">
        <v>1363.0</v>
      </c>
      <c r="S1437" s="50" t="s">
        <v>5965</v>
      </c>
      <c r="T1437" s="56" t="s">
        <v>9192</v>
      </c>
      <c r="U1437" s="53" t="s">
        <v>370</v>
      </c>
    </row>
    <row r="1438">
      <c r="A1438" s="54" t="s">
        <v>9193</v>
      </c>
      <c r="B1438" s="50" t="s">
        <v>9194</v>
      </c>
      <c r="C1438" s="51" t="s">
        <v>367</v>
      </c>
      <c r="D1438" s="51"/>
      <c r="E1438" s="51"/>
      <c r="F1438" s="51"/>
      <c r="G1438" s="50" t="s">
        <v>9195</v>
      </c>
      <c r="H1438" s="52">
        <v>44683.334016203706</v>
      </c>
      <c r="I1438" s="50"/>
      <c r="J1438" s="50"/>
      <c r="K1438" s="50"/>
      <c r="L1438" s="50"/>
      <c r="M1438" s="50" t="s">
        <v>9196</v>
      </c>
      <c r="N1438" s="50"/>
      <c r="O1438" s="53" t="s">
        <v>92</v>
      </c>
      <c r="P1438" s="55" t="s">
        <v>9197</v>
      </c>
      <c r="Q1438" s="50">
        <v>127.0</v>
      </c>
      <c r="R1438" s="50">
        <v>259.0</v>
      </c>
      <c r="S1438" s="50"/>
      <c r="T1438" s="56" t="s">
        <v>9198</v>
      </c>
      <c r="U1438" s="53" t="s">
        <v>370</v>
      </c>
    </row>
    <row r="1439">
      <c r="A1439" s="54" t="s">
        <v>9199</v>
      </c>
      <c r="B1439" s="50" t="s">
        <v>9137</v>
      </c>
      <c r="C1439" s="51" t="s">
        <v>316</v>
      </c>
      <c r="D1439" s="51"/>
      <c r="E1439" s="51"/>
      <c r="F1439" s="51"/>
      <c r="G1439" s="50" t="s">
        <v>9200</v>
      </c>
      <c r="H1439" s="52">
        <v>44683.33372685185</v>
      </c>
      <c r="I1439" s="50"/>
      <c r="J1439" s="50"/>
      <c r="K1439" s="50"/>
      <c r="L1439" s="50"/>
      <c r="M1439" s="50" t="s">
        <v>9139</v>
      </c>
      <c r="N1439" s="50"/>
      <c r="O1439" s="53" t="s">
        <v>92</v>
      </c>
      <c r="P1439" s="55" t="s">
        <v>354</v>
      </c>
      <c r="Q1439" s="50">
        <v>559.0</v>
      </c>
      <c r="R1439" s="50">
        <v>981.0</v>
      </c>
      <c r="S1439" s="50"/>
      <c r="T1439" s="56" t="s">
        <v>9201</v>
      </c>
      <c r="U1439" s="53" t="s">
        <v>322</v>
      </c>
    </row>
    <row r="1440">
      <c r="A1440" s="54" t="s">
        <v>9202</v>
      </c>
      <c r="B1440" s="50" t="s">
        <v>9203</v>
      </c>
      <c r="C1440" s="51" t="s">
        <v>9204</v>
      </c>
      <c r="D1440" s="51"/>
      <c r="E1440" s="51"/>
      <c r="F1440" s="51"/>
      <c r="G1440" s="50" t="s">
        <v>9200</v>
      </c>
      <c r="H1440" s="52">
        <v>44683.33372685185</v>
      </c>
      <c r="I1440" s="50"/>
      <c r="J1440" s="50"/>
      <c r="K1440" s="50"/>
      <c r="L1440" s="50"/>
      <c r="M1440" s="50" t="s">
        <v>9205</v>
      </c>
      <c r="N1440" s="50"/>
      <c r="O1440" s="53" t="s">
        <v>7964</v>
      </c>
      <c r="P1440" s="55" t="s">
        <v>9206</v>
      </c>
      <c r="Q1440" s="50">
        <v>348.0</v>
      </c>
      <c r="R1440" s="50">
        <v>568.0</v>
      </c>
      <c r="S1440" s="50" t="s">
        <v>9207</v>
      </c>
      <c r="T1440" s="56" t="s">
        <v>9208</v>
      </c>
      <c r="U1440" s="53" t="s">
        <v>9209</v>
      </c>
    </row>
    <row r="1441">
      <c r="A1441" s="54" t="s">
        <v>9210</v>
      </c>
      <c r="B1441" s="50" t="s">
        <v>9211</v>
      </c>
      <c r="C1441" s="51" t="s">
        <v>9212</v>
      </c>
      <c r="D1441" s="51"/>
      <c r="E1441" s="51"/>
      <c r="F1441" s="51"/>
      <c r="G1441" s="50" t="s">
        <v>9213</v>
      </c>
      <c r="H1441" s="52">
        <v>44683.33371527778</v>
      </c>
      <c r="I1441" s="50"/>
      <c r="J1441" s="50"/>
      <c r="K1441" s="50"/>
      <c r="L1441" s="50"/>
      <c r="M1441" s="50" t="s">
        <v>9214</v>
      </c>
      <c r="N1441" s="50"/>
      <c r="O1441" s="53" t="s">
        <v>4970</v>
      </c>
      <c r="P1441" s="55" t="s">
        <v>9215</v>
      </c>
      <c r="Q1441" s="50">
        <v>541.0</v>
      </c>
      <c r="R1441" s="50">
        <v>911.0</v>
      </c>
      <c r="S1441" s="50" t="s">
        <v>1153</v>
      </c>
      <c r="T1441" s="56" t="s">
        <v>9216</v>
      </c>
      <c r="U1441" s="53" t="s">
        <v>9217</v>
      </c>
    </row>
    <row r="1442">
      <c r="A1442" s="54" t="s">
        <v>9218</v>
      </c>
      <c r="B1442" s="50" t="s">
        <v>9137</v>
      </c>
      <c r="C1442" s="51" t="s">
        <v>329</v>
      </c>
      <c r="D1442" s="51"/>
      <c r="E1442" s="51"/>
      <c r="F1442" s="51"/>
      <c r="G1442" s="50" t="s">
        <v>9219</v>
      </c>
      <c r="H1442" s="52">
        <v>44683.33366898148</v>
      </c>
      <c r="I1442" s="50"/>
      <c r="J1442" s="50"/>
      <c r="K1442" s="50"/>
      <c r="L1442" s="50"/>
      <c r="M1442" s="50" t="s">
        <v>9139</v>
      </c>
      <c r="N1442" s="50"/>
      <c r="O1442" s="53" t="s">
        <v>92</v>
      </c>
      <c r="P1442" s="55" t="s">
        <v>354</v>
      </c>
      <c r="Q1442" s="50">
        <v>559.0</v>
      </c>
      <c r="R1442" s="50">
        <v>981.0</v>
      </c>
      <c r="S1442" s="50"/>
      <c r="T1442" s="56" t="s">
        <v>9220</v>
      </c>
      <c r="U1442" s="53" t="s">
        <v>332</v>
      </c>
    </row>
    <row r="1443">
      <c r="A1443" s="54" t="s">
        <v>9221</v>
      </c>
      <c r="B1443" s="50" t="s">
        <v>9222</v>
      </c>
      <c r="C1443" s="51" t="s">
        <v>9223</v>
      </c>
      <c r="D1443" s="51"/>
      <c r="E1443" s="51"/>
      <c r="F1443" s="51"/>
      <c r="G1443" s="50" t="s">
        <v>9224</v>
      </c>
      <c r="H1443" s="52">
        <v>44683.33356481481</v>
      </c>
      <c r="I1443" s="50"/>
      <c r="J1443" s="50"/>
      <c r="K1443" s="50"/>
      <c r="L1443" s="50"/>
      <c r="M1443" s="50" t="s">
        <v>9225</v>
      </c>
      <c r="N1443" s="50"/>
      <c r="O1443" s="53" t="s">
        <v>92</v>
      </c>
      <c r="P1443" s="55" t="s">
        <v>9226</v>
      </c>
      <c r="Q1443" s="50">
        <v>3813.0</v>
      </c>
      <c r="R1443" s="50">
        <v>3899.0</v>
      </c>
      <c r="S1443" s="50" t="s">
        <v>379</v>
      </c>
      <c r="T1443" s="56" t="s">
        <v>9227</v>
      </c>
      <c r="U1443" s="53" t="s">
        <v>9228</v>
      </c>
    </row>
    <row r="1444">
      <c r="A1444" s="54" t="s">
        <v>9229</v>
      </c>
      <c r="B1444" s="50" t="s">
        <v>9137</v>
      </c>
      <c r="C1444" s="51" t="s">
        <v>363</v>
      </c>
      <c r="D1444" s="51"/>
      <c r="E1444" s="51"/>
      <c r="F1444" s="51"/>
      <c r="G1444" s="50" t="s">
        <v>9230</v>
      </c>
      <c r="H1444" s="52">
        <v>44683.33354166667</v>
      </c>
      <c r="I1444" s="50"/>
      <c r="J1444" s="50"/>
      <c r="K1444" s="50"/>
      <c r="L1444" s="50"/>
      <c r="M1444" s="50" t="s">
        <v>9139</v>
      </c>
      <c r="N1444" s="50"/>
      <c r="O1444" s="53" t="s">
        <v>92</v>
      </c>
      <c r="P1444" s="55" t="s">
        <v>354</v>
      </c>
      <c r="Q1444" s="50">
        <v>559.0</v>
      </c>
      <c r="R1444" s="50">
        <v>981.0</v>
      </c>
      <c r="S1444" s="50"/>
      <c r="T1444" s="56" t="s">
        <v>9231</v>
      </c>
      <c r="U1444" s="53" t="s">
        <v>332</v>
      </c>
    </row>
    <row r="1445">
      <c r="A1445" s="54" t="s">
        <v>9232</v>
      </c>
      <c r="B1445" s="50" t="s">
        <v>9233</v>
      </c>
      <c r="C1445" s="51" t="s">
        <v>9234</v>
      </c>
      <c r="D1445" s="51"/>
      <c r="E1445" s="51"/>
      <c r="F1445" s="51"/>
      <c r="G1445" s="50" t="s">
        <v>9235</v>
      </c>
      <c r="H1445" s="52">
        <v>44683.333402777775</v>
      </c>
      <c r="I1445" s="50"/>
      <c r="J1445" s="50"/>
      <c r="K1445" s="50" t="s">
        <v>9236</v>
      </c>
      <c r="L1445" s="50" t="s">
        <v>9237</v>
      </c>
      <c r="M1445" s="50" t="s">
        <v>9238</v>
      </c>
      <c r="N1445" s="50"/>
      <c r="O1445" s="53" t="s">
        <v>4970</v>
      </c>
      <c r="P1445" s="55" t="s">
        <v>9239</v>
      </c>
      <c r="Q1445" s="50">
        <v>2194.0</v>
      </c>
      <c r="R1445" s="50">
        <v>3592.0</v>
      </c>
      <c r="S1445" s="50" t="s">
        <v>5009</v>
      </c>
      <c r="T1445" s="56" t="s">
        <v>9240</v>
      </c>
      <c r="U1445" s="53" t="s">
        <v>9241</v>
      </c>
    </row>
    <row r="1446">
      <c r="A1446" s="54" t="s">
        <v>9242</v>
      </c>
      <c r="B1446" s="50" t="s">
        <v>9131</v>
      </c>
      <c r="C1446" s="51" t="s">
        <v>687</v>
      </c>
      <c r="D1446" s="51"/>
      <c r="E1446" s="51"/>
      <c r="F1446" s="51"/>
      <c r="G1446" s="50" t="s">
        <v>9243</v>
      </c>
      <c r="H1446" s="52">
        <v>44683.33332175926</v>
      </c>
      <c r="I1446" s="50"/>
      <c r="J1446" s="50"/>
      <c r="K1446" s="50"/>
      <c r="L1446" s="50"/>
      <c r="M1446" s="50" t="s">
        <v>9133</v>
      </c>
      <c r="N1446" s="50"/>
      <c r="O1446" s="53" t="s">
        <v>60</v>
      </c>
      <c r="P1446" s="55" t="s">
        <v>9134</v>
      </c>
      <c r="Q1446" s="50">
        <v>51.0</v>
      </c>
      <c r="R1446" s="50">
        <v>33.0</v>
      </c>
      <c r="S1446" s="50"/>
      <c r="T1446" s="56" t="s">
        <v>9244</v>
      </c>
      <c r="U1446" s="53" t="s">
        <v>691</v>
      </c>
    </row>
    <row r="1447">
      <c r="A1447" s="54" t="s">
        <v>9245</v>
      </c>
      <c r="B1447" s="50" t="s">
        <v>9246</v>
      </c>
      <c r="C1447" s="51" t="s">
        <v>367</v>
      </c>
      <c r="D1447" s="51"/>
      <c r="E1447" s="51"/>
      <c r="F1447" s="51"/>
      <c r="G1447" s="50" t="s">
        <v>9247</v>
      </c>
      <c r="H1447" s="52">
        <v>44683.333287037036</v>
      </c>
      <c r="I1447" s="50"/>
      <c r="J1447" s="50"/>
      <c r="K1447" s="50"/>
      <c r="L1447" s="50"/>
      <c r="M1447" s="50" t="s">
        <v>9248</v>
      </c>
      <c r="N1447" s="50"/>
      <c r="O1447" s="53" t="s">
        <v>92</v>
      </c>
      <c r="P1447" s="55" t="s">
        <v>354</v>
      </c>
      <c r="Q1447" s="50">
        <v>148.0</v>
      </c>
      <c r="R1447" s="50">
        <v>213.0</v>
      </c>
      <c r="S1447" s="50"/>
      <c r="T1447" s="56" t="s">
        <v>9249</v>
      </c>
      <c r="U1447" s="53" t="s">
        <v>370</v>
      </c>
    </row>
    <row r="1448">
      <c r="A1448" s="54" t="s">
        <v>9250</v>
      </c>
      <c r="B1448" s="50" t="s">
        <v>9251</v>
      </c>
      <c r="C1448" s="51" t="s">
        <v>9252</v>
      </c>
      <c r="D1448" s="51"/>
      <c r="E1448" s="51"/>
      <c r="F1448" s="51"/>
      <c r="G1448" s="50" t="s">
        <v>9253</v>
      </c>
      <c r="H1448" s="52">
        <v>44683.33318287037</v>
      </c>
      <c r="I1448" s="50"/>
      <c r="J1448" s="50"/>
      <c r="K1448" s="50"/>
      <c r="L1448" s="50"/>
      <c r="M1448" s="50" t="s">
        <v>9254</v>
      </c>
      <c r="N1448" s="50"/>
      <c r="O1448" s="53" t="s">
        <v>70</v>
      </c>
      <c r="P1448" s="55" t="s">
        <v>9255</v>
      </c>
      <c r="Q1448" s="50">
        <v>799.0</v>
      </c>
      <c r="R1448" s="50">
        <v>212.0</v>
      </c>
      <c r="S1448" s="50" t="s">
        <v>9256</v>
      </c>
      <c r="T1448" s="56" t="s">
        <v>9257</v>
      </c>
      <c r="U1448" s="53" t="s">
        <v>9258</v>
      </c>
    </row>
    <row r="1449">
      <c r="A1449" s="54" t="s">
        <v>9259</v>
      </c>
      <c r="B1449" s="50" t="s">
        <v>9260</v>
      </c>
      <c r="C1449" s="51" t="s">
        <v>367</v>
      </c>
      <c r="D1449" s="51"/>
      <c r="E1449" s="51"/>
      <c r="F1449" s="51"/>
      <c r="G1449" s="50" t="s">
        <v>9261</v>
      </c>
      <c r="H1449" s="52">
        <v>44683.3331712963</v>
      </c>
      <c r="I1449" s="50"/>
      <c r="J1449" s="50"/>
      <c r="K1449" s="50"/>
      <c r="L1449" s="50"/>
      <c r="M1449" s="50" t="s">
        <v>9262</v>
      </c>
      <c r="N1449" s="50"/>
      <c r="O1449" s="53" t="s">
        <v>70</v>
      </c>
      <c r="P1449" s="55" t="s">
        <v>9263</v>
      </c>
      <c r="Q1449" s="50">
        <v>649.0</v>
      </c>
      <c r="R1449" s="50">
        <v>1188.0</v>
      </c>
      <c r="S1449" s="50" t="s">
        <v>1311</v>
      </c>
      <c r="T1449" s="56" t="s">
        <v>9264</v>
      </c>
      <c r="U1449" s="53" t="s">
        <v>370</v>
      </c>
    </row>
    <row r="1450">
      <c r="A1450" s="54" t="s">
        <v>9265</v>
      </c>
      <c r="B1450" s="50" t="s">
        <v>9266</v>
      </c>
      <c r="C1450" s="51" t="s">
        <v>687</v>
      </c>
      <c r="D1450" s="51"/>
      <c r="E1450" s="51"/>
      <c r="F1450" s="51"/>
      <c r="G1450" s="50" t="s">
        <v>9261</v>
      </c>
      <c r="H1450" s="52">
        <v>44683.3331712963</v>
      </c>
      <c r="I1450" s="50"/>
      <c r="J1450" s="50"/>
      <c r="K1450" s="50"/>
      <c r="L1450" s="50"/>
      <c r="M1450" s="50" t="s">
        <v>9267</v>
      </c>
      <c r="N1450" s="50"/>
      <c r="O1450" s="53" t="s">
        <v>92</v>
      </c>
      <c r="P1450" s="55" t="s">
        <v>9268</v>
      </c>
      <c r="Q1450" s="50">
        <v>202.0</v>
      </c>
      <c r="R1450" s="50">
        <v>382.0</v>
      </c>
      <c r="S1450" s="50"/>
      <c r="T1450" s="56" t="s">
        <v>9269</v>
      </c>
      <c r="U1450" s="53" t="s">
        <v>691</v>
      </c>
    </row>
    <row r="1451">
      <c r="A1451" s="54" t="s">
        <v>9270</v>
      </c>
      <c r="B1451" s="50" t="s">
        <v>9271</v>
      </c>
      <c r="C1451" s="51" t="s">
        <v>367</v>
      </c>
      <c r="D1451" s="51"/>
      <c r="E1451" s="51"/>
      <c r="F1451" s="51"/>
      <c r="G1451" s="50" t="s">
        <v>9272</v>
      </c>
      <c r="H1451" s="52">
        <v>44683.33309027778</v>
      </c>
      <c r="I1451" s="50"/>
      <c r="J1451" s="50"/>
      <c r="K1451" s="50"/>
      <c r="L1451" s="50"/>
      <c r="M1451" s="50" t="s">
        <v>9273</v>
      </c>
      <c r="N1451" s="50"/>
      <c r="O1451" s="53" t="s">
        <v>217</v>
      </c>
      <c r="P1451" s="55" t="s">
        <v>9274</v>
      </c>
      <c r="Q1451" s="50">
        <v>254.0</v>
      </c>
      <c r="R1451" s="50">
        <v>386.0</v>
      </c>
      <c r="S1451" s="50" t="s">
        <v>9275</v>
      </c>
      <c r="T1451" s="56" t="s">
        <v>9276</v>
      </c>
      <c r="U1451" s="53" t="s">
        <v>370</v>
      </c>
    </row>
    <row r="1452">
      <c r="A1452" s="54" t="s">
        <v>9277</v>
      </c>
      <c r="B1452" s="50" t="s">
        <v>9137</v>
      </c>
      <c r="C1452" s="51" t="s">
        <v>335</v>
      </c>
      <c r="D1452" s="51"/>
      <c r="E1452" s="51"/>
      <c r="F1452" s="51"/>
      <c r="G1452" s="50" t="s">
        <v>9278</v>
      </c>
      <c r="H1452" s="52">
        <v>44683.33284722222</v>
      </c>
      <c r="I1452" s="50"/>
      <c r="J1452" s="50"/>
      <c r="K1452" s="50"/>
      <c r="L1452" s="50"/>
      <c r="M1452" s="50" t="s">
        <v>9139</v>
      </c>
      <c r="N1452" s="50"/>
      <c r="O1452" s="53" t="s">
        <v>92</v>
      </c>
      <c r="P1452" s="55" t="s">
        <v>354</v>
      </c>
      <c r="Q1452" s="50">
        <v>559.0</v>
      </c>
      <c r="R1452" s="50">
        <v>981.0</v>
      </c>
      <c r="S1452" s="50"/>
      <c r="T1452" s="56" t="s">
        <v>9279</v>
      </c>
      <c r="U1452" s="53" t="s">
        <v>339</v>
      </c>
    </row>
    <row r="1453">
      <c r="A1453" s="54" t="s">
        <v>9280</v>
      </c>
      <c r="B1453" s="50" t="s">
        <v>9137</v>
      </c>
      <c r="C1453" s="51" t="s">
        <v>367</v>
      </c>
      <c r="D1453" s="51"/>
      <c r="E1453" s="51"/>
      <c r="F1453" s="51"/>
      <c r="G1453" s="50" t="s">
        <v>9281</v>
      </c>
      <c r="H1453" s="52">
        <v>44683.33252314814</v>
      </c>
      <c r="I1453" s="50"/>
      <c r="J1453" s="50"/>
      <c r="K1453" s="50"/>
      <c r="L1453" s="50"/>
      <c r="M1453" s="50" t="s">
        <v>9139</v>
      </c>
      <c r="N1453" s="50"/>
      <c r="O1453" s="53" t="s">
        <v>92</v>
      </c>
      <c r="P1453" s="55" t="s">
        <v>354</v>
      </c>
      <c r="Q1453" s="50">
        <v>559.0</v>
      </c>
      <c r="R1453" s="50">
        <v>981.0</v>
      </c>
      <c r="S1453" s="50"/>
      <c r="T1453" s="56" t="s">
        <v>9282</v>
      </c>
      <c r="U1453" s="53" t="s">
        <v>370</v>
      </c>
    </row>
    <row r="1454">
      <c r="A1454" s="54" t="s">
        <v>9283</v>
      </c>
      <c r="B1454" s="50" t="s">
        <v>9284</v>
      </c>
      <c r="C1454" s="51" t="s">
        <v>687</v>
      </c>
      <c r="D1454" s="51"/>
      <c r="E1454" s="51"/>
      <c r="F1454" s="51"/>
      <c r="G1454" s="50" t="s">
        <v>9285</v>
      </c>
      <c r="H1454" s="52">
        <v>44683.33251157407</v>
      </c>
      <c r="I1454" s="50"/>
      <c r="J1454" s="50"/>
      <c r="K1454" s="50"/>
      <c r="L1454" s="50"/>
      <c r="M1454" s="50" t="s">
        <v>9286</v>
      </c>
      <c r="N1454" s="50"/>
      <c r="O1454" s="53" t="s">
        <v>217</v>
      </c>
      <c r="P1454" s="55" t="s">
        <v>9287</v>
      </c>
      <c r="Q1454" s="50">
        <v>78.0</v>
      </c>
      <c r="R1454" s="50">
        <v>99.0</v>
      </c>
      <c r="S1454" s="50"/>
      <c r="T1454" s="56" t="s">
        <v>9288</v>
      </c>
      <c r="U1454" s="53" t="s">
        <v>691</v>
      </c>
    </row>
    <row r="1455">
      <c r="A1455" s="54" t="s">
        <v>9289</v>
      </c>
      <c r="B1455" s="50" t="s">
        <v>9290</v>
      </c>
      <c r="C1455" s="51" t="s">
        <v>9291</v>
      </c>
      <c r="D1455" s="51"/>
      <c r="E1455" s="51"/>
      <c r="F1455" s="51"/>
      <c r="G1455" s="50" t="s">
        <v>9285</v>
      </c>
      <c r="H1455" s="52">
        <v>44683.33251157407</v>
      </c>
      <c r="I1455" s="50"/>
      <c r="J1455" s="50"/>
      <c r="K1455" s="50"/>
      <c r="L1455" s="50"/>
      <c r="M1455" s="50" t="s">
        <v>9292</v>
      </c>
      <c r="N1455" s="50"/>
      <c r="O1455" s="53" t="s">
        <v>217</v>
      </c>
      <c r="P1455" s="55" t="s">
        <v>9293</v>
      </c>
      <c r="Q1455" s="50">
        <v>2693.0</v>
      </c>
      <c r="R1455" s="50">
        <v>3090.0</v>
      </c>
      <c r="S1455" s="50" t="s">
        <v>246</v>
      </c>
      <c r="T1455" s="56" t="s">
        <v>9294</v>
      </c>
      <c r="U1455" s="53" t="s">
        <v>9295</v>
      </c>
    </row>
    <row r="1456">
      <c r="A1456" s="54" t="s">
        <v>9296</v>
      </c>
      <c r="B1456" s="50" t="s">
        <v>2559</v>
      </c>
      <c r="C1456" s="51" t="s">
        <v>9297</v>
      </c>
      <c r="D1456" s="51"/>
      <c r="E1456" s="51"/>
      <c r="F1456" s="51"/>
      <c r="G1456" s="50" t="s">
        <v>9298</v>
      </c>
      <c r="H1456" s="52">
        <v>44683.332453703704</v>
      </c>
      <c r="I1456" s="50"/>
      <c r="J1456" s="50"/>
      <c r="K1456" s="50" t="s">
        <v>7634</v>
      </c>
      <c r="L1456" s="50" t="s">
        <v>7635</v>
      </c>
      <c r="M1456" s="50" t="s">
        <v>2564</v>
      </c>
      <c r="N1456" s="50" t="s">
        <v>9299</v>
      </c>
      <c r="O1456" s="53" t="s">
        <v>92</v>
      </c>
      <c r="P1456" s="55" t="s">
        <v>2566</v>
      </c>
      <c r="Q1456" s="50">
        <v>1217.0</v>
      </c>
      <c r="R1456" s="50">
        <v>1914.0</v>
      </c>
      <c r="S1456" s="50" t="s">
        <v>246</v>
      </c>
      <c r="T1456" s="56" t="s">
        <v>9300</v>
      </c>
      <c r="U1456" s="53" t="s">
        <v>9301</v>
      </c>
    </row>
    <row r="1457">
      <c r="A1457" s="54" t="s">
        <v>9302</v>
      </c>
      <c r="B1457" s="50" t="s">
        <v>9303</v>
      </c>
      <c r="C1457" s="51" t="s">
        <v>9304</v>
      </c>
      <c r="D1457" s="51"/>
      <c r="E1457" s="51"/>
      <c r="F1457" s="51"/>
      <c r="G1457" s="50" t="s">
        <v>9305</v>
      </c>
      <c r="H1457" s="52">
        <v>44683.33224537037</v>
      </c>
      <c r="I1457" s="50"/>
      <c r="J1457" s="50"/>
      <c r="K1457" s="50"/>
      <c r="L1457" s="50"/>
      <c r="M1457" s="50" t="s">
        <v>9306</v>
      </c>
      <c r="N1457" s="50"/>
      <c r="O1457" s="53" t="s">
        <v>92</v>
      </c>
      <c r="P1457" s="55" t="s">
        <v>9307</v>
      </c>
      <c r="Q1457" s="50">
        <v>674.0</v>
      </c>
      <c r="R1457" s="50">
        <v>2133.0</v>
      </c>
      <c r="S1457" s="50" t="s">
        <v>9308</v>
      </c>
      <c r="T1457" s="56" t="s">
        <v>9309</v>
      </c>
      <c r="U1457" s="53" t="s">
        <v>9310</v>
      </c>
    </row>
    <row r="1458">
      <c r="A1458" s="54" t="s">
        <v>9311</v>
      </c>
      <c r="B1458" s="50" t="s">
        <v>9312</v>
      </c>
      <c r="C1458" s="51" t="s">
        <v>9313</v>
      </c>
      <c r="D1458" s="51"/>
      <c r="E1458" s="51"/>
      <c r="F1458" s="51"/>
      <c r="G1458" s="50" t="s">
        <v>9314</v>
      </c>
      <c r="H1458" s="52">
        <v>44683.33189814815</v>
      </c>
      <c r="I1458" s="50"/>
      <c r="J1458" s="50"/>
      <c r="K1458" s="50"/>
      <c r="L1458" s="50"/>
      <c r="M1458" s="50" t="s">
        <v>9315</v>
      </c>
      <c r="N1458" s="50"/>
      <c r="O1458" s="53" t="s">
        <v>70</v>
      </c>
      <c r="P1458" s="55" t="s">
        <v>9316</v>
      </c>
      <c r="Q1458" s="50">
        <v>478.0</v>
      </c>
      <c r="R1458" s="50">
        <v>1168.0</v>
      </c>
      <c r="S1458" s="50"/>
      <c r="T1458" s="56" t="s">
        <v>9317</v>
      </c>
      <c r="U1458" s="53" t="s">
        <v>9318</v>
      </c>
    </row>
    <row r="1459">
      <c r="A1459" s="54" t="s">
        <v>9319</v>
      </c>
      <c r="B1459" s="50" t="s">
        <v>8632</v>
      </c>
      <c r="C1459" s="51" t="s">
        <v>316</v>
      </c>
      <c r="D1459" s="51"/>
      <c r="E1459" s="51"/>
      <c r="F1459" s="51"/>
      <c r="G1459" s="50" t="s">
        <v>9320</v>
      </c>
      <c r="H1459" s="52">
        <v>44683.33186342593</v>
      </c>
      <c r="I1459" s="50"/>
      <c r="J1459" s="50"/>
      <c r="K1459" s="50"/>
      <c r="L1459" s="50"/>
      <c r="M1459" s="50" t="s">
        <v>8634</v>
      </c>
      <c r="N1459" s="50"/>
      <c r="O1459" s="53" t="s">
        <v>70</v>
      </c>
      <c r="P1459" s="55" t="s">
        <v>8635</v>
      </c>
      <c r="Q1459" s="50">
        <v>68.0</v>
      </c>
      <c r="R1459" s="50">
        <v>605.0</v>
      </c>
      <c r="S1459" s="50"/>
      <c r="T1459" s="56" t="s">
        <v>9321</v>
      </c>
      <c r="U1459" s="53" t="s">
        <v>322</v>
      </c>
    </row>
    <row r="1460">
      <c r="A1460" s="54" t="s">
        <v>9322</v>
      </c>
      <c r="B1460" s="50" t="s">
        <v>8632</v>
      </c>
      <c r="C1460" s="51" t="s">
        <v>329</v>
      </c>
      <c r="D1460" s="51"/>
      <c r="E1460" s="51"/>
      <c r="F1460" s="51"/>
      <c r="G1460" s="50" t="s">
        <v>9323</v>
      </c>
      <c r="H1460" s="52">
        <v>44683.331782407404</v>
      </c>
      <c r="I1460" s="50"/>
      <c r="J1460" s="50"/>
      <c r="K1460" s="50"/>
      <c r="L1460" s="50"/>
      <c r="M1460" s="50" t="s">
        <v>8634</v>
      </c>
      <c r="N1460" s="50"/>
      <c r="O1460" s="53" t="s">
        <v>70</v>
      </c>
      <c r="P1460" s="55" t="s">
        <v>8635</v>
      </c>
      <c r="Q1460" s="50">
        <v>68.0</v>
      </c>
      <c r="R1460" s="50">
        <v>605.0</v>
      </c>
      <c r="S1460" s="50"/>
      <c r="T1460" s="56" t="s">
        <v>9324</v>
      </c>
      <c r="U1460" s="53" t="s">
        <v>332</v>
      </c>
    </row>
    <row r="1461">
      <c r="A1461" s="54" t="s">
        <v>9325</v>
      </c>
      <c r="B1461" s="50" t="s">
        <v>9326</v>
      </c>
      <c r="C1461" s="51" t="s">
        <v>367</v>
      </c>
      <c r="D1461" s="51"/>
      <c r="E1461" s="51"/>
      <c r="F1461" s="51"/>
      <c r="G1461" s="50" t="s">
        <v>9327</v>
      </c>
      <c r="H1461" s="52">
        <v>44683.331655092596</v>
      </c>
      <c r="I1461" s="50"/>
      <c r="J1461" s="50"/>
      <c r="K1461" s="50"/>
      <c r="L1461" s="50"/>
      <c r="M1461" s="50" t="s">
        <v>9328</v>
      </c>
      <c r="N1461" s="50"/>
      <c r="O1461" s="53" t="s">
        <v>217</v>
      </c>
      <c r="P1461" s="55" t="s">
        <v>354</v>
      </c>
      <c r="Q1461" s="50">
        <v>39.0</v>
      </c>
      <c r="R1461" s="50">
        <v>46.0</v>
      </c>
      <c r="S1461" s="50"/>
      <c r="T1461" s="56" t="s">
        <v>9329</v>
      </c>
      <c r="U1461" s="53" t="s">
        <v>370</v>
      </c>
    </row>
    <row r="1462">
      <c r="A1462" s="54" t="s">
        <v>9330</v>
      </c>
      <c r="B1462" s="50" t="s">
        <v>9331</v>
      </c>
      <c r="C1462" s="51" t="s">
        <v>687</v>
      </c>
      <c r="D1462" s="51"/>
      <c r="E1462" s="51"/>
      <c r="F1462" s="51"/>
      <c r="G1462" s="50" t="s">
        <v>9332</v>
      </c>
      <c r="H1462" s="52">
        <v>44683.331145833334</v>
      </c>
      <c r="I1462" s="50"/>
      <c r="J1462" s="50"/>
      <c r="K1462" s="50"/>
      <c r="L1462" s="50"/>
      <c r="M1462" s="50" t="s">
        <v>9333</v>
      </c>
      <c r="N1462" s="50"/>
      <c r="O1462" s="53" t="s">
        <v>70</v>
      </c>
      <c r="P1462" s="55" t="s">
        <v>9334</v>
      </c>
      <c r="Q1462" s="50">
        <v>549.0</v>
      </c>
      <c r="R1462" s="50">
        <v>1425.0</v>
      </c>
      <c r="S1462" s="50"/>
      <c r="T1462" s="56" t="s">
        <v>9335</v>
      </c>
      <c r="U1462" s="53" t="s">
        <v>691</v>
      </c>
    </row>
    <row r="1463">
      <c r="A1463" s="54" t="s">
        <v>9336</v>
      </c>
      <c r="B1463" s="50" t="s">
        <v>9337</v>
      </c>
      <c r="C1463" s="51" t="s">
        <v>367</v>
      </c>
      <c r="D1463" s="51"/>
      <c r="E1463" s="51"/>
      <c r="F1463" s="51"/>
      <c r="G1463" s="50" t="s">
        <v>9338</v>
      </c>
      <c r="H1463" s="52">
        <v>44683.33090277778</v>
      </c>
      <c r="I1463" s="50"/>
      <c r="J1463" s="50"/>
      <c r="K1463" s="50"/>
      <c r="L1463" s="50"/>
      <c r="M1463" s="50" t="s">
        <v>9339</v>
      </c>
      <c r="N1463" s="50"/>
      <c r="O1463" s="53" t="s">
        <v>217</v>
      </c>
      <c r="P1463" s="55" t="s">
        <v>9340</v>
      </c>
      <c r="Q1463" s="50">
        <v>1471.0</v>
      </c>
      <c r="R1463" s="50">
        <v>2758.0</v>
      </c>
      <c r="S1463" s="50" t="s">
        <v>9341</v>
      </c>
      <c r="T1463" s="56" t="s">
        <v>9342</v>
      </c>
      <c r="U1463" s="53" t="s">
        <v>370</v>
      </c>
    </row>
    <row r="1464">
      <c r="A1464" s="54" t="s">
        <v>9343</v>
      </c>
      <c r="B1464" s="50" t="s">
        <v>552</v>
      </c>
      <c r="C1464" s="51" t="s">
        <v>9344</v>
      </c>
      <c r="D1464" s="51"/>
      <c r="E1464" s="51"/>
      <c r="F1464" s="51"/>
      <c r="G1464" s="50" t="s">
        <v>9345</v>
      </c>
      <c r="H1464" s="52">
        <v>44683.3308912037</v>
      </c>
      <c r="I1464" s="50"/>
      <c r="J1464" s="50"/>
      <c r="K1464" s="50"/>
      <c r="L1464" s="50"/>
      <c r="M1464" s="50" t="s">
        <v>555</v>
      </c>
      <c r="N1464" s="50"/>
      <c r="O1464" s="53" t="s">
        <v>92</v>
      </c>
      <c r="P1464" s="55" t="s">
        <v>556</v>
      </c>
      <c r="Q1464" s="50">
        <v>4596.0</v>
      </c>
      <c r="R1464" s="50">
        <v>3466.0</v>
      </c>
      <c r="S1464" s="50" t="s">
        <v>557</v>
      </c>
      <c r="T1464" s="56" t="s">
        <v>9346</v>
      </c>
      <c r="U1464" s="53" t="s">
        <v>9347</v>
      </c>
    </row>
    <row r="1465">
      <c r="A1465" s="54" t="s">
        <v>9348</v>
      </c>
      <c r="B1465" s="50" t="s">
        <v>9349</v>
      </c>
      <c r="C1465" s="51" t="s">
        <v>367</v>
      </c>
      <c r="D1465" s="51"/>
      <c r="E1465" s="51"/>
      <c r="F1465" s="51"/>
      <c r="G1465" s="50" t="s">
        <v>9350</v>
      </c>
      <c r="H1465" s="52">
        <v>44683.330196759256</v>
      </c>
      <c r="I1465" s="50"/>
      <c r="J1465" s="50"/>
      <c r="K1465" s="50"/>
      <c r="L1465" s="50"/>
      <c r="M1465" s="50" t="s">
        <v>9351</v>
      </c>
      <c r="N1465" s="50"/>
      <c r="O1465" s="53" t="s">
        <v>70</v>
      </c>
      <c r="P1465" s="55" t="s">
        <v>9352</v>
      </c>
      <c r="Q1465" s="50">
        <v>310.0</v>
      </c>
      <c r="R1465" s="50">
        <v>424.0</v>
      </c>
      <c r="S1465" s="50"/>
      <c r="T1465" s="56" t="s">
        <v>9353</v>
      </c>
      <c r="U1465" s="53" t="s">
        <v>370</v>
      </c>
    </row>
    <row r="1466">
      <c r="A1466" s="54" t="s">
        <v>9354</v>
      </c>
      <c r="B1466" s="50" t="s">
        <v>9355</v>
      </c>
      <c r="C1466" s="51" t="s">
        <v>367</v>
      </c>
      <c r="D1466" s="51"/>
      <c r="E1466" s="51"/>
      <c r="F1466" s="51"/>
      <c r="G1466" s="50" t="s">
        <v>9356</v>
      </c>
      <c r="H1466" s="52">
        <v>44683.33002314815</v>
      </c>
      <c r="I1466" s="50"/>
      <c r="J1466" s="50"/>
      <c r="K1466" s="50"/>
      <c r="L1466" s="50"/>
      <c r="M1466" s="50" t="s">
        <v>9357</v>
      </c>
      <c r="N1466" s="50"/>
      <c r="O1466" s="53" t="s">
        <v>92</v>
      </c>
      <c r="P1466" s="55" t="s">
        <v>354</v>
      </c>
      <c r="Q1466" s="50">
        <v>16.0</v>
      </c>
      <c r="R1466" s="50">
        <v>126.0</v>
      </c>
      <c r="S1466" s="50" t="s">
        <v>9358</v>
      </c>
      <c r="T1466" s="56" t="s">
        <v>9359</v>
      </c>
      <c r="U1466" s="53" t="s">
        <v>370</v>
      </c>
    </row>
    <row r="1467">
      <c r="A1467" s="54" t="s">
        <v>9360</v>
      </c>
      <c r="B1467" s="50" t="s">
        <v>9361</v>
      </c>
      <c r="C1467" s="51" t="s">
        <v>9362</v>
      </c>
      <c r="D1467" s="51"/>
      <c r="E1467" s="51"/>
      <c r="F1467" s="51"/>
      <c r="G1467" s="50" t="s">
        <v>9363</v>
      </c>
      <c r="H1467" s="52">
        <v>44683.32986111111</v>
      </c>
      <c r="I1467" s="50"/>
      <c r="J1467" s="50"/>
      <c r="K1467" s="50"/>
      <c r="L1467" s="50"/>
      <c r="M1467" s="50" t="s">
        <v>9364</v>
      </c>
      <c r="N1467" s="50"/>
      <c r="O1467" s="53" t="s">
        <v>9365</v>
      </c>
      <c r="P1467" s="55" t="s">
        <v>9366</v>
      </c>
      <c r="Q1467" s="50">
        <v>145702.0</v>
      </c>
      <c r="R1467" s="50">
        <v>821.0</v>
      </c>
      <c r="S1467" s="50" t="s">
        <v>9367</v>
      </c>
      <c r="T1467" s="56" t="s">
        <v>9368</v>
      </c>
      <c r="U1467" s="53" t="s">
        <v>9369</v>
      </c>
    </row>
    <row r="1468">
      <c r="A1468" s="54" t="s">
        <v>9370</v>
      </c>
      <c r="B1468" s="50" t="s">
        <v>9371</v>
      </c>
      <c r="C1468" s="51" t="s">
        <v>367</v>
      </c>
      <c r="D1468" s="51"/>
      <c r="E1468" s="51"/>
      <c r="F1468" s="51"/>
      <c r="G1468" s="50" t="s">
        <v>9372</v>
      </c>
      <c r="H1468" s="52">
        <v>44683.32974537037</v>
      </c>
      <c r="I1468" s="50"/>
      <c r="J1468" s="50"/>
      <c r="K1468" s="50"/>
      <c r="L1468" s="50"/>
      <c r="M1468" s="50" t="s">
        <v>9373</v>
      </c>
      <c r="N1468" s="50"/>
      <c r="O1468" s="53" t="s">
        <v>70</v>
      </c>
      <c r="P1468" s="55" t="s">
        <v>9374</v>
      </c>
      <c r="Q1468" s="50">
        <v>387.0</v>
      </c>
      <c r="R1468" s="50">
        <v>555.0</v>
      </c>
      <c r="S1468" s="50" t="s">
        <v>9375</v>
      </c>
      <c r="T1468" s="56" t="s">
        <v>9376</v>
      </c>
      <c r="U1468" s="53" t="s">
        <v>370</v>
      </c>
    </row>
    <row r="1469">
      <c r="A1469" s="54" t="s">
        <v>9377</v>
      </c>
      <c r="B1469" s="50" t="s">
        <v>9378</v>
      </c>
      <c r="C1469" s="51" t="s">
        <v>367</v>
      </c>
      <c r="D1469" s="51"/>
      <c r="E1469" s="51"/>
      <c r="F1469" s="51"/>
      <c r="G1469" s="50" t="s">
        <v>9379</v>
      </c>
      <c r="H1469" s="52">
        <v>44683.32969907408</v>
      </c>
      <c r="I1469" s="50"/>
      <c r="J1469" s="50"/>
      <c r="K1469" s="50"/>
      <c r="L1469" s="50"/>
      <c r="M1469" s="50" t="s">
        <v>9380</v>
      </c>
      <c r="N1469" s="50"/>
      <c r="O1469" s="53" t="s">
        <v>217</v>
      </c>
      <c r="P1469" s="55" t="s">
        <v>9381</v>
      </c>
      <c r="Q1469" s="50">
        <v>2118.0</v>
      </c>
      <c r="R1469" s="50">
        <v>2878.0</v>
      </c>
      <c r="S1469" s="50"/>
      <c r="T1469" s="56" t="s">
        <v>9382</v>
      </c>
      <c r="U1469" s="53" t="s">
        <v>370</v>
      </c>
    </row>
    <row r="1470">
      <c r="A1470" s="54" t="s">
        <v>9383</v>
      </c>
      <c r="B1470" s="50" t="s">
        <v>4232</v>
      </c>
      <c r="C1470" s="51" t="s">
        <v>9384</v>
      </c>
      <c r="D1470" s="51"/>
      <c r="E1470" s="51"/>
      <c r="F1470" s="51"/>
      <c r="G1470" s="50" t="s">
        <v>9385</v>
      </c>
      <c r="H1470" s="52">
        <v>44683.329664351855</v>
      </c>
      <c r="I1470" s="50"/>
      <c r="J1470" s="50"/>
      <c r="K1470" s="50"/>
      <c r="L1470" s="50"/>
      <c r="M1470" s="50" t="s">
        <v>4235</v>
      </c>
      <c r="N1470" s="50"/>
      <c r="O1470" s="53" t="s">
        <v>70</v>
      </c>
      <c r="P1470" s="55" t="s">
        <v>354</v>
      </c>
      <c r="Q1470" s="50">
        <v>626.0</v>
      </c>
      <c r="R1470" s="50">
        <v>330.0</v>
      </c>
      <c r="S1470" s="50"/>
      <c r="T1470" s="56" t="s">
        <v>9386</v>
      </c>
      <c r="U1470" s="53" t="s">
        <v>9387</v>
      </c>
    </row>
    <row r="1471">
      <c r="A1471" s="54" t="s">
        <v>9388</v>
      </c>
      <c r="B1471" s="50" t="s">
        <v>9389</v>
      </c>
      <c r="C1471" s="51" t="s">
        <v>9291</v>
      </c>
      <c r="D1471" s="51"/>
      <c r="E1471" s="51"/>
      <c r="F1471" s="51"/>
      <c r="G1471" s="50" t="s">
        <v>9390</v>
      </c>
      <c r="H1471" s="52">
        <v>44683.3296412037</v>
      </c>
      <c r="I1471" s="50"/>
      <c r="J1471" s="50"/>
      <c r="K1471" s="50"/>
      <c r="L1471" s="50"/>
      <c r="M1471" s="50" t="s">
        <v>9391</v>
      </c>
      <c r="N1471" s="50"/>
      <c r="O1471" s="53" t="s">
        <v>70</v>
      </c>
      <c r="P1471" s="55" t="s">
        <v>354</v>
      </c>
      <c r="Q1471" s="50">
        <v>622.0</v>
      </c>
      <c r="R1471" s="50">
        <v>579.0</v>
      </c>
      <c r="S1471" s="50" t="s">
        <v>379</v>
      </c>
      <c r="T1471" s="56" t="s">
        <v>9392</v>
      </c>
      <c r="U1471" s="53" t="s">
        <v>9295</v>
      </c>
    </row>
    <row r="1472">
      <c r="A1472" s="54" t="s">
        <v>9393</v>
      </c>
      <c r="B1472" s="50" t="s">
        <v>625</v>
      </c>
      <c r="C1472" s="51" t="s">
        <v>9394</v>
      </c>
      <c r="D1472" s="51"/>
      <c r="E1472" s="51"/>
      <c r="F1472" s="51"/>
      <c r="G1472" s="50" t="s">
        <v>9395</v>
      </c>
      <c r="H1472" s="52">
        <v>44683.32945601852</v>
      </c>
      <c r="I1472" s="50"/>
      <c r="J1472" s="50"/>
      <c r="K1472" s="50" t="s">
        <v>9396</v>
      </c>
      <c r="L1472" s="50" t="s">
        <v>9397</v>
      </c>
      <c r="M1472" s="50" t="s">
        <v>630</v>
      </c>
      <c r="N1472" s="50"/>
      <c r="O1472" s="53" t="s">
        <v>60</v>
      </c>
      <c r="P1472" s="55" t="s">
        <v>632</v>
      </c>
      <c r="Q1472" s="50">
        <v>5102.0</v>
      </c>
      <c r="R1472" s="50">
        <v>4680.0</v>
      </c>
      <c r="S1472" s="50"/>
      <c r="T1472" s="56" t="s">
        <v>9398</v>
      </c>
      <c r="U1472" s="53" t="s">
        <v>9399</v>
      </c>
    </row>
    <row r="1473">
      <c r="A1473" s="54" t="s">
        <v>9400</v>
      </c>
      <c r="B1473" s="50" t="s">
        <v>3001</v>
      </c>
      <c r="C1473" s="51" t="s">
        <v>9401</v>
      </c>
      <c r="D1473" s="51"/>
      <c r="E1473" s="51"/>
      <c r="F1473" s="51"/>
      <c r="G1473" s="50" t="s">
        <v>9402</v>
      </c>
      <c r="H1473" s="52">
        <v>44683.32902777778</v>
      </c>
      <c r="I1473" s="50"/>
      <c r="J1473" s="50"/>
      <c r="K1473" s="50" t="s">
        <v>9403</v>
      </c>
      <c r="L1473" s="50" t="s">
        <v>9404</v>
      </c>
      <c r="M1473" s="50" t="s">
        <v>3006</v>
      </c>
      <c r="N1473" s="50" t="s">
        <v>9405</v>
      </c>
      <c r="O1473" s="53" t="s">
        <v>60</v>
      </c>
      <c r="P1473" s="55" t="s">
        <v>3008</v>
      </c>
      <c r="Q1473" s="50">
        <v>728.0</v>
      </c>
      <c r="R1473" s="50">
        <v>349.0</v>
      </c>
      <c r="S1473" s="50" t="s">
        <v>246</v>
      </c>
      <c r="T1473" s="56" t="s">
        <v>9406</v>
      </c>
      <c r="U1473" s="53" t="s">
        <v>9407</v>
      </c>
    </row>
    <row r="1474">
      <c r="A1474" s="54" t="s">
        <v>9408</v>
      </c>
      <c r="B1474" s="50" t="s">
        <v>9409</v>
      </c>
      <c r="C1474" s="51" t="s">
        <v>1307</v>
      </c>
      <c r="D1474" s="51"/>
      <c r="E1474" s="51"/>
      <c r="F1474" s="51"/>
      <c r="G1474" s="50" t="s">
        <v>9410</v>
      </c>
      <c r="H1474" s="52">
        <v>44683.328993055555</v>
      </c>
      <c r="I1474" s="50"/>
      <c r="J1474" s="50"/>
      <c r="K1474" s="50"/>
      <c r="L1474" s="50"/>
      <c r="M1474" s="50" t="s">
        <v>9411</v>
      </c>
      <c r="N1474" s="50"/>
      <c r="O1474" s="53" t="s">
        <v>92</v>
      </c>
      <c r="P1474" s="55" t="s">
        <v>9412</v>
      </c>
      <c r="Q1474" s="50">
        <v>123.0</v>
      </c>
      <c r="R1474" s="50">
        <v>274.0</v>
      </c>
      <c r="S1474" s="50"/>
      <c r="T1474" s="56" t="s">
        <v>9413</v>
      </c>
      <c r="U1474" s="53" t="s">
        <v>1313</v>
      </c>
    </row>
    <row r="1475">
      <c r="A1475" s="54" t="s">
        <v>9414</v>
      </c>
      <c r="B1475" s="50" t="s">
        <v>9415</v>
      </c>
      <c r="C1475" s="51" t="s">
        <v>316</v>
      </c>
      <c r="D1475" s="51"/>
      <c r="E1475" s="51"/>
      <c r="F1475" s="51"/>
      <c r="G1475" s="50" t="s">
        <v>9416</v>
      </c>
      <c r="H1475" s="52">
        <v>44683.3284375</v>
      </c>
      <c r="I1475" s="50"/>
      <c r="J1475" s="50"/>
      <c r="K1475" s="50"/>
      <c r="L1475" s="50"/>
      <c r="M1475" s="50" t="s">
        <v>9417</v>
      </c>
      <c r="N1475" s="50"/>
      <c r="O1475" s="53" t="s">
        <v>92</v>
      </c>
      <c r="P1475" s="55" t="s">
        <v>9418</v>
      </c>
      <c r="Q1475" s="50">
        <v>1445.0</v>
      </c>
      <c r="R1475" s="50">
        <v>1874.0</v>
      </c>
      <c r="S1475" s="50"/>
      <c r="T1475" s="56" t="s">
        <v>9419</v>
      </c>
      <c r="U1475" s="53" t="s">
        <v>322</v>
      </c>
    </row>
    <row r="1476">
      <c r="A1476" s="54" t="s">
        <v>9420</v>
      </c>
      <c r="B1476" s="50" t="s">
        <v>9421</v>
      </c>
      <c r="C1476" s="51" t="s">
        <v>9422</v>
      </c>
      <c r="D1476" s="51"/>
      <c r="E1476" s="51"/>
      <c r="F1476" s="51"/>
      <c r="G1476" s="50" t="s">
        <v>9423</v>
      </c>
      <c r="H1476" s="52">
        <v>44683.328414351854</v>
      </c>
      <c r="I1476" s="50"/>
      <c r="J1476" s="50"/>
      <c r="K1476" s="50"/>
      <c r="L1476" s="50"/>
      <c r="M1476" s="50" t="s">
        <v>9424</v>
      </c>
      <c r="N1476" s="50"/>
      <c r="O1476" s="53" t="s">
        <v>92</v>
      </c>
      <c r="P1476" s="55" t="s">
        <v>9425</v>
      </c>
      <c r="Q1476" s="50">
        <v>819.0</v>
      </c>
      <c r="R1476" s="50">
        <v>3316.0</v>
      </c>
      <c r="S1476" s="50"/>
      <c r="T1476" s="56" t="s">
        <v>9426</v>
      </c>
      <c r="U1476" s="53" t="s">
        <v>9427</v>
      </c>
    </row>
    <row r="1477">
      <c r="A1477" s="54" t="s">
        <v>9428</v>
      </c>
      <c r="B1477" s="50" t="s">
        <v>9429</v>
      </c>
      <c r="C1477" s="51" t="s">
        <v>367</v>
      </c>
      <c r="D1477" s="51"/>
      <c r="E1477" s="51"/>
      <c r="F1477" s="51"/>
      <c r="G1477" s="50" t="s">
        <v>9430</v>
      </c>
      <c r="H1477" s="52">
        <v>44683.32827546296</v>
      </c>
      <c r="I1477" s="50"/>
      <c r="J1477" s="50"/>
      <c r="K1477" s="50"/>
      <c r="L1477" s="50"/>
      <c r="M1477" s="50" t="s">
        <v>9431</v>
      </c>
      <c r="N1477" s="50"/>
      <c r="O1477" s="53" t="s">
        <v>60</v>
      </c>
      <c r="P1477" s="55" t="s">
        <v>9432</v>
      </c>
      <c r="Q1477" s="50">
        <v>1104.0</v>
      </c>
      <c r="R1477" s="50">
        <v>1483.0</v>
      </c>
      <c r="S1477" s="50" t="s">
        <v>9433</v>
      </c>
      <c r="T1477" s="56" t="s">
        <v>9434</v>
      </c>
      <c r="U1477" s="53" t="s">
        <v>370</v>
      </c>
    </row>
    <row r="1478">
      <c r="A1478" s="54" t="s">
        <v>9435</v>
      </c>
      <c r="B1478" s="50" t="s">
        <v>9415</v>
      </c>
      <c r="C1478" s="51" t="s">
        <v>329</v>
      </c>
      <c r="D1478" s="51"/>
      <c r="E1478" s="51"/>
      <c r="F1478" s="51"/>
      <c r="G1478" s="50" t="s">
        <v>9436</v>
      </c>
      <c r="H1478" s="52">
        <v>44683.328252314815</v>
      </c>
      <c r="I1478" s="50"/>
      <c r="J1478" s="50"/>
      <c r="K1478" s="50"/>
      <c r="L1478" s="50"/>
      <c r="M1478" s="50" t="s">
        <v>9417</v>
      </c>
      <c r="N1478" s="50"/>
      <c r="O1478" s="53" t="s">
        <v>92</v>
      </c>
      <c r="P1478" s="55" t="s">
        <v>9418</v>
      </c>
      <c r="Q1478" s="50">
        <v>1445.0</v>
      </c>
      <c r="R1478" s="50">
        <v>1874.0</v>
      </c>
      <c r="S1478" s="50"/>
      <c r="T1478" s="56" t="s">
        <v>9437</v>
      </c>
      <c r="U1478" s="53" t="s">
        <v>332</v>
      </c>
    </row>
    <row r="1479">
      <c r="A1479" s="54" t="s">
        <v>9438</v>
      </c>
      <c r="B1479" s="50" t="s">
        <v>9439</v>
      </c>
      <c r="C1479" s="51" t="s">
        <v>316</v>
      </c>
      <c r="D1479" s="51"/>
      <c r="E1479" s="51"/>
      <c r="F1479" s="51"/>
      <c r="G1479" s="50" t="s">
        <v>9440</v>
      </c>
      <c r="H1479" s="52">
        <v>44683.32818287037</v>
      </c>
      <c r="I1479" s="50"/>
      <c r="J1479" s="50"/>
      <c r="K1479" s="50"/>
      <c r="L1479" s="50"/>
      <c r="M1479" s="50" t="s">
        <v>9441</v>
      </c>
      <c r="N1479" s="50"/>
      <c r="O1479" s="53" t="s">
        <v>92</v>
      </c>
      <c r="P1479" s="55" t="s">
        <v>9442</v>
      </c>
      <c r="Q1479" s="50">
        <v>265.0</v>
      </c>
      <c r="R1479" s="50">
        <v>584.0</v>
      </c>
      <c r="S1479" s="50" t="s">
        <v>9443</v>
      </c>
      <c r="T1479" s="56" t="s">
        <v>9444</v>
      </c>
      <c r="U1479" s="53" t="s">
        <v>322</v>
      </c>
    </row>
    <row r="1480">
      <c r="A1480" s="54" t="s">
        <v>9445</v>
      </c>
      <c r="B1480" s="50" t="s">
        <v>9446</v>
      </c>
      <c r="C1480" s="51" t="s">
        <v>9447</v>
      </c>
      <c r="D1480" s="51"/>
      <c r="E1480" s="51"/>
      <c r="F1480" s="51"/>
      <c r="G1480" s="50" t="s">
        <v>9448</v>
      </c>
      <c r="H1480" s="52">
        <v>44683.328125</v>
      </c>
      <c r="I1480" s="50"/>
      <c r="J1480" s="50"/>
      <c r="K1480" s="50"/>
      <c r="L1480" s="50"/>
      <c r="M1480" s="50" t="s">
        <v>9449</v>
      </c>
      <c r="N1480" s="50"/>
      <c r="O1480" s="53" t="s">
        <v>92</v>
      </c>
      <c r="P1480" s="55" t="s">
        <v>9450</v>
      </c>
      <c r="Q1480" s="50">
        <v>321.0</v>
      </c>
      <c r="R1480" s="50">
        <v>319.0</v>
      </c>
      <c r="S1480" s="50" t="s">
        <v>9451</v>
      </c>
      <c r="T1480" s="56" t="s">
        <v>9452</v>
      </c>
      <c r="U1480" s="53" t="s">
        <v>9453</v>
      </c>
    </row>
    <row r="1481">
      <c r="A1481" s="54" t="s">
        <v>9454</v>
      </c>
      <c r="B1481" s="50" t="s">
        <v>9415</v>
      </c>
      <c r="C1481" s="51" t="s">
        <v>335</v>
      </c>
      <c r="D1481" s="51"/>
      <c r="E1481" s="51"/>
      <c r="F1481" s="51"/>
      <c r="G1481" s="50" t="s">
        <v>9455</v>
      </c>
      <c r="H1481" s="52">
        <v>44683.32806712963</v>
      </c>
      <c r="I1481" s="50"/>
      <c r="J1481" s="50"/>
      <c r="K1481" s="50"/>
      <c r="L1481" s="50"/>
      <c r="M1481" s="50" t="s">
        <v>9417</v>
      </c>
      <c r="N1481" s="50"/>
      <c r="O1481" s="53" t="s">
        <v>92</v>
      </c>
      <c r="P1481" s="55" t="s">
        <v>9418</v>
      </c>
      <c r="Q1481" s="50">
        <v>1445.0</v>
      </c>
      <c r="R1481" s="50">
        <v>1874.0</v>
      </c>
      <c r="S1481" s="50"/>
      <c r="T1481" s="56" t="s">
        <v>9456</v>
      </c>
      <c r="U1481" s="53" t="s">
        <v>339</v>
      </c>
    </row>
    <row r="1482">
      <c r="A1482" s="54" t="s">
        <v>9457</v>
      </c>
      <c r="B1482" s="50" t="s">
        <v>9415</v>
      </c>
      <c r="C1482" s="51" t="s">
        <v>363</v>
      </c>
      <c r="D1482" s="51"/>
      <c r="E1482" s="51"/>
      <c r="F1482" s="51"/>
      <c r="G1482" s="50" t="s">
        <v>9458</v>
      </c>
      <c r="H1482" s="52">
        <v>44683.3278125</v>
      </c>
      <c r="I1482" s="50"/>
      <c r="J1482" s="50"/>
      <c r="K1482" s="50"/>
      <c r="L1482" s="50"/>
      <c r="M1482" s="50" t="s">
        <v>9417</v>
      </c>
      <c r="N1482" s="50"/>
      <c r="O1482" s="53" t="s">
        <v>92</v>
      </c>
      <c r="P1482" s="55" t="s">
        <v>9418</v>
      </c>
      <c r="Q1482" s="50">
        <v>1445.0</v>
      </c>
      <c r="R1482" s="50">
        <v>1874.0</v>
      </c>
      <c r="S1482" s="50"/>
      <c r="T1482" s="56" t="s">
        <v>9459</v>
      </c>
      <c r="U1482" s="53" t="s">
        <v>332</v>
      </c>
    </row>
    <row r="1483">
      <c r="A1483" s="54" t="s">
        <v>9460</v>
      </c>
      <c r="B1483" s="50" t="s">
        <v>9461</v>
      </c>
      <c r="C1483" s="51" t="s">
        <v>367</v>
      </c>
      <c r="D1483" s="51"/>
      <c r="E1483" s="51"/>
      <c r="F1483" s="51"/>
      <c r="G1483" s="50" t="s">
        <v>9462</v>
      </c>
      <c r="H1483" s="52">
        <v>44683.32774305556</v>
      </c>
      <c r="I1483" s="50"/>
      <c r="J1483" s="50"/>
      <c r="K1483" s="50"/>
      <c r="L1483" s="50"/>
      <c r="M1483" s="50" t="s">
        <v>9463</v>
      </c>
      <c r="N1483" s="50"/>
      <c r="O1483" s="53" t="s">
        <v>70</v>
      </c>
      <c r="P1483" s="55" t="s">
        <v>9464</v>
      </c>
      <c r="Q1483" s="50">
        <v>1486.0</v>
      </c>
      <c r="R1483" s="50">
        <v>790.0</v>
      </c>
      <c r="S1483" s="50"/>
      <c r="T1483" s="56" t="s">
        <v>9465</v>
      </c>
      <c r="U1483" s="53" t="s">
        <v>370</v>
      </c>
    </row>
    <row r="1484">
      <c r="A1484" s="54" t="s">
        <v>9466</v>
      </c>
      <c r="B1484" s="50" t="s">
        <v>9467</v>
      </c>
      <c r="C1484" s="51" t="s">
        <v>5847</v>
      </c>
      <c r="D1484" s="51"/>
      <c r="E1484" s="51"/>
      <c r="F1484" s="51"/>
      <c r="G1484" s="50" t="s">
        <v>9468</v>
      </c>
      <c r="H1484" s="52">
        <v>44683.32766203704</v>
      </c>
      <c r="I1484" s="50"/>
      <c r="J1484" s="50"/>
      <c r="K1484" s="50"/>
      <c r="L1484" s="50"/>
      <c r="M1484" s="50" t="s">
        <v>9469</v>
      </c>
      <c r="N1484" s="50"/>
      <c r="O1484" s="53" t="s">
        <v>217</v>
      </c>
      <c r="P1484" s="55" t="s">
        <v>9470</v>
      </c>
      <c r="Q1484" s="50">
        <v>773.0</v>
      </c>
      <c r="R1484" s="50">
        <v>857.0</v>
      </c>
      <c r="S1484" s="50" t="s">
        <v>219</v>
      </c>
      <c r="T1484" s="56" t="s">
        <v>9471</v>
      </c>
      <c r="U1484" s="53" t="s">
        <v>5853</v>
      </c>
    </row>
    <row r="1485">
      <c r="A1485" s="54" t="s">
        <v>9472</v>
      </c>
      <c r="B1485" s="50" t="s">
        <v>9473</v>
      </c>
      <c r="C1485" s="51" t="s">
        <v>1307</v>
      </c>
      <c r="D1485" s="51"/>
      <c r="E1485" s="51"/>
      <c r="F1485" s="51"/>
      <c r="G1485" s="50" t="s">
        <v>9474</v>
      </c>
      <c r="H1485" s="52">
        <v>44683.32765046296</v>
      </c>
      <c r="I1485" s="50"/>
      <c r="J1485" s="50"/>
      <c r="K1485" s="50"/>
      <c r="L1485" s="50"/>
      <c r="M1485" s="50" t="s">
        <v>9475</v>
      </c>
      <c r="N1485" s="50"/>
      <c r="O1485" s="53" t="s">
        <v>60</v>
      </c>
      <c r="P1485" s="55" t="s">
        <v>9476</v>
      </c>
      <c r="Q1485" s="50">
        <v>14954.0</v>
      </c>
      <c r="R1485" s="50">
        <v>16160.0</v>
      </c>
      <c r="S1485" s="50"/>
      <c r="T1485" s="56" t="s">
        <v>9477</v>
      </c>
      <c r="U1485" s="53" t="s">
        <v>1313</v>
      </c>
    </row>
    <row r="1486">
      <c r="A1486" s="54" t="s">
        <v>9478</v>
      </c>
      <c r="B1486" s="50" t="s">
        <v>9479</v>
      </c>
      <c r="C1486" s="51" t="s">
        <v>9480</v>
      </c>
      <c r="D1486" s="51"/>
      <c r="E1486" s="51"/>
      <c r="F1486" s="51"/>
      <c r="G1486" s="50" t="s">
        <v>9481</v>
      </c>
      <c r="H1486" s="52">
        <v>44683.327581018515</v>
      </c>
      <c r="I1486" s="50"/>
      <c r="J1486" s="50"/>
      <c r="K1486" s="50"/>
      <c r="L1486" s="50"/>
      <c r="M1486" s="50" t="s">
        <v>9482</v>
      </c>
      <c r="N1486" s="50"/>
      <c r="O1486" s="53" t="s">
        <v>70</v>
      </c>
      <c r="P1486" s="55" t="s">
        <v>354</v>
      </c>
      <c r="Q1486" s="50">
        <v>44.0</v>
      </c>
      <c r="R1486" s="50">
        <v>1020.0</v>
      </c>
      <c r="S1486" s="50"/>
      <c r="T1486" s="56" t="s">
        <v>9483</v>
      </c>
      <c r="U1486" s="53" t="s">
        <v>9484</v>
      </c>
    </row>
    <row r="1487">
      <c r="A1487" s="54" t="s">
        <v>9485</v>
      </c>
      <c r="B1487" s="50" t="s">
        <v>9486</v>
      </c>
      <c r="C1487" s="51" t="s">
        <v>9487</v>
      </c>
      <c r="D1487" s="51"/>
      <c r="E1487" s="51"/>
      <c r="F1487" s="51"/>
      <c r="G1487" s="50" t="s">
        <v>9488</v>
      </c>
      <c r="H1487" s="52">
        <v>44683.327569444446</v>
      </c>
      <c r="I1487" s="50"/>
      <c r="J1487" s="50"/>
      <c r="K1487" s="50"/>
      <c r="L1487" s="50"/>
      <c r="M1487" s="50" t="s">
        <v>9489</v>
      </c>
      <c r="N1487" s="50"/>
      <c r="O1487" s="53" t="s">
        <v>217</v>
      </c>
      <c r="P1487" s="55" t="s">
        <v>354</v>
      </c>
      <c r="Q1487" s="50">
        <v>44.0</v>
      </c>
      <c r="R1487" s="50">
        <v>152.0</v>
      </c>
      <c r="S1487" s="50" t="s">
        <v>219</v>
      </c>
      <c r="T1487" s="56" t="s">
        <v>9490</v>
      </c>
      <c r="U1487" s="53" t="s">
        <v>691</v>
      </c>
    </row>
    <row r="1488">
      <c r="A1488" s="54" t="s">
        <v>9491</v>
      </c>
      <c r="B1488" s="50" t="s">
        <v>9492</v>
      </c>
      <c r="C1488" s="51" t="s">
        <v>316</v>
      </c>
      <c r="D1488" s="51"/>
      <c r="E1488" s="51"/>
      <c r="F1488" s="51"/>
      <c r="G1488" s="50" t="s">
        <v>9493</v>
      </c>
      <c r="H1488" s="52">
        <v>44683.32753472222</v>
      </c>
      <c r="I1488" s="50"/>
      <c r="J1488" s="50"/>
      <c r="K1488" s="50"/>
      <c r="L1488" s="50"/>
      <c r="M1488" s="50" t="s">
        <v>9494</v>
      </c>
      <c r="N1488" s="50"/>
      <c r="O1488" s="53" t="s">
        <v>70</v>
      </c>
      <c r="P1488" s="55" t="s">
        <v>9495</v>
      </c>
      <c r="Q1488" s="50">
        <v>38.0</v>
      </c>
      <c r="R1488" s="50">
        <v>27.0</v>
      </c>
      <c r="S1488" s="50"/>
      <c r="T1488" s="56" t="s">
        <v>9496</v>
      </c>
      <c r="U1488" s="53" t="s">
        <v>322</v>
      </c>
    </row>
    <row r="1489">
      <c r="A1489" s="54" t="s">
        <v>9497</v>
      </c>
      <c r="B1489" s="50" t="s">
        <v>9415</v>
      </c>
      <c r="C1489" s="51" t="s">
        <v>367</v>
      </c>
      <c r="D1489" s="51"/>
      <c r="E1489" s="51"/>
      <c r="F1489" s="51"/>
      <c r="G1489" s="50" t="s">
        <v>9493</v>
      </c>
      <c r="H1489" s="52">
        <v>44683.32753472222</v>
      </c>
      <c r="I1489" s="50"/>
      <c r="J1489" s="50"/>
      <c r="K1489" s="50"/>
      <c r="L1489" s="50"/>
      <c r="M1489" s="50" t="s">
        <v>9417</v>
      </c>
      <c r="N1489" s="50"/>
      <c r="O1489" s="53" t="s">
        <v>92</v>
      </c>
      <c r="P1489" s="55" t="s">
        <v>9418</v>
      </c>
      <c r="Q1489" s="50">
        <v>1445.0</v>
      </c>
      <c r="R1489" s="50">
        <v>1874.0</v>
      </c>
      <c r="S1489" s="50"/>
      <c r="T1489" s="56" t="s">
        <v>9498</v>
      </c>
      <c r="U1489" s="53" t="s">
        <v>370</v>
      </c>
    </row>
    <row r="1490">
      <c r="A1490" s="54" t="s">
        <v>9499</v>
      </c>
      <c r="B1490" s="50" t="s">
        <v>9500</v>
      </c>
      <c r="C1490" s="51" t="s">
        <v>367</v>
      </c>
      <c r="D1490" s="51"/>
      <c r="E1490" s="51"/>
      <c r="F1490" s="51"/>
      <c r="G1490" s="50" t="s">
        <v>9501</v>
      </c>
      <c r="H1490" s="52">
        <v>44683.327465277776</v>
      </c>
      <c r="I1490" s="50"/>
      <c r="J1490" s="50"/>
      <c r="K1490" s="50"/>
      <c r="L1490" s="50"/>
      <c r="M1490" s="50" t="s">
        <v>9502</v>
      </c>
      <c r="N1490" s="50"/>
      <c r="O1490" s="53" t="s">
        <v>92</v>
      </c>
      <c r="P1490" s="55" t="s">
        <v>9503</v>
      </c>
      <c r="Q1490" s="50">
        <v>76.0</v>
      </c>
      <c r="R1490" s="50">
        <v>257.0</v>
      </c>
      <c r="S1490" s="50"/>
      <c r="T1490" s="56" t="s">
        <v>9504</v>
      </c>
      <c r="U1490" s="53" t="s">
        <v>370</v>
      </c>
    </row>
    <row r="1491">
      <c r="A1491" s="54" t="s">
        <v>9505</v>
      </c>
      <c r="B1491" s="50" t="s">
        <v>9492</v>
      </c>
      <c r="C1491" s="51" t="s">
        <v>329</v>
      </c>
      <c r="D1491" s="51"/>
      <c r="E1491" s="51"/>
      <c r="F1491" s="51"/>
      <c r="G1491" s="50" t="s">
        <v>9501</v>
      </c>
      <c r="H1491" s="52">
        <v>44683.327465277776</v>
      </c>
      <c r="I1491" s="50"/>
      <c r="J1491" s="50"/>
      <c r="K1491" s="50"/>
      <c r="L1491" s="50"/>
      <c r="M1491" s="50" t="s">
        <v>9494</v>
      </c>
      <c r="N1491" s="50"/>
      <c r="O1491" s="53" t="s">
        <v>70</v>
      </c>
      <c r="P1491" s="55" t="s">
        <v>9495</v>
      </c>
      <c r="Q1491" s="50">
        <v>38.0</v>
      </c>
      <c r="R1491" s="50">
        <v>27.0</v>
      </c>
      <c r="S1491" s="50"/>
      <c r="T1491" s="56" t="s">
        <v>9506</v>
      </c>
      <c r="U1491" s="53" t="s">
        <v>332</v>
      </c>
    </row>
    <row r="1492">
      <c r="A1492" s="54" t="s">
        <v>9507</v>
      </c>
      <c r="B1492" s="50" t="s">
        <v>9486</v>
      </c>
      <c r="C1492" s="51" t="s">
        <v>2630</v>
      </c>
      <c r="D1492" s="51"/>
      <c r="E1492" s="51"/>
      <c r="F1492" s="51"/>
      <c r="G1492" s="50" t="s">
        <v>9508</v>
      </c>
      <c r="H1492" s="52">
        <v>44683.32738425926</v>
      </c>
      <c r="I1492" s="50"/>
      <c r="J1492" s="50"/>
      <c r="K1492" s="50"/>
      <c r="L1492" s="50"/>
      <c r="M1492" s="50" t="s">
        <v>9489</v>
      </c>
      <c r="N1492" s="50"/>
      <c r="O1492" s="53" t="s">
        <v>217</v>
      </c>
      <c r="P1492" s="55" t="s">
        <v>354</v>
      </c>
      <c r="Q1492" s="50">
        <v>44.0</v>
      </c>
      <c r="R1492" s="50">
        <v>152.0</v>
      </c>
      <c r="S1492" s="50" t="s">
        <v>219</v>
      </c>
      <c r="T1492" s="56" t="s">
        <v>9509</v>
      </c>
      <c r="U1492" s="53" t="s">
        <v>691</v>
      </c>
    </row>
    <row r="1493">
      <c r="A1493" s="54" t="s">
        <v>9510</v>
      </c>
      <c r="B1493" s="50" t="s">
        <v>9492</v>
      </c>
      <c r="C1493" s="51" t="s">
        <v>335</v>
      </c>
      <c r="D1493" s="51"/>
      <c r="E1493" s="51"/>
      <c r="F1493" s="51"/>
      <c r="G1493" s="50" t="s">
        <v>9508</v>
      </c>
      <c r="H1493" s="52">
        <v>44683.32738425926</v>
      </c>
      <c r="I1493" s="50"/>
      <c r="J1493" s="50"/>
      <c r="K1493" s="50"/>
      <c r="L1493" s="50"/>
      <c r="M1493" s="50" t="s">
        <v>9494</v>
      </c>
      <c r="N1493" s="50"/>
      <c r="O1493" s="53" t="s">
        <v>70</v>
      </c>
      <c r="P1493" s="55" t="s">
        <v>9495</v>
      </c>
      <c r="Q1493" s="50">
        <v>38.0</v>
      </c>
      <c r="R1493" s="50">
        <v>27.0</v>
      </c>
      <c r="S1493" s="50"/>
      <c r="T1493" s="56" t="s">
        <v>9511</v>
      </c>
      <c r="U1493" s="53" t="s">
        <v>339</v>
      </c>
    </row>
    <row r="1494">
      <c r="A1494" s="54" t="s">
        <v>9512</v>
      </c>
      <c r="B1494" s="50" t="s">
        <v>9513</v>
      </c>
      <c r="C1494" s="51" t="s">
        <v>367</v>
      </c>
      <c r="D1494" s="51"/>
      <c r="E1494" s="51"/>
      <c r="F1494" s="51"/>
      <c r="G1494" s="50" t="s">
        <v>9514</v>
      </c>
      <c r="H1494" s="52">
        <v>44683.327326388884</v>
      </c>
      <c r="I1494" s="50"/>
      <c r="J1494" s="50"/>
      <c r="K1494" s="50"/>
      <c r="L1494" s="50"/>
      <c r="M1494" s="50" t="s">
        <v>9515</v>
      </c>
      <c r="N1494" s="50"/>
      <c r="O1494" s="53" t="s">
        <v>70</v>
      </c>
      <c r="P1494" s="55" t="s">
        <v>9516</v>
      </c>
      <c r="Q1494" s="50">
        <v>1431.0</v>
      </c>
      <c r="R1494" s="50">
        <v>1343.0</v>
      </c>
      <c r="S1494" s="50" t="s">
        <v>163</v>
      </c>
      <c r="T1494" s="56" t="s">
        <v>9517</v>
      </c>
      <c r="U1494" s="53" t="s">
        <v>370</v>
      </c>
    </row>
    <row r="1495">
      <c r="A1495" s="54" t="s">
        <v>9518</v>
      </c>
      <c r="B1495" s="50" t="s">
        <v>9492</v>
      </c>
      <c r="C1495" s="51" t="s">
        <v>363</v>
      </c>
      <c r="D1495" s="51"/>
      <c r="E1495" s="51"/>
      <c r="F1495" s="51"/>
      <c r="G1495" s="50" t="s">
        <v>9519</v>
      </c>
      <c r="H1495" s="52">
        <v>44683.32726851852</v>
      </c>
      <c r="I1495" s="50"/>
      <c r="J1495" s="50"/>
      <c r="K1495" s="50"/>
      <c r="L1495" s="50"/>
      <c r="M1495" s="50" t="s">
        <v>9494</v>
      </c>
      <c r="N1495" s="50"/>
      <c r="O1495" s="53" t="s">
        <v>70</v>
      </c>
      <c r="P1495" s="55" t="s">
        <v>9495</v>
      </c>
      <c r="Q1495" s="50">
        <v>38.0</v>
      </c>
      <c r="R1495" s="50">
        <v>27.0</v>
      </c>
      <c r="S1495" s="50"/>
      <c r="T1495" s="56" t="s">
        <v>9520</v>
      </c>
      <c r="U1495" s="53" t="s">
        <v>332</v>
      </c>
    </row>
    <row r="1496">
      <c r="A1496" s="54" t="s">
        <v>9521</v>
      </c>
      <c r="B1496" s="50" t="s">
        <v>9522</v>
      </c>
      <c r="C1496" s="51" t="s">
        <v>5847</v>
      </c>
      <c r="D1496" s="51"/>
      <c r="E1496" s="51"/>
      <c r="F1496" s="51"/>
      <c r="G1496" s="50" t="s">
        <v>9523</v>
      </c>
      <c r="H1496" s="52">
        <v>44683.32716435185</v>
      </c>
      <c r="I1496" s="50"/>
      <c r="J1496" s="50"/>
      <c r="K1496" s="50"/>
      <c r="L1496" s="50"/>
      <c r="M1496" s="50" t="s">
        <v>9524</v>
      </c>
      <c r="N1496" s="50"/>
      <c r="O1496" s="53" t="s">
        <v>92</v>
      </c>
      <c r="P1496" s="55" t="s">
        <v>9525</v>
      </c>
      <c r="Q1496" s="50">
        <v>503.0</v>
      </c>
      <c r="R1496" s="50">
        <v>1584.0</v>
      </c>
      <c r="S1496" s="50" t="s">
        <v>9526</v>
      </c>
      <c r="T1496" s="56" t="s">
        <v>9527</v>
      </c>
      <c r="U1496" s="53" t="s">
        <v>5853</v>
      </c>
    </row>
    <row r="1497">
      <c r="A1497" s="54" t="s">
        <v>9528</v>
      </c>
      <c r="B1497" s="50" t="s">
        <v>9492</v>
      </c>
      <c r="C1497" s="51" t="s">
        <v>367</v>
      </c>
      <c r="D1497" s="51"/>
      <c r="E1497" s="51"/>
      <c r="F1497" s="51"/>
      <c r="G1497" s="50" t="s">
        <v>9529</v>
      </c>
      <c r="H1497" s="52">
        <v>44683.32709490741</v>
      </c>
      <c r="I1497" s="50"/>
      <c r="J1497" s="50"/>
      <c r="K1497" s="50"/>
      <c r="L1497" s="50"/>
      <c r="M1497" s="50" t="s">
        <v>9494</v>
      </c>
      <c r="N1497" s="50"/>
      <c r="O1497" s="53" t="s">
        <v>70</v>
      </c>
      <c r="P1497" s="55" t="s">
        <v>9495</v>
      </c>
      <c r="Q1497" s="50">
        <v>38.0</v>
      </c>
      <c r="R1497" s="50">
        <v>27.0</v>
      </c>
      <c r="S1497" s="50"/>
      <c r="T1497" s="56" t="s">
        <v>9530</v>
      </c>
      <c r="U1497" s="53" t="s">
        <v>370</v>
      </c>
    </row>
    <row r="1498">
      <c r="A1498" s="54" t="s">
        <v>9531</v>
      </c>
      <c r="B1498" s="50" t="s">
        <v>9532</v>
      </c>
      <c r="C1498" s="51" t="s">
        <v>316</v>
      </c>
      <c r="D1498" s="51"/>
      <c r="E1498" s="51"/>
      <c r="F1498" s="51"/>
      <c r="G1498" s="50" t="s">
        <v>9529</v>
      </c>
      <c r="H1498" s="52">
        <v>44683.32709490741</v>
      </c>
      <c r="I1498" s="50"/>
      <c r="J1498" s="50"/>
      <c r="K1498" s="50"/>
      <c r="L1498" s="50"/>
      <c r="M1498" s="50" t="s">
        <v>9533</v>
      </c>
      <c r="N1498" s="50"/>
      <c r="O1498" s="53" t="s">
        <v>70</v>
      </c>
      <c r="P1498" s="55" t="s">
        <v>9534</v>
      </c>
      <c r="Q1498" s="50">
        <v>337.0</v>
      </c>
      <c r="R1498" s="50">
        <v>503.0</v>
      </c>
      <c r="S1498" s="50" t="s">
        <v>9535</v>
      </c>
      <c r="T1498" s="56" t="s">
        <v>9536</v>
      </c>
      <c r="U1498" s="53" t="s">
        <v>322</v>
      </c>
    </row>
    <row r="1499">
      <c r="A1499" s="54" t="s">
        <v>9537</v>
      </c>
      <c r="B1499" s="50" t="s">
        <v>9538</v>
      </c>
      <c r="C1499" s="51" t="s">
        <v>367</v>
      </c>
      <c r="D1499" s="51"/>
      <c r="E1499" s="51"/>
      <c r="F1499" s="51"/>
      <c r="G1499" s="50" t="s">
        <v>9539</v>
      </c>
      <c r="H1499" s="52">
        <v>44683.327060185184</v>
      </c>
      <c r="I1499" s="50"/>
      <c r="J1499" s="50"/>
      <c r="K1499" s="50"/>
      <c r="L1499" s="50"/>
      <c r="M1499" s="50" t="s">
        <v>9540</v>
      </c>
      <c r="N1499" s="50"/>
      <c r="O1499" s="53" t="s">
        <v>92</v>
      </c>
      <c r="P1499" s="55" t="s">
        <v>9541</v>
      </c>
      <c r="Q1499" s="50">
        <v>428.0</v>
      </c>
      <c r="R1499" s="50">
        <v>1618.0</v>
      </c>
      <c r="S1499" s="50" t="s">
        <v>9542</v>
      </c>
      <c r="T1499" s="56" t="s">
        <v>9543</v>
      </c>
      <c r="U1499" s="53" t="s">
        <v>370</v>
      </c>
    </row>
    <row r="1500">
      <c r="A1500" s="54" t="s">
        <v>9544</v>
      </c>
      <c r="B1500" s="50" t="s">
        <v>9545</v>
      </c>
      <c r="C1500" s="51" t="s">
        <v>367</v>
      </c>
      <c r="D1500" s="51"/>
      <c r="E1500" s="51"/>
      <c r="F1500" s="51"/>
      <c r="G1500" s="50" t="s">
        <v>9546</v>
      </c>
      <c r="H1500" s="52">
        <v>44683.32703703704</v>
      </c>
      <c r="I1500" s="50"/>
      <c r="J1500" s="50"/>
      <c r="K1500" s="50"/>
      <c r="L1500" s="50"/>
      <c r="M1500" s="50" t="s">
        <v>9547</v>
      </c>
      <c r="N1500" s="50"/>
      <c r="O1500" s="53" t="s">
        <v>92</v>
      </c>
      <c r="P1500" s="55" t="s">
        <v>9548</v>
      </c>
      <c r="Q1500" s="50">
        <v>7.0</v>
      </c>
      <c r="R1500" s="50">
        <v>68.0</v>
      </c>
      <c r="S1500" s="50" t="s">
        <v>219</v>
      </c>
      <c r="T1500" s="56" t="s">
        <v>9549</v>
      </c>
      <c r="U1500" s="53" t="s">
        <v>370</v>
      </c>
    </row>
    <row r="1501">
      <c r="A1501" s="54" t="s">
        <v>9550</v>
      </c>
      <c r="B1501" s="50" t="s">
        <v>9532</v>
      </c>
      <c r="C1501" s="51" t="s">
        <v>335</v>
      </c>
      <c r="D1501" s="51"/>
      <c r="E1501" s="51"/>
      <c r="F1501" s="51"/>
      <c r="G1501" s="50" t="s">
        <v>9551</v>
      </c>
      <c r="H1501" s="52">
        <v>44683.32701388889</v>
      </c>
      <c r="I1501" s="50"/>
      <c r="J1501" s="50"/>
      <c r="K1501" s="50"/>
      <c r="L1501" s="50"/>
      <c r="M1501" s="50" t="s">
        <v>9533</v>
      </c>
      <c r="N1501" s="50"/>
      <c r="O1501" s="53" t="s">
        <v>70</v>
      </c>
      <c r="P1501" s="55" t="s">
        <v>9534</v>
      </c>
      <c r="Q1501" s="50">
        <v>337.0</v>
      </c>
      <c r="R1501" s="50">
        <v>503.0</v>
      </c>
      <c r="S1501" s="50" t="s">
        <v>9535</v>
      </c>
      <c r="T1501" s="56" t="s">
        <v>9552</v>
      </c>
      <c r="U1501" s="53" t="s">
        <v>339</v>
      </c>
    </row>
    <row r="1502">
      <c r="A1502" s="54" t="s">
        <v>9553</v>
      </c>
      <c r="B1502" s="50" t="s">
        <v>9532</v>
      </c>
      <c r="C1502" s="51" t="s">
        <v>363</v>
      </c>
      <c r="D1502" s="51"/>
      <c r="E1502" s="51"/>
      <c r="F1502" s="51"/>
      <c r="G1502" s="50" t="s">
        <v>9554</v>
      </c>
      <c r="H1502" s="52">
        <v>44683.32699074074</v>
      </c>
      <c r="I1502" s="50"/>
      <c r="J1502" s="50"/>
      <c r="K1502" s="50"/>
      <c r="L1502" s="50"/>
      <c r="M1502" s="50" t="s">
        <v>9533</v>
      </c>
      <c r="N1502" s="50"/>
      <c r="O1502" s="53" t="s">
        <v>70</v>
      </c>
      <c r="P1502" s="55" t="s">
        <v>9534</v>
      </c>
      <c r="Q1502" s="50">
        <v>337.0</v>
      </c>
      <c r="R1502" s="50">
        <v>503.0</v>
      </c>
      <c r="S1502" s="50" t="s">
        <v>9535</v>
      </c>
      <c r="T1502" s="56" t="s">
        <v>9555</v>
      </c>
      <c r="U1502" s="53" t="s">
        <v>332</v>
      </c>
    </row>
    <row r="1503">
      <c r="A1503" s="54" t="s">
        <v>9556</v>
      </c>
      <c r="B1503" s="50" t="s">
        <v>9023</v>
      </c>
      <c r="C1503" s="51" t="s">
        <v>8921</v>
      </c>
      <c r="D1503" s="51"/>
      <c r="E1503" s="51"/>
      <c r="F1503" s="51"/>
      <c r="G1503" s="50" t="s">
        <v>9557</v>
      </c>
      <c r="H1503" s="52">
        <v>44683.326932870375</v>
      </c>
      <c r="I1503" s="50"/>
      <c r="J1503" s="50"/>
      <c r="K1503" s="50"/>
      <c r="L1503" s="50"/>
      <c r="M1503" s="50" t="s">
        <v>9025</v>
      </c>
      <c r="N1503" s="50"/>
      <c r="O1503" s="53" t="s">
        <v>70</v>
      </c>
      <c r="P1503" s="55" t="s">
        <v>9026</v>
      </c>
      <c r="Q1503" s="50">
        <v>399.0</v>
      </c>
      <c r="R1503" s="50">
        <v>1276.0</v>
      </c>
      <c r="S1503" s="50" t="s">
        <v>9027</v>
      </c>
      <c r="T1503" s="56" t="s">
        <v>9558</v>
      </c>
      <c r="U1503" s="53" t="s">
        <v>8927</v>
      </c>
    </row>
    <row r="1504">
      <c r="A1504" s="54" t="s">
        <v>9559</v>
      </c>
      <c r="B1504" s="50" t="s">
        <v>9560</v>
      </c>
      <c r="C1504" s="51" t="s">
        <v>9561</v>
      </c>
      <c r="D1504" s="51"/>
      <c r="E1504" s="51"/>
      <c r="F1504" s="51"/>
      <c r="G1504" s="50" t="s">
        <v>9562</v>
      </c>
      <c r="H1504" s="52">
        <v>44683.32680555555</v>
      </c>
      <c r="I1504" s="50"/>
      <c r="J1504" s="50"/>
      <c r="K1504" s="50"/>
      <c r="L1504" s="50"/>
      <c r="M1504" s="50" t="s">
        <v>9563</v>
      </c>
      <c r="N1504" s="50"/>
      <c r="O1504" s="53" t="s">
        <v>70</v>
      </c>
      <c r="P1504" s="55" t="s">
        <v>9564</v>
      </c>
      <c r="Q1504" s="50">
        <v>5259.0</v>
      </c>
      <c r="R1504" s="50">
        <v>5722.0</v>
      </c>
      <c r="S1504" s="50" t="s">
        <v>3176</v>
      </c>
      <c r="T1504" s="56" t="s">
        <v>9565</v>
      </c>
      <c r="U1504" s="53" t="s">
        <v>9566</v>
      </c>
    </row>
    <row r="1505">
      <c r="A1505" s="54" t="s">
        <v>9567</v>
      </c>
      <c r="B1505" s="50" t="s">
        <v>9568</v>
      </c>
      <c r="C1505" s="51" t="s">
        <v>9569</v>
      </c>
      <c r="D1505" s="51"/>
      <c r="E1505" s="51"/>
      <c r="F1505" s="51"/>
      <c r="G1505" s="50" t="s">
        <v>9570</v>
      </c>
      <c r="H1505" s="52">
        <v>44683.32679398148</v>
      </c>
      <c r="I1505" s="50"/>
      <c r="J1505" s="50"/>
      <c r="K1505" s="50" t="s">
        <v>9571</v>
      </c>
      <c r="L1505" s="50" t="s">
        <v>9572</v>
      </c>
      <c r="M1505" s="50" t="s">
        <v>9573</v>
      </c>
      <c r="N1505" s="50" t="s">
        <v>9574</v>
      </c>
      <c r="O1505" s="53" t="s">
        <v>60</v>
      </c>
      <c r="P1505" s="55" t="s">
        <v>9575</v>
      </c>
      <c r="Q1505" s="50">
        <v>204.0</v>
      </c>
      <c r="R1505" s="50">
        <v>109.0</v>
      </c>
      <c r="S1505" s="50" t="s">
        <v>9576</v>
      </c>
      <c r="T1505" s="56" t="s">
        <v>9577</v>
      </c>
      <c r="U1505" s="53" t="s">
        <v>9578</v>
      </c>
    </row>
    <row r="1506">
      <c r="A1506" s="54" t="s">
        <v>9579</v>
      </c>
      <c r="B1506" s="50" t="s">
        <v>9532</v>
      </c>
      <c r="C1506" s="51" t="s">
        <v>367</v>
      </c>
      <c r="D1506" s="51"/>
      <c r="E1506" s="51"/>
      <c r="F1506" s="51"/>
      <c r="G1506" s="50" t="s">
        <v>9580</v>
      </c>
      <c r="H1506" s="52">
        <v>44683.32678240741</v>
      </c>
      <c r="I1506" s="50"/>
      <c r="J1506" s="50"/>
      <c r="K1506" s="50"/>
      <c r="L1506" s="50"/>
      <c r="M1506" s="50" t="s">
        <v>9533</v>
      </c>
      <c r="N1506" s="50"/>
      <c r="O1506" s="53" t="s">
        <v>70</v>
      </c>
      <c r="P1506" s="55" t="s">
        <v>9534</v>
      </c>
      <c r="Q1506" s="50">
        <v>337.0</v>
      </c>
      <c r="R1506" s="50">
        <v>503.0</v>
      </c>
      <c r="S1506" s="50" t="s">
        <v>9535</v>
      </c>
      <c r="T1506" s="56" t="s">
        <v>9581</v>
      </c>
      <c r="U1506" s="53" t="s">
        <v>370</v>
      </c>
    </row>
    <row r="1507">
      <c r="A1507" s="54" t="s">
        <v>9582</v>
      </c>
      <c r="B1507" s="50" t="s">
        <v>9583</v>
      </c>
      <c r="C1507" s="51" t="s">
        <v>316</v>
      </c>
      <c r="D1507" s="51"/>
      <c r="E1507" s="51"/>
      <c r="F1507" s="51"/>
      <c r="G1507" s="50" t="s">
        <v>9584</v>
      </c>
      <c r="H1507" s="52">
        <v>44683.32666666667</v>
      </c>
      <c r="I1507" s="50"/>
      <c r="J1507" s="50"/>
      <c r="K1507" s="50"/>
      <c r="L1507" s="50"/>
      <c r="M1507" s="50" t="s">
        <v>9585</v>
      </c>
      <c r="N1507" s="50"/>
      <c r="O1507" s="53" t="s">
        <v>60</v>
      </c>
      <c r="P1507" s="55" t="s">
        <v>9586</v>
      </c>
      <c r="Q1507" s="50">
        <v>19.0</v>
      </c>
      <c r="R1507" s="50">
        <v>23.0</v>
      </c>
      <c r="S1507" s="50" t="s">
        <v>9587</v>
      </c>
      <c r="T1507" s="56" t="s">
        <v>9588</v>
      </c>
      <c r="U1507" s="53" t="s">
        <v>322</v>
      </c>
    </row>
    <row r="1508">
      <c r="A1508" s="54" t="s">
        <v>9589</v>
      </c>
      <c r="B1508" s="50" t="s">
        <v>9532</v>
      </c>
      <c r="C1508" s="51" t="s">
        <v>329</v>
      </c>
      <c r="D1508" s="51"/>
      <c r="E1508" s="51"/>
      <c r="F1508" s="51"/>
      <c r="G1508" s="50" t="s">
        <v>9590</v>
      </c>
      <c r="H1508" s="52">
        <v>44683.3265162037</v>
      </c>
      <c r="I1508" s="50"/>
      <c r="J1508" s="50"/>
      <c r="K1508" s="50"/>
      <c r="L1508" s="50"/>
      <c r="M1508" s="50" t="s">
        <v>9533</v>
      </c>
      <c r="N1508" s="50"/>
      <c r="O1508" s="53" t="s">
        <v>70</v>
      </c>
      <c r="P1508" s="55" t="s">
        <v>9534</v>
      </c>
      <c r="Q1508" s="50">
        <v>337.0</v>
      </c>
      <c r="R1508" s="50">
        <v>503.0</v>
      </c>
      <c r="S1508" s="50" t="s">
        <v>9535</v>
      </c>
      <c r="T1508" s="56" t="s">
        <v>9591</v>
      </c>
      <c r="U1508" s="53" t="s">
        <v>332</v>
      </c>
    </row>
    <row r="1509">
      <c r="A1509" s="54" t="s">
        <v>9592</v>
      </c>
      <c r="B1509" s="50" t="s">
        <v>9593</v>
      </c>
      <c r="C1509" s="51" t="s">
        <v>367</v>
      </c>
      <c r="D1509" s="51"/>
      <c r="E1509" s="51"/>
      <c r="F1509" s="51"/>
      <c r="G1509" s="50" t="s">
        <v>9594</v>
      </c>
      <c r="H1509" s="52">
        <v>44683.32640046296</v>
      </c>
      <c r="I1509" s="50"/>
      <c r="J1509" s="50"/>
      <c r="K1509" s="50"/>
      <c r="L1509" s="50"/>
      <c r="M1509" s="50" t="s">
        <v>9595</v>
      </c>
      <c r="N1509" s="50"/>
      <c r="O1509" s="53" t="s">
        <v>70</v>
      </c>
      <c r="P1509" s="55" t="s">
        <v>9596</v>
      </c>
      <c r="Q1509" s="50">
        <v>338.0</v>
      </c>
      <c r="R1509" s="50">
        <v>211.0</v>
      </c>
      <c r="S1509" s="50" t="s">
        <v>9597</v>
      </c>
      <c r="T1509" s="56" t="s">
        <v>9598</v>
      </c>
      <c r="U1509" s="53" t="s">
        <v>370</v>
      </c>
    </row>
    <row r="1510">
      <c r="A1510" s="54" t="s">
        <v>9599</v>
      </c>
      <c r="B1510" s="50" t="s">
        <v>9600</v>
      </c>
      <c r="C1510" s="51" t="s">
        <v>1913</v>
      </c>
      <c r="D1510" s="51"/>
      <c r="E1510" s="51"/>
      <c r="F1510" s="51"/>
      <c r="G1510" s="50" t="s">
        <v>9601</v>
      </c>
      <c r="H1510" s="52">
        <v>44683.326261574075</v>
      </c>
      <c r="I1510" s="50"/>
      <c r="J1510" s="50"/>
      <c r="K1510" s="50"/>
      <c r="L1510" s="50"/>
      <c r="M1510" s="50" t="s">
        <v>9602</v>
      </c>
      <c r="N1510" s="50"/>
      <c r="O1510" s="53" t="s">
        <v>217</v>
      </c>
      <c r="P1510" s="55" t="s">
        <v>9603</v>
      </c>
      <c r="Q1510" s="50">
        <v>4.0</v>
      </c>
      <c r="R1510" s="50">
        <v>61.0</v>
      </c>
      <c r="S1510" s="50" t="s">
        <v>1901</v>
      </c>
      <c r="T1510" s="56" t="s">
        <v>9604</v>
      </c>
      <c r="U1510" s="53" t="s">
        <v>1916</v>
      </c>
    </row>
    <row r="1511">
      <c r="A1511" s="54" t="s">
        <v>9605</v>
      </c>
      <c r="B1511" s="50" t="s">
        <v>9606</v>
      </c>
      <c r="C1511" s="51" t="s">
        <v>316</v>
      </c>
      <c r="D1511" s="51"/>
      <c r="E1511" s="51"/>
      <c r="F1511" s="51"/>
      <c r="G1511" s="50" t="s">
        <v>9607</v>
      </c>
      <c r="H1511" s="52">
        <v>44683.32623842593</v>
      </c>
      <c r="I1511" s="50"/>
      <c r="J1511" s="50"/>
      <c r="K1511" s="50"/>
      <c r="L1511" s="50"/>
      <c r="M1511" s="50" t="s">
        <v>9608</v>
      </c>
      <c r="N1511" s="50"/>
      <c r="O1511" s="53" t="s">
        <v>92</v>
      </c>
      <c r="P1511" s="55" t="s">
        <v>354</v>
      </c>
      <c r="Q1511" s="50">
        <v>64.0</v>
      </c>
      <c r="R1511" s="50">
        <v>820.0</v>
      </c>
      <c r="S1511" s="50"/>
      <c r="T1511" s="56" t="s">
        <v>9609</v>
      </c>
      <c r="U1511" s="53" t="s">
        <v>322</v>
      </c>
    </row>
    <row r="1512">
      <c r="A1512" s="54" t="s">
        <v>9610</v>
      </c>
      <c r="B1512" s="50" t="s">
        <v>9611</v>
      </c>
      <c r="C1512" s="51" t="s">
        <v>367</v>
      </c>
      <c r="D1512" s="51"/>
      <c r="E1512" s="51"/>
      <c r="F1512" s="51"/>
      <c r="G1512" s="50" t="s">
        <v>9612</v>
      </c>
      <c r="H1512" s="52">
        <v>44683.32616898148</v>
      </c>
      <c r="I1512" s="50"/>
      <c r="J1512" s="50"/>
      <c r="K1512" s="50"/>
      <c r="L1512" s="50"/>
      <c r="M1512" s="50" t="s">
        <v>9613</v>
      </c>
      <c r="N1512" s="50"/>
      <c r="O1512" s="53" t="s">
        <v>217</v>
      </c>
      <c r="P1512" s="55" t="s">
        <v>9614</v>
      </c>
      <c r="Q1512" s="50">
        <v>2546.0</v>
      </c>
      <c r="R1512" s="50">
        <v>3142.0</v>
      </c>
      <c r="S1512" s="50" t="s">
        <v>219</v>
      </c>
      <c r="T1512" s="56" t="s">
        <v>9615</v>
      </c>
      <c r="U1512" s="53" t="s">
        <v>370</v>
      </c>
    </row>
    <row r="1513">
      <c r="A1513" s="54" t="s">
        <v>9616</v>
      </c>
      <c r="B1513" s="50" t="s">
        <v>9617</v>
      </c>
      <c r="C1513" s="51" t="s">
        <v>367</v>
      </c>
      <c r="D1513" s="51"/>
      <c r="E1513" s="51"/>
      <c r="F1513" s="51"/>
      <c r="G1513" s="50" t="s">
        <v>9618</v>
      </c>
      <c r="H1513" s="52">
        <v>44683.326111111106</v>
      </c>
      <c r="I1513" s="50"/>
      <c r="J1513" s="50"/>
      <c r="K1513" s="50"/>
      <c r="L1513" s="50"/>
      <c r="M1513" s="50" t="s">
        <v>9619</v>
      </c>
      <c r="N1513" s="50"/>
      <c r="O1513" s="53" t="s">
        <v>217</v>
      </c>
      <c r="P1513" s="55" t="s">
        <v>9620</v>
      </c>
      <c r="Q1513" s="50">
        <v>502.0</v>
      </c>
      <c r="R1513" s="50">
        <v>1577.0</v>
      </c>
      <c r="S1513" s="50" t="s">
        <v>9621</v>
      </c>
      <c r="T1513" s="56" t="s">
        <v>9622</v>
      </c>
      <c r="U1513" s="53" t="s">
        <v>370</v>
      </c>
    </row>
    <row r="1514">
      <c r="A1514" s="54" t="s">
        <v>9623</v>
      </c>
      <c r="B1514" s="50" t="s">
        <v>9624</v>
      </c>
      <c r="C1514" s="51" t="s">
        <v>469</v>
      </c>
      <c r="D1514" s="51"/>
      <c r="E1514" s="51"/>
      <c r="F1514" s="51"/>
      <c r="G1514" s="50" t="s">
        <v>9625</v>
      </c>
      <c r="H1514" s="52">
        <v>44683.326053240744</v>
      </c>
      <c r="I1514" s="50"/>
      <c r="J1514" s="50"/>
      <c r="K1514" s="50"/>
      <c r="L1514" s="50"/>
      <c r="M1514" s="50" t="s">
        <v>9626</v>
      </c>
      <c r="N1514" s="50"/>
      <c r="O1514" s="53" t="s">
        <v>92</v>
      </c>
      <c r="P1514" s="55" t="s">
        <v>354</v>
      </c>
      <c r="Q1514" s="50">
        <v>905.0</v>
      </c>
      <c r="R1514" s="50">
        <v>976.0</v>
      </c>
      <c r="S1514" s="50"/>
      <c r="T1514" s="56" t="s">
        <v>9627</v>
      </c>
      <c r="U1514" s="53" t="s">
        <v>475</v>
      </c>
    </row>
    <row r="1515">
      <c r="A1515" s="54" t="s">
        <v>9628</v>
      </c>
      <c r="B1515" s="50" t="s">
        <v>9629</v>
      </c>
      <c r="C1515" s="51" t="s">
        <v>367</v>
      </c>
      <c r="D1515" s="51"/>
      <c r="E1515" s="51"/>
      <c r="F1515" s="51"/>
      <c r="G1515" s="50" t="s">
        <v>9630</v>
      </c>
      <c r="H1515" s="52">
        <v>44683.32592592592</v>
      </c>
      <c r="I1515" s="50"/>
      <c r="J1515" s="50"/>
      <c r="K1515" s="50"/>
      <c r="L1515" s="50"/>
      <c r="M1515" s="50" t="s">
        <v>9631</v>
      </c>
      <c r="N1515" s="50"/>
      <c r="O1515" s="53" t="s">
        <v>70</v>
      </c>
      <c r="P1515" s="55" t="s">
        <v>9632</v>
      </c>
      <c r="Q1515" s="50">
        <v>778.0</v>
      </c>
      <c r="R1515" s="50">
        <v>2488.0</v>
      </c>
      <c r="S1515" s="50"/>
      <c r="T1515" s="56" t="s">
        <v>9633</v>
      </c>
      <c r="U1515" s="53" t="s">
        <v>370</v>
      </c>
    </row>
    <row r="1516">
      <c r="A1516" s="54" t="s">
        <v>9634</v>
      </c>
      <c r="B1516" s="50" t="s">
        <v>9635</v>
      </c>
      <c r="C1516" s="51" t="s">
        <v>367</v>
      </c>
      <c r="D1516" s="51"/>
      <c r="E1516" s="51"/>
      <c r="F1516" s="51"/>
      <c r="G1516" s="50" t="s">
        <v>9636</v>
      </c>
      <c r="H1516" s="52">
        <v>44683.32575231481</v>
      </c>
      <c r="I1516" s="50"/>
      <c r="J1516" s="50"/>
      <c r="K1516" s="50"/>
      <c r="L1516" s="50"/>
      <c r="M1516" s="50" t="s">
        <v>9637</v>
      </c>
      <c r="N1516" s="50"/>
      <c r="O1516" s="53" t="s">
        <v>60</v>
      </c>
      <c r="P1516" s="55" t="s">
        <v>9638</v>
      </c>
      <c r="Q1516" s="50">
        <v>2279.0</v>
      </c>
      <c r="R1516" s="50">
        <v>3214.0</v>
      </c>
      <c r="S1516" s="50" t="s">
        <v>9639</v>
      </c>
      <c r="T1516" s="56" t="s">
        <v>9640</v>
      </c>
      <c r="U1516" s="53" t="s">
        <v>370</v>
      </c>
    </row>
    <row r="1517">
      <c r="A1517" s="54" t="s">
        <v>9641</v>
      </c>
      <c r="B1517" s="50" t="s">
        <v>9642</v>
      </c>
      <c r="C1517" s="51" t="s">
        <v>316</v>
      </c>
      <c r="D1517" s="51"/>
      <c r="E1517" s="51"/>
      <c r="F1517" s="51"/>
      <c r="G1517" s="50" t="s">
        <v>9643</v>
      </c>
      <c r="H1517" s="52">
        <v>44683.325636574074</v>
      </c>
      <c r="I1517" s="50"/>
      <c r="J1517" s="50"/>
      <c r="K1517" s="50"/>
      <c r="L1517" s="50"/>
      <c r="M1517" s="50" t="s">
        <v>9644</v>
      </c>
      <c r="N1517" s="50"/>
      <c r="O1517" s="53" t="s">
        <v>70</v>
      </c>
      <c r="P1517" s="55" t="s">
        <v>9645</v>
      </c>
      <c r="Q1517" s="50">
        <v>3157.0</v>
      </c>
      <c r="R1517" s="50">
        <v>4998.0</v>
      </c>
      <c r="S1517" s="50" t="s">
        <v>5009</v>
      </c>
      <c r="T1517" s="56" t="s">
        <v>9646</v>
      </c>
      <c r="U1517" s="53" t="s">
        <v>322</v>
      </c>
    </row>
    <row r="1518">
      <c r="A1518" s="54" t="s">
        <v>9647</v>
      </c>
      <c r="B1518" s="50" t="s">
        <v>3684</v>
      </c>
      <c r="C1518" s="51" t="s">
        <v>6131</v>
      </c>
      <c r="D1518" s="51"/>
      <c r="E1518" s="51"/>
      <c r="F1518" s="51"/>
      <c r="G1518" s="50" t="s">
        <v>9648</v>
      </c>
      <c r="H1518" s="52">
        <v>44683.325590277775</v>
      </c>
      <c r="I1518" s="50"/>
      <c r="J1518" s="50"/>
      <c r="K1518" s="50"/>
      <c r="L1518" s="50"/>
      <c r="M1518" s="50" t="s">
        <v>3686</v>
      </c>
      <c r="N1518" s="50"/>
      <c r="O1518" s="53" t="s">
        <v>60</v>
      </c>
      <c r="P1518" s="55" t="s">
        <v>3687</v>
      </c>
      <c r="Q1518" s="50">
        <v>1744.0</v>
      </c>
      <c r="R1518" s="50">
        <v>3384.0</v>
      </c>
      <c r="S1518" s="50" t="s">
        <v>2610</v>
      </c>
      <c r="T1518" s="56" t="s">
        <v>9649</v>
      </c>
      <c r="U1518" s="53" t="s">
        <v>6136</v>
      </c>
    </row>
    <row r="1519">
      <c r="A1519" s="54" t="s">
        <v>9650</v>
      </c>
      <c r="B1519" s="50" t="s">
        <v>9651</v>
      </c>
      <c r="C1519" s="51" t="s">
        <v>9652</v>
      </c>
      <c r="D1519" s="51"/>
      <c r="E1519" s="51"/>
      <c r="F1519" s="51"/>
      <c r="G1519" s="50" t="s">
        <v>9653</v>
      </c>
      <c r="H1519" s="52">
        <v>44683.32549768519</v>
      </c>
      <c r="I1519" s="50"/>
      <c r="J1519" s="50"/>
      <c r="K1519" s="50"/>
      <c r="L1519" s="50"/>
      <c r="M1519" s="50" t="s">
        <v>9654</v>
      </c>
      <c r="N1519" s="50"/>
      <c r="O1519" s="53" t="s">
        <v>70</v>
      </c>
      <c r="P1519" s="55" t="s">
        <v>9655</v>
      </c>
      <c r="Q1519" s="50">
        <v>1955.0</v>
      </c>
      <c r="R1519" s="50">
        <v>2447.0</v>
      </c>
      <c r="S1519" s="50" t="s">
        <v>129</v>
      </c>
      <c r="T1519" s="56" t="s">
        <v>9656</v>
      </c>
      <c r="U1519" s="53" t="s">
        <v>9657</v>
      </c>
    </row>
    <row r="1520">
      <c r="A1520" s="54" t="s">
        <v>9658</v>
      </c>
      <c r="B1520" s="50" t="s">
        <v>9659</v>
      </c>
      <c r="C1520" s="51" t="s">
        <v>1402</v>
      </c>
      <c r="D1520" s="51"/>
      <c r="E1520" s="51"/>
      <c r="F1520" s="51"/>
      <c r="G1520" s="50" t="s">
        <v>9660</v>
      </c>
      <c r="H1520" s="52">
        <v>44683.32545138889</v>
      </c>
      <c r="I1520" s="50"/>
      <c r="J1520" s="50"/>
      <c r="K1520" s="50"/>
      <c r="L1520" s="50"/>
      <c r="M1520" s="50" t="s">
        <v>9661</v>
      </c>
      <c r="N1520" s="50"/>
      <c r="O1520" s="53" t="s">
        <v>70</v>
      </c>
      <c r="P1520" s="55" t="s">
        <v>9662</v>
      </c>
      <c r="Q1520" s="50">
        <v>1241.0</v>
      </c>
      <c r="R1520" s="50">
        <v>2725.0</v>
      </c>
      <c r="S1520" s="50" t="s">
        <v>5083</v>
      </c>
      <c r="T1520" s="56" t="s">
        <v>9663</v>
      </c>
      <c r="U1520" s="53" t="s">
        <v>1408</v>
      </c>
    </row>
    <row r="1521">
      <c r="A1521" s="54" t="s">
        <v>9664</v>
      </c>
      <c r="B1521" s="50" t="s">
        <v>9665</v>
      </c>
      <c r="C1521" s="51" t="s">
        <v>367</v>
      </c>
      <c r="D1521" s="51"/>
      <c r="E1521" s="51"/>
      <c r="F1521" s="51"/>
      <c r="G1521" s="50" t="s">
        <v>9666</v>
      </c>
      <c r="H1521" s="52">
        <v>44683.32541666667</v>
      </c>
      <c r="I1521" s="50"/>
      <c r="J1521" s="50"/>
      <c r="K1521" s="50"/>
      <c r="L1521" s="50"/>
      <c r="M1521" s="50" t="s">
        <v>9667</v>
      </c>
      <c r="N1521" s="50"/>
      <c r="O1521" s="53" t="s">
        <v>70</v>
      </c>
      <c r="P1521" s="55" t="s">
        <v>9668</v>
      </c>
      <c r="Q1521" s="50">
        <v>30.0</v>
      </c>
      <c r="R1521" s="50">
        <v>205.0</v>
      </c>
      <c r="S1521" s="50" t="s">
        <v>9669</v>
      </c>
      <c r="T1521" s="56" t="s">
        <v>9670</v>
      </c>
      <c r="U1521" s="53" t="s">
        <v>370</v>
      </c>
    </row>
    <row r="1522">
      <c r="A1522" s="54" t="s">
        <v>9671</v>
      </c>
      <c r="B1522" s="50" t="s">
        <v>9642</v>
      </c>
      <c r="C1522" s="51" t="s">
        <v>363</v>
      </c>
      <c r="D1522" s="51"/>
      <c r="E1522" s="51"/>
      <c r="F1522" s="51"/>
      <c r="G1522" s="50" t="s">
        <v>9672</v>
      </c>
      <c r="H1522" s="52">
        <v>44683.32537037037</v>
      </c>
      <c r="I1522" s="50"/>
      <c r="J1522" s="50"/>
      <c r="K1522" s="50"/>
      <c r="L1522" s="50"/>
      <c r="M1522" s="50" t="s">
        <v>9644</v>
      </c>
      <c r="N1522" s="50"/>
      <c r="O1522" s="53" t="s">
        <v>70</v>
      </c>
      <c r="P1522" s="55" t="s">
        <v>9645</v>
      </c>
      <c r="Q1522" s="50">
        <v>3157.0</v>
      </c>
      <c r="R1522" s="50">
        <v>4998.0</v>
      </c>
      <c r="S1522" s="50" t="s">
        <v>5009</v>
      </c>
      <c r="T1522" s="56" t="s">
        <v>9673</v>
      </c>
      <c r="U1522" s="53" t="s">
        <v>332</v>
      </c>
    </row>
    <row r="1523">
      <c r="A1523" s="54" t="s">
        <v>9674</v>
      </c>
      <c r="B1523" s="50" t="s">
        <v>9675</v>
      </c>
      <c r="C1523" s="51" t="s">
        <v>316</v>
      </c>
      <c r="D1523" s="51"/>
      <c r="E1523" s="51"/>
      <c r="F1523" s="51"/>
      <c r="G1523" s="50" t="s">
        <v>9676</v>
      </c>
      <c r="H1523" s="52">
        <v>44683.32534722222</v>
      </c>
      <c r="I1523" s="50"/>
      <c r="J1523" s="50"/>
      <c r="K1523" s="50"/>
      <c r="L1523" s="50"/>
      <c r="M1523" s="50" t="s">
        <v>9677</v>
      </c>
      <c r="N1523" s="50"/>
      <c r="O1523" s="53" t="s">
        <v>70</v>
      </c>
      <c r="P1523" s="55" t="s">
        <v>9678</v>
      </c>
      <c r="Q1523" s="50">
        <v>2108.0</v>
      </c>
      <c r="R1523" s="50">
        <v>2927.0</v>
      </c>
      <c r="S1523" s="50" t="s">
        <v>9679</v>
      </c>
      <c r="T1523" s="56" t="s">
        <v>9680</v>
      </c>
      <c r="U1523" s="53" t="s">
        <v>322</v>
      </c>
    </row>
    <row r="1524">
      <c r="A1524" s="54" t="s">
        <v>9681</v>
      </c>
      <c r="B1524" s="50" t="s">
        <v>9682</v>
      </c>
      <c r="C1524" s="51" t="s">
        <v>329</v>
      </c>
      <c r="D1524" s="51"/>
      <c r="E1524" s="51"/>
      <c r="F1524" s="51"/>
      <c r="G1524" s="50" t="s">
        <v>9683</v>
      </c>
      <c r="H1524" s="52">
        <v>44683.32503472222</v>
      </c>
      <c r="I1524" s="50"/>
      <c r="J1524" s="50"/>
      <c r="K1524" s="50"/>
      <c r="L1524" s="50"/>
      <c r="M1524" s="50" t="s">
        <v>9684</v>
      </c>
      <c r="N1524" s="50"/>
      <c r="O1524" s="53" t="s">
        <v>92</v>
      </c>
      <c r="P1524" s="55" t="s">
        <v>9685</v>
      </c>
      <c r="Q1524" s="50">
        <v>2004.0</v>
      </c>
      <c r="R1524" s="50">
        <v>4994.0</v>
      </c>
      <c r="S1524" s="50" t="s">
        <v>5882</v>
      </c>
      <c r="T1524" s="56" t="s">
        <v>9686</v>
      </c>
      <c r="U1524" s="53" t="s">
        <v>332</v>
      </c>
    </row>
    <row r="1525">
      <c r="A1525" s="54" t="s">
        <v>9687</v>
      </c>
      <c r="B1525" s="50" t="s">
        <v>9688</v>
      </c>
      <c r="C1525" s="51" t="s">
        <v>367</v>
      </c>
      <c r="D1525" s="51"/>
      <c r="E1525" s="51"/>
      <c r="F1525" s="51"/>
      <c r="G1525" s="50" t="s">
        <v>9689</v>
      </c>
      <c r="H1525" s="52">
        <v>44683.325</v>
      </c>
      <c r="I1525" s="50"/>
      <c r="J1525" s="50"/>
      <c r="K1525" s="50"/>
      <c r="L1525" s="50"/>
      <c r="M1525" s="50" t="s">
        <v>9690</v>
      </c>
      <c r="N1525" s="50"/>
      <c r="O1525" s="53" t="s">
        <v>92</v>
      </c>
      <c r="P1525" s="55" t="s">
        <v>9691</v>
      </c>
      <c r="Q1525" s="50">
        <v>3503.0</v>
      </c>
      <c r="R1525" s="50">
        <v>4986.0</v>
      </c>
      <c r="S1525" s="50" t="s">
        <v>9692</v>
      </c>
      <c r="T1525" s="56" t="s">
        <v>9693</v>
      </c>
      <c r="U1525" s="53" t="s">
        <v>370</v>
      </c>
    </row>
    <row r="1526">
      <c r="A1526" s="54" t="s">
        <v>9694</v>
      </c>
      <c r="B1526" s="50" t="s">
        <v>9682</v>
      </c>
      <c r="C1526" s="51" t="s">
        <v>335</v>
      </c>
      <c r="D1526" s="51"/>
      <c r="E1526" s="51"/>
      <c r="F1526" s="51"/>
      <c r="G1526" s="50" t="s">
        <v>9695</v>
      </c>
      <c r="H1526" s="52">
        <v>44683.32487268519</v>
      </c>
      <c r="I1526" s="50"/>
      <c r="J1526" s="50"/>
      <c r="K1526" s="50"/>
      <c r="L1526" s="50"/>
      <c r="M1526" s="50" t="s">
        <v>9684</v>
      </c>
      <c r="N1526" s="50"/>
      <c r="O1526" s="53" t="s">
        <v>92</v>
      </c>
      <c r="P1526" s="55" t="s">
        <v>9685</v>
      </c>
      <c r="Q1526" s="50">
        <v>2004.0</v>
      </c>
      <c r="R1526" s="50">
        <v>4994.0</v>
      </c>
      <c r="S1526" s="50" t="s">
        <v>5882</v>
      </c>
      <c r="T1526" s="56" t="s">
        <v>9696</v>
      </c>
      <c r="U1526" s="53" t="s">
        <v>339</v>
      </c>
    </row>
    <row r="1527">
      <c r="A1527" s="54" t="s">
        <v>9697</v>
      </c>
      <c r="B1527" s="50" t="s">
        <v>9698</v>
      </c>
      <c r="C1527" s="51" t="s">
        <v>367</v>
      </c>
      <c r="D1527" s="51"/>
      <c r="E1527" s="51"/>
      <c r="F1527" s="51"/>
      <c r="G1527" s="50" t="s">
        <v>9699</v>
      </c>
      <c r="H1527" s="52">
        <v>44683.32478009259</v>
      </c>
      <c r="I1527" s="50"/>
      <c r="J1527" s="50"/>
      <c r="K1527" s="50"/>
      <c r="L1527" s="50"/>
      <c r="M1527" s="50" t="s">
        <v>9700</v>
      </c>
      <c r="N1527" s="50"/>
      <c r="O1527" s="53" t="s">
        <v>92</v>
      </c>
      <c r="P1527" s="55" t="s">
        <v>9701</v>
      </c>
      <c r="Q1527" s="50">
        <v>327.0</v>
      </c>
      <c r="R1527" s="50">
        <v>1018.0</v>
      </c>
      <c r="S1527" s="50" t="s">
        <v>9702</v>
      </c>
      <c r="T1527" s="56" t="s">
        <v>9703</v>
      </c>
      <c r="U1527" s="53" t="s">
        <v>370</v>
      </c>
    </row>
    <row r="1528">
      <c r="A1528" s="54" t="s">
        <v>9704</v>
      </c>
      <c r="B1528" s="50" t="s">
        <v>9705</v>
      </c>
      <c r="C1528" s="51" t="s">
        <v>3945</v>
      </c>
      <c r="D1528" s="51"/>
      <c r="E1528" s="51"/>
      <c r="F1528" s="51"/>
      <c r="G1528" s="50" t="s">
        <v>9706</v>
      </c>
      <c r="H1528" s="52">
        <v>44683.3247337963</v>
      </c>
      <c r="I1528" s="50"/>
      <c r="J1528" s="50"/>
      <c r="K1528" s="50"/>
      <c r="L1528" s="50"/>
      <c r="M1528" s="50" t="s">
        <v>9707</v>
      </c>
      <c r="N1528" s="50"/>
      <c r="O1528" s="53" t="s">
        <v>70</v>
      </c>
      <c r="P1528" s="55" t="s">
        <v>9708</v>
      </c>
      <c r="Q1528" s="50">
        <v>2144.0</v>
      </c>
      <c r="R1528" s="50">
        <v>3114.0</v>
      </c>
      <c r="S1528" s="50" t="s">
        <v>9709</v>
      </c>
      <c r="T1528" s="56" t="s">
        <v>9710</v>
      </c>
      <c r="U1528" s="53" t="s">
        <v>3951</v>
      </c>
    </row>
    <row r="1529">
      <c r="A1529" s="54" t="s">
        <v>9711</v>
      </c>
      <c r="B1529" s="50" t="s">
        <v>8762</v>
      </c>
      <c r="C1529" s="51" t="s">
        <v>9712</v>
      </c>
      <c r="D1529" s="51"/>
      <c r="E1529" s="51"/>
      <c r="F1529" s="51"/>
      <c r="G1529" s="50" t="s">
        <v>9713</v>
      </c>
      <c r="H1529" s="52">
        <v>44683.32461805556</v>
      </c>
      <c r="I1529" s="50"/>
      <c r="J1529" s="50"/>
      <c r="K1529" s="50" t="s">
        <v>9714</v>
      </c>
      <c r="L1529" s="50" t="s">
        <v>9715</v>
      </c>
      <c r="M1529" s="50" t="s">
        <v>8767</v>
      </c>
      <c r="N1529" s="50" t="s">
        <v>9716</v>
      </c>
      <c r="O1529" s="53" t="s">
        <v>70</v>
      </c>
      <c r="P1529" s="55" t="s">
        <v>8769</v>
      </c>
      <c r="Q1529" s="50">
        <v>2794.0</v>
      </c>
      <c r="R1529" s="50">
        <v>5001.0</v>
      </c>
      <c r="S1529" s="50" t="s">
        <v>1153</v>
      </c>
      <c r="T1529" s="56" t="s">
        <v>9717</v>
      </c>
      <c r="U1529" s="53" t="s">
        <v>9718</v>
      </c>
    </row>
    <row r="1530">
      <c r="A1530" s="54" t="s">
        <v>9719</v>
      </c>
      <c r="B1530" s="50" t="s">
        <v>9148</v>
      </c>
      <c r="C1530" s="51" t="s">
        <v>367</v>
      </c>
      <c r="D1530" s="51"/>
      <c r="E1530" s="51"/>
      <c r="F1530" s="51"/>
      <c r="G1530" s="50" t="s">
        <v>9720</v>
      </c>
      <c r="H1530" s="52">
        <v>44683.32452546296</v>
      </c>
      <c r="I1530" s="50"/>
      <c r="J1530" s="50"/>
      <c r="K1530" s="50"/>
      <c r="L1530" s="50"/>
      <c r="M1530" s="50" t="s">
        <v>9151</v>
      </c>
      <c r="N1530" s="50"/>
      <c r="O1530" s="53" t="s">
        <v>92</v>
      </c>
      <c r="P1530" s="55" t="s">
        <v>9152</v>
      </c>
      <c r="Q1530" s="50">
        <v>2547.0</v>
      </c>
      <c r="R1530" s="50">
        <v>4976.0</v>
      </c>
      <c r="S1530" s="50" t="s">
        <v>246</v>
      </c>
      <c r="T1530" s="56" t="s">
        <v>9721</v>
      </c>
      <c r="U1530" s="53" t="s">
        <v>370</v>
      </c>
    </row>
    <row r="1531">
      <c r="A1531" s="54" t="s">
        <v>9722</v>
      </c>
      <c r="B1531" s="50" t="s">
        <v>9682</v>
      </c>
      <c r="C1531" s="51" t="s">
        <v>367</v>
      </c>
      <c r="D1531" s="51"/>
      <c r="E1531" s="51"/>
      <c r="F1531" s="51"/>
      <c r="G1531" s="50" t="s">
        <v>9723</v>
      </c>
      <c r="H1531" s="52">
        <v>44683.32450231482</v>
      </c>
      <c r="I1531" s="50"/>
      <c r="J1531" s="50"/>
      <c r="K1531" s="50"/>
      <c r="L1531" s="50"/>
      <c r="M1531" s="50" t="s">
        <v>9684</v>
      </c>
      <c r="N1531" s="50"/>
      <c r="O1531" s="53" t="s">
        <v>92</v>
      </c>
      <c r="P1531" s="55" t="s">
        <v>9685</v>
      </c>
      <c r="Q1531" s="50">
        <v>2004.0</v>
      </c>
      <c r="R1531" s="50">
        <v>4994.0</v>
      </c>
      <c r="S1531" s="50" t="s">
        <v>5882</v>
      </c>
      <c r="T1531" s="56" t="s">
        <v>9724</v>
      </c>
      <c r="U1531" s="53" t="s">
        <v>370</v>
      </c>
    </row>
    <row r="1532">
      <c r="A1532" s="54" t="s">
        <v>9725</v>
      </c>
      <c r="B1532" s="50" t="s">
        <v>9726</v>
      </c>
      <c r="C1532" s="51" t="s">
        <v>316</v>
      </c>
      <c r="D1532" s="51"/>
      <c r="E1532" s="51"/>
      <c r="F1532" s="51"/>
      <c r="G1532" s="50" t="s">
        <v>9727</v>
      </c>
      <c r="H1532" s="52">
        <v>44683.32438657407</v>
      </c>
      <c r="I1532" s="50"/>
      <c r="J1532" s="50"/>
      <c r="K1532" s="50"/>
      <c r="L1532" s="50"/>
      <c r="M1532" s="50" t="s">
        <v>9728</v>
      </c>
      <c r="N1532" s="50"/>
      <c r="O1532" s="53" t="s">
        <v>92</v>
      </c>
      <c r="P1532" s="55" t="s">
        <v>354</v>
      </c>
      <c r="Q1532" s="50">
        <v>543.0</v>
      </c>
      <c r="R1532" s="50">
        <v>399.0</v>
      </c>
      <c r="S1532" s="50"/>
      <c r="T1532" s="56" t="s">
        <v>9729</v>
      </c>
      <c r="U1532" s="53" t="s">
        <v>322</v>
      </c>
    </row>
    <row r="1533">
      <c r="A1533" s="54" t="s">
        <v>9730</v>
      </c>
      <c r="B1533" s="50" t="s">
        <v>9726</v>
      </c>
      <c r="C1533" s="51" t="s">
        <v>329</v>
      </c>
      <c r="D1533" s="51"/>
      <c r="E1533" s="51"/>
      <c r="F1533" s="51"/>
      <c r="G1533" s="50" t="s">
        <v>9731</v>
      </c>
      <c r="H1533" s="52">
        <v>44683.324317129634</v>
      </c>
      <c r="I1533" s="50"/>
      <c r="J1533" s="50"/>
      <c r="K1533" s="50"/>
      <c r="L1533" s="50"/>
      <c r="M1533" s="50" t="s">
        <v>9728</v>
      </c>
      <c r="N1533" s="50"/>
      <c r="O1533" s="53" t="s">
        <v>92</v>
      </c>
      <c r="P1533" s="55" t="s">
        <v>354</v>
      </c>
      <c r="Q1533" s="50">
        <v>543.0</v>
      </c>
      <c r="R1533" s="50">
        <v>399.0</v>
      </c>
      <c r="S1533" s="50"/>
      <c r="T1533" s="56" t="s">
        <v>9732</v>
      </c>
      <c r="U1533" s="53" t="s">
        <v>332</v>
      </c>
    </row>
    <row r="1534">
      <c r="A1534" s="54" t="s">
        <v>9733</v>
      </c>
      <c r="B1534" s="50" t="s">
        <v>9734</v>
      </c>
      <c r="C1534" s="51" t="s">
        <v>9735</v>
      </c>
      <c r="D1534" s="51"/>
      <c r="E1534" s="51"/>
      <c r="F1534" s="51"/>
      <c r="G1534" s="50" t="s">
        <v>9736</v>
      </c>
      <c r="H1534" s="52">
        <v>44683.324224537035</v>
      </c>
      <c r="I1534" s="50"/>
      <c r="J1534" s="50"/>
      <c r="K1534" s="50"/>
      <c r="L1534" s="50"/>
      <c r="M1534" s="50" t="s">
        <v>9737</v>
      </c>
      <c r="N1534" s="50"/>
      <c r="O1534" s="53" t="s">
        <v>92</v>
      </c>
      <c r="P1534" s="55" t="s">
        <v>9738</v>
      </c>
      <c r="Q1534" s="50">
        <v>281.0</v>
      </c>
      <c r="R1534" s="50">
        <v>540.0</v>
      </c>
      <c r="S1534" s="50"/>
      <c r="T1534" s="56" t="s">
        <v>9739</v>
      </c>
      <c r="U1534" s="53" t="s">
        <v>9740</v>
      </c>
    </row>
    <row r="1535">
      <c r="A1535" s="54" t="s">
        <v>9741</v>
      </c>
      <c r="B1535" s="50" t="s">
        <v>9742</v>
      </c>
      <c r="C1535" s="51" t="s">
        <v>367</v>
      </c>
      <c r="D1535" s="51"/>
      <c r="E1535" s="51"/>
      <c r="F1535" s="51"/>
      <c r="G1535" s="50" t="s">
        <v>9743</v>
      </c>
      <c r="H1535" s="52">
        <v>44683.324108796296</v>
      </c>
      <c r="I1535" s="50"/>
      <c r="J1535" s="50"/>
      <c r="K1535" s="50"/>
      <c r="L1535" s="50"/>
      <c r="M1535" s="50" t="s">
        <v>9744</v>
      </c>
      <c r="N1535" s="50"/>
      <c r="O1535" s="53" t="s">
        <v>92</v>
      </c>
      <c r="P1535" s="55" t="s">
        <v>9745</v>
      </c>
      <c r="Q1535" s="50">
        <v>2322.0</v>
      </c>
      <c r="R1535" s="50">
        <v>2391.0</v>
      </c>
      <c r="S1535" s="50" t="s">
        <v>9746</v>
      </c>
      <c r="T1535" s="56" t="s">
        <v>9747</v>
      </c>
      <c r="U1535" s="53" t="s">
        <v>370</v>
      </c>
    </row>
    <row r="1536">
      <c r="A1536" s="54" t="s">
        <v>9748</v>
      </c>
      <c r="B1536" s="50" t="s">
        <v>8959</v>
      </c>
      <c r="C1536" s="51" t="s">
        <v>1307</v>
      </c>
      <c r="D1536" s="51"/>
      <c r="E1536" s="51"/>
      <c r="F1536" s="51"/>
      <c r="G1536" s="50" t="s">
        <v>9749</v>
      </c>
      <c r="H1536" s="52">
        <v>44683.32390046296</v>
      </c>
      <c r="I1536" s="50"/>
      <c r="J1536" s="50"/>
      <c r="K1536" s="50"/>
      <c r="L1536" s="50"/>
      <c r="M1536" s="50" t="s">
        <v>8961</v>
      </c>
      <c r="N1536" s="50"/>
      <c r="O1536" s="53" t="s">
        <v>60</v>
      </c>
      <c r="P1536" s="55" t="s">
        <v>8962</v>
      </c>
      <c r="Q1536" s="50">
        <v>3847.0</v>
      </c>
      <c r="R1536" s="50">
        <v>3849.0</v>
      </c>
      <c r="S1536" s="50"/>
      <c r="T1536" s="56" t="s">
        <v>9750</v>
      </c>
      <c r="U1536" s="53" t="s">
        <v>1313</v>
      </c>
    </row>
    <row r="1537">
      <c r="A1537" s="54" t="s">
        <v>9751</v>
      </c>
      <c r="B1537" s="50" t="s">
        <v>9752</v>
      </c>
      <c r="C1537" s="51" t="s">
        <v>9753</v>
      </c>
      <c r="D1537" s="51"/>
      <c r="E1537" s="51"/>
      <c r="F1537" s="51"/>
      <c r="G1537" s="50" t="s">
        <v>9754</v>
      </c>
      <c r="H1537" s="52">
        <v>44683.323796296296</v>
      </c>
      <c r="I1537" s="50"/>
      <c r="J1537" s="50"/>
      <c r="K1537" s="50" t="s">
        <v>9755</v>
      </c>
      <c r="L1537" s="50" t="s">
        <v>9756</v>
      </c>
      <c r="M1537" s="50" t="s">
        <v>9757</v>
      </c>
      <c r="N1537" s="50" t="s">
        <v>9758</v>
      </c>
      <c r="O1537" s="53" t="s">
        <v>70</v>
      </c>
      <c r="P1537" s="55" t="s">
        <v>9759</v>
      </c>
      <c r="Q1537" s="50">
        <v>3676.0</v>
      </c>
      <c r="R1537" s="50">
        <v>5001.0</v>
      </c>
      <c r="S1537" s="50"/>
      <c r="T1537" s="56" t="s">
        <v>9760</v>
      </c>
      <c r="U1537" s="53" t="s">
        <v>9761</v>
      </c>
    </row>
    <row r="1538">
      <c r="A1538" s="54" t="s">
        <v>9762</v>
      </c>
      <c r="B1538" s="50" t="s">
        <v>9763</v>
      </c>
      <c r="C1538" s="51" t="s">
        <v>367</v>
      </c>
      <c r="D1538" s="51"/>
      <c r="E1538" s="51"/>
      <c r="F1538" s="51"/>
      <c r="G1538" s="50" t="s">
        <v>9764</v>
      </c>
      <c r="H1538" s="52">
        <v>44683.32362268519</v>
      </c>
      <c r="I1538" s="50"/>
      <c r="J1538" s="50"/>
      <c r="K1538" s="50"/>
      <c r="L1538" s="50"/>
      <c r="M1538" s="50" t="s">
        <v>9765</v>
      </c>
      <c r="N1538" s="50"/>
      <c r="O1538" s="53" t="s">
        <v>70</v>
      </c>
      <c r="P1538" s="55" t="s">
        <v>9766</v>
      </c>
      <c r="Q1538" s="50">
        <v>253.0</v>
      </c>
      <c r="R1538" s="50">
        <v>195.0</v>
      </c>
      <c r="S1538" s="50" t="s">
        <v>9767</v>
      </c>
      <c r="T1538" s="56" t="s">
        <v>9768</v>
      </c>
      <c r="U1538" s="53" t="s">
        <v>370</v>
      </c>
    </row>
    <row r="1539">
      <c r="A1539" s="54" t="s">
        <v>9769</v>
      </c>
      <c r="B1539" s="50" t="s">
        <v>9770</v>
      </c>
      <c r="C1539" s="51" t="s">
        <v>363</v>
      </c>
      <c r="D1539" s="51"/>
      <c r="E1539" s="51"/>
      <c r="F1539" s="51"/>
      <c r="G1539" s="50" t="s">
        <v>9771</v>
      </c>
      <c r="H1539" s="52">
        <v>44683.32361111111</v>
      </c>
      <c r="I1539" s="50"/>
      <c r="J1539" s="50"/>
      <c r="K1539" s="50"/>
      <c r="L1539" s="50"/>
      <c r="M1539" s="50" t="s">
        <v>9772</v>
      </c>
      <c r="N1539" s="50"/>
      <c r="O1539" s="53" t="s">
        <v>92</v>
      </c>
      <c r="P1539" s="55" t="s">
        <v>9773</v>
      </c>
      <c r="Q1539" s="50">
        <v>111.0</v>
      </c>
      <c r="R1539" s="50">
        <v>1300.0</v>
      </c>
      <c r="S1539" s="50" t="s">
        <v>9774</v>
      </c>
      <c r="T1539" s="56" t="s">
        <v>9775</v>
      </c>
      <c r="U1539" s="53" t="s">
        <v>332</v>
      </c>
    </row>
    <row r="1540">
      <c r="A1540" s="54" t="s">
        <v>9776</v>
      </c>
      <c r="B1540" s="50" t="s">
        <v>9777</v>
      </c>
      <c r="C1540" s="51" t="s">
        <v>363</v>
      </c>
      <c r="D1540" s="51"/>
      <c r="E1540" s="51"/>
      <c r="F1540" s="51"/>
      <c r="G1540" s="50" t="s">
        <v>9778</v>
      </c>
      <c r="H1540" s="52">
        <v>44683.32355324074</v>
      </c>
      <c r="I1540" s="50"/>
      <c r="J1540" s="50"/>
      <c r="K1540" s="50"/>
      <c r="L1540" s="50"/>
      <c r="M1540" s="50" t="s">
        <v>9779</v>
      </c>
      <c r="N1540" s="50"/>
      <c r="O1540" s="53" t="s">
        <v>92</v>
      </c>
      <c r="P1540" s="55" t="s">
        <v>9780</v>
      </c>
      <c r="Q1540" s="50">
        <v>472.0</v>
      </c>
      <c r="R1540" s="50">
        <v>807.0</v>
      </c>
      <c r="S1540" s="50"/>
      <c r="T1540" s="56" t="s">
        <v>9781</v>
      </c>
      <c r="U1540" s="53" t="s">
        <v>332</v>
      </c>
    </row>
    <row r="1541">
      <c r="A1541" s="54" t="s">
        <v>9782</v>
      </c>
      <c r="B1541" s="50" t="s">
        <v>9783</v>
      </c>
      <c r="C1541" s="51" t="s">
        <v>4233</v>
      </c>
      <c r="D1541" s="51"/>
      <c r="E1541" s="51"/>
      <c r="F1541" s="51"/>
      <c r="G1541" s="50" t="s">
        <v>9784</v>
      </c>
      <c r="H1541" s="52">
        <v>44683.3234375</v>
      </c>
      <c r="I1541" s="50"/>
      <c r="J1541" s="50"/>
      <c r="K1541" s="50"/>
      <c r="L1541" s="50"/>
      <c r="M1541" s="50" t="s">
        <v>9785</v>
      </c>
      <c r="N1541" s="50"/>
      <c r="O1541" s="53" t="s">
        <v>70</v>
      </c>
      <c r="P1541" s="55" t="s">
        <v>354</v>
      </c>
      <c r="Q1541" s="50">
        <v>10.0</v>
      </c>
      <c r="R1541" s="50">
        <v>14.0</v>
      </c>
      <c r="S1541" s="50"/>
      <c r="T1541" s="56" t="s">
        <v>9786</v>
      </c>
      <c r="U1541" s="53" t="s">
        <v>4237</v>
      </c>
    </row>
    <row r="1542">
      <c r="A1542" s="54" t="s">
        <v>9787</v>
      </c>
      <c r="B1542" s="50" t="s">
        <v>9788</v>
      </c>
      <c r="C1542" s="51" t="s">
        <v>2033</v>
      </c>
      <c r="D1542" s="51"/>
      <c r="E1542" s="51"/>
      <c r="F1542" s="51"/>
      <c r="G1542" s="50" t="s">
        <v>9789</v>
      </c>
      <c r="H1542" s="52">
        <v>44683.32326388889</v>
      </c>
      <c r="I1542" s="50"/>
      <c r="J1542" s="50"/>
      <c r="K1542" s="50"/>
      <c r="L1542" s="50"/>
      <c r="M1542" s="50" t="s">
        <v>9790</v>
      </c>
      <c r="N1542" s="50"/>
      <c r="O1542" s="53" t="s">
        <v>70</v>
      </c>
      <c r="P1542" s="55" t="s">
        <v>9791</v>
      </c>
      <c r="Q1542" s="50">
        <v>1058.0</v>
      </c>
      <c r="R1542" s="50">
        <v>2185.0</v>
      </c>
      <c r="S1542" s="50" t="s">
        <v>2833</v>
      </c>
      <c r="T1542" s="56" t="s">
        <v>9792</v>
      </c>
      <c r="U1542" s="53" t="s">
        <v>9793</v>
      </c>
    </row>
    <row r="1543">
      <c r="A1543" s="54" t="s">
        <v>9794</v>
      </c>
      <c r="B1543" s="50" t="s">
        <v>9795</v>
      </c>
      <c r="C1543" s="51" t="s">
        <v>367</v>
      </c>
      <c r="D1543" s="51"/>
      <c r="E1543" s="51"/>
      <c r="F1543" s="51"/>
      <c r="G1543" s="50" t="s">
        <v>9796</v>
      </c>
      <c r="H1543" s="52">
        <v>44683.323229166665</v>
      </c>
      <c r="I1543" s="50"/>
      <c r="J1543" s="50"/>
      <c r="K1543" s="50"/>
      <c r="L1543" s="50"/>
      <c r="M1543" s="50" t="s">
        <v>9797</v>
      </c>
      <c r="N1543" s="50"/>
      <c r="O1543" s="53" t="s">
        <v>70</v>
      </c>
      <c r="P1543" s="55" t="s">
        <v>9798</v>
      </c>
      <c r="Q1543" s="50">
        <v>1891.0</v>
      </c>
      <c r="R1543" s="50">
        <v>2899.0</v>
      </c>
      <c r="S1543" s="50" t="s">
        <v>2650</v>
      </c>
      <c r="T1543" s="56" t="s">
        <v>9799</v>
      </c>
      <c r="U1543" s="53" t="s">
        <v>370</v>
      </c>
    </row>
    <row r="1544">
      <c r="A1544" s="54" t="s">
        <v>9800</v>
      </c>
      <c r="B1544" s="50" t="s">
        <v>9801</v>
      </c>
      <c r="C1544" s="51" t="s">
        <v>367</v>
      </c>
      <c r="D1544" s="51"/>
      <c r="E1544" s="51"/>
      <c r="F1544" s="51"/>
      <c r="G1544" s="50" t="s">
        <v>9796</v>
      </c>
      <c r="H1544" s="52">
        <v>44683.323229166665</v>
      </c>
      <c r="I1544" s="50"/>
      <c r="J1544" s="50"/>
      <c r="K1544" s="50"/>
      <c r="L1544" s="50"/>
      <c r="M1544" s="50" t="s">
        <v>9802</v>
      </c>
      <c r="N1544" s="50"/>
      <c r="O1544" s="53" t="s">
        <v>92</v>
      </c>
      <c r="P1544" s="55" t="s">
        <v>9803</v>
      </c>
      <c r="Q1544" s="50">
        <v>81.0</v>
      </c>
      <c r="R1544" s="50">
        <v>94.0</v>
      </c>
      <c r="S1544" s="50" t="s">
        <v>1311</v>
      </c>
      <c r="T1544" s="56" t="s">
        <v>9804</v>
      </c>
      <c r="U1544" s="53" t="s">
        <v>370</v>
      </c>
    </row>
    <row r="1545">
      <c r="A1545" s="54" t="s">
        <v>9805</v>
      </c>
      <c r="B1545" s="50" t="s">
        <v>9806</v>
      </c>
      <c r="C1545" s="51" t="s">
        <v>1209</v>
      </c>
      <c r="D1545" s="51"/>
      <c r="E1545" s="51"/>
      <c r="F1545" s="51"/>
      <c r="G1545" s="50" t="s">
        <v>9807</v>
      </c>
      <c r="H1545" s="52">
        <v>44683.323171296295</v>
      </c>
      <c r="I1545" s="50"/>
      <c r="J1545" s="50"/>
      <c r="K1545" s="50"/>
      <c r="L1545" s="50"/>
      <c r="M1545" s="50" t="s">
        <v>9808</v>
      </c>
      <c r="N1545" s="50"/>
      <c r="O1545" s="53" t="s">
        <v>92</v>
      </c>
      <c r="P1545" s="55" t="s">
        <v>9809</v>
      </c>
      <c r="Q1545" s="50">
        <v>271.0</v>
      </c>
      <c r="R1545" s="50">
        <v>370.0</v>
      </c>
      <c r="S1545" s="50" t="s">
        <v>246</v>
      </c>
      <c r="T1545" s="56" t="s">
        <v>9810</v>
      </c>
      <c r="U1545" s="53" t="s">
        <v>1214</v>
      </c>
    </row>
    <row r="1546">
      <c r="A1546" s="54" t="s">
        <v>9811</v>
      </c>
      <c r="B1546" s="50" t="s">
        <v>9812</v>
      </c>
      <c r="C1546" s="51" t="s">
        <v>687</v>
      </c>
      <c r="D1546" s="51"/>
      <c r="E1546" s="51"/>
      <c r="F1546" s="51"/>
      <c r="G1546" s="50" t="s">
        <v>9807</v>
      </c>
      <c r="H1546" s="52">
        <v>44683.323171296295</v>
      </c>
      <c r="I1546" s="50"/>
      <c r="J1546" s="50"/>
      <c r="K1546" s="50"/>
      <c r="L1546" s="50"/>
      <c r="M1546" s="50" t="s">
        <v>9813</v>
      </c>
      <c r="N1546" s="50"/>
      <c r="O1546" s="53" t="s">
        <v>92</v>
      </c>
      <c r="P1546" s="55" t="s">
        <v>9814</v>
      </c>
      <c r="Q1546" s="50">
        <v>243.0</v>
      </c>
      <c r="R1546" s="50">
        <v>753.0</v>
      </c>
      <c r="S1546" s="50" t="s">
        <v>1311</v>
      </c>
      <c r="T1546" s="56" t="s">
        <v>9815</v>
      </c>
      <c r="U1546" s="53" t="s">
        <v>691</v>
      </c>
    </row>
    <row r="1547">
      <c r="A1547" s="54" t="s">
        <v>9816</v>
      </c>
      <c r="B1547" s="50" t="s">
        <v>9817</v>
      </c>
      <c r="C1547" s="51" t="s">
        <v>1307</v>
      </c>
      <c r="D1547" s="51"/>
      <c r="E1547" s="51"/>
      <c r="F1547" s="51"/>
      <c r="G1547" s="50" t="s">
        <v>9818</v>
      </c>
      <c r="H1547" s="52">
        <v>44683.32314814815</v>
      </c>
      <c r="I1547" s="50"/>
      <c r="J1547" s="50"/>
      <c r="K1547" s="50"/>
      <c r="L1547" s="50"/>
      <c r="M1547" s="50" t="s">
        <v>9819</v>
      </c>
      <c r="N1547" s="50"/>
      <c r="O1547" s="53" t="s">
        <v>70</v>
      </c>
      <c r="P1547" s="55" t="s">
        <v>9820</v>
      </c>
      <c r="Q1547" s="50">
        <v>1488.0</v>
      </c>
      <c r="R1547" s="50">
        <v>2892.0</v>
      </c>
      <c r="S1547" s="50"/>
      <c r="T1547" s="56" t="s">
        <v>9821</v>
      </c>
      <c r="U1547" s="53" t="s">
        <v>1313</v>
      </c>
    </row>
    <row r="1548">
      <c r="A1548" s="54" t="s">
        <v>9822</v>
      </c>
      <c r="B1548" s="50" t="s">
        <v>9823</v>
      </c>
      <c r="C1548" s="51" t="s">
        <v>9824</v>
      </c>
      <c r="D1548" s="51"/>
      <c r="E1548" s="51"/>
      <c r="F1548" s="51"/>
      <c r="G1548" s="50" t="s">
        <v>9825</v>
      </c>
      <c r="H1548" s="52">
        <v>44683.323113425926</v>
      </c>
      <c r="I1548" s="50"/>
      <c r="J1548" s="50"/>
      <c r="K1548" s="50" t="s">
        <v>9826</v>
      </c>
      <c r="L1548" s="50" t="s">
        <v>9827</v>
      </c>
      <c r="M1548" s="50" t="s">
        <v>9828</v>
      </c>
      <c r="N1548" s="50" t="s">
        <v>9829</v>
      </c>
      <c r="O1548" s="53" t="s">
        <v>70</v>
      </c>
      <c r="P1548" s="55" t="s">
        <v>9830</v>
      </c>
      <c r="Q1548" s="50">
        <v>241.0</v>
      </c>
      <c r="R1548" s="50">
        <v>714.0</v>
      </c>
      <c r="S1548" s="50" t="s">
        <v>1311</v>
      </c>
      <c r="T1548" s="56" t="s">
        <v>9831</v>
      </c>
      <c r="U1548" s="53" t="s">
        <v>9832</v>
      </c>
    </row>
    <row r="1549">
      <c r="A1549" s="54" t="s">
        <v>9833</v>
      </c>
      <c r="B1549" s="50" t="s">
        <v>9834</v>
      </c>
      <c r="C1549" s="51" t="s">
        <v>367</v>
      </c>
      <c r="D1549" s="51"/>
      <c r="E1549" s="51"/>
      <c r="F1549" s="51"/>
      <c r="G1549" s="50" t="s">
        <v>9835</v>
      </c>
      <c r="H1549" s="52">
        <v>44683.32305555556</v>
      </c>
      <c r="I1549" s="50"/>
      <c r="J1549" s="50"/>
      <c r="K1549" s="50"/>
      <c r="L1549" s="50"/>
      <c r="M1549" s="50" t="s">
        <v>9836</v>
      </c>
      <c r="N1549" s="50"/>
      <c r="O1549" s="53" t="s">
        <v>70</v>
      </c>
      <c r="P1549" s="55" t="s">
        <v>9837</v>
      </c>
      <c r="Q1549" s="50">
        <v>31.0</v>
      </c>
      <c r="R1549" s="50">
        <v>99.0</v>
      </c>
      <c r="S1549" s="50" t="s">
        <v>9838</v>
      </c>
      <c r="T1549" s="56" t="s">
        <v>9839</v>
      </c>
      <c r="U1549" s="53" t="s">
        <v>370</v>
      </c>
    </row>
    <row r="1550">
      <c r="A1550" s="54" t="s">
        <v>9840</v>
      </c>
      <c r="B1550" s="50" t="s">
        <v>1225</v>
      </c>
      <c r="C1550" s="51" t="s">
        <v>1402</v>
      </c>
      <c r="D1550" s="51"/>
      <c r="E1550" s="51"/>
      <c r="F1550" s="51"/>
      <c r="G1550" s="50" t="s">
        <v>9841</v>
      </c>
      <c r="H1550" s="52">
        <v>44683.32300925926</v>
      </c>
      <c r="I1550" s="50"/>
      <c r="J1550" s="50"/>
      <c r="K1550" s="50"/>
      <c r="L1550" s="50"/>
      <c r="M1550" s="50" t="s">
        <v>1227</v>
      </c>
      <c r="N1550" s="50"/>
      <c r="O1550" s="53" t="s">
        <v>217</v>
      </c>
      <c r="P1550" s="55" t="s">
        <v>1228</v>
      </c>
      <c r="Q1550" s="50">
        <v>776.0</v>
      </c>
      <c r="R1550" s="50">
        <v>883.0</v>
      </c>
      <c r="S1550" s="50" t="s">
        <v>1229</v>
      </c>
      <c r="T1550" s="56" t="s">
        <v>9842</v>
      </c>
      <c r="U1550" s="53" t="s">
        <v>1408</v>
      </c>
    </row>
    <row r="1551">
      <c r="A1551" s="54" t="s">
        <v>9843</v>
      </c>
      <c r="B1551" s="50" t="s">
        <v>9844</v>
      </c>
      <c r="C1551" s="51" t="s">
        <v>8595</v>
      </c>
      <c r="D1551" s="51"/>
      <c r="E1551" s="51"/>
      <c r="F1551" s="51"/>
      <c r="G1551" s="50" t="s">
        <v>9845</v>
      </c>
      <c r="H1551" s="52">
        <v>44683.322962962964</v>
      </c>
      <c r="I1551" s="50"/>
      <c r="J1551" s="50"/>
      <c r="K1551" s="50"/>
      <c r="L1551" s="50"/>
      <c r="M1551" s="50" t="s">
        <v>9846</v>
      </c>
      <c r="N1551" s="50"/>
      <c r="O1551" s="53" t="s">
        <v>60</v>
      </c>
      <c r="P1551" s="55" t="s">
        <v>9847</v>
      </c>
      <c r="Q1551" s="50">
        <v>1272.0</v>
      </c>
      <c r="R1551" s="50">
        <v>2181.0</v>
      </c>
      <c r="S1551" s="50" t="s">
        <v>9848</v>
      </c>
      <c r="T1551" s="56" t="s">
        <v>9849</v>
      </c>
      <c r="U1551" s="53" t="s">
        <v>8601</v>
      </c>
    </row>
    <row r="1552">
      <c r="A1552" s="54" t="s">
        <v>9850</v>
      </c>
      <c r="B1552" s="50" t="s">
        <v>9851</v>
      </c>
      <c r="C1552" s="51" t="s">
        <v>316</v>
      </c>
      <c r="D1552" s="51"/>
      <c r="E1552" s="51"/>
      <c r="F1552" s="51"/>
      <c r="G1552" s="50" t="s">
        <v>9852</v>
      </c>
      <c r="H1552" s="52">
        <v>44683.32290509259</v>
      </c>
      <c r="I1552" s="50"/>
      <c r="J1552" s="50"/>
      <c r="K1552" s="50"/>
      <c r="L1552" s="50"/>
      <c r="M1552" s="50" t="s">
        <v>9853</v>
      </c>
      <c r="N1552" s="50"/>
      <c r="O1552" s="53" t="s">
        <v>92</v>
      </c>
      <c r="P1552" s="55" t="s">
        <v>9854</v>
      </c>
      <c r="Q1552" s="50">
        <v>4272.0</v>
      </c>
      <c r="R1552" s="50">
        <v>3796.0</v>
      </c>
      <c r="S1552" s="50"/>
      <c r="T1552" s="56" t="s">
        <v>9855</v>
      </c>
      <c r="U1552" s="53" t="s">
        <v>322</v>
      </c>
    </row>
    <row r="1553">
      <c r="A1553" s="54" t="s">
        <v>9856</v>
      </c>
      <c r="B1553" s="50" t="s">
        <v>9857</v>
      </c>
      <c r="C1553" s="51" t="s">
        <v>316</v>
      </c>
      <c r="D1553" s="51"/>
      <c r="E1553" s="51"/>
      <c r="F1553" s="51"/>
      <c r="G1553" s="50" t="s">
        <v>9858</v>
      </c>
      <c r="H1553" s="52">
        <v>44683.32288194445</v>
      </c>
      <c r="I1553" s="50"/>
      <c r="J1553" s="50"/>
      <c r="K1553" s="50"/>
      <c r="L1553" s="50"/>
      <c r="M1553" s="50" t="s">
        <v>9859</v>
      </c>
      <c r="N1553" s="50"/>
      <c r="O1553" s="53" t="s">
        <v>70</v>
      </c>
      <c r="P1553" s="55" t="s">
        <v>9860</v>
      </c>
      <c r="Q1553" s="50">
        <v>374.0</v>
      </c>
      <c r="R1553" s="50">
        <v>159.0</v>
      </c>
      <c r="S1553" s="50"/>
      <c r="T1553" s="56" t="s">
        <v>9861</v>
      </c>
      <c r="U1553" s="53" t="s">
        <v>322</v>
      </c>
    </row>
    <row r="1554">
      <c r="A1554" s="54" t="s">
        <v>9862</v>
      </c>
      <c r="B1554" s="50" t="s">
        <v>9863</v>
      </c>
      <c r="C1554" s="51" t="s">
        <v>9864</v>
      </c>
      <c r="D1554" s="51"/>
      <c r="E1554" s="51"/>
      <c r="F1554" s="51"/>
      <c r="G1554" s="50" t="s">
        <v>9865</v>
      </c>
      <c r="H1554" s="52">
        <v>44683.322858796295</v>
      </c>
      <c r="I1554" s="50"/>
      <c r="J1554" s="50"/>
      <c r="K1554" s="50"/>
      <c r="L1554" s="50"/>
      <c r="M1554" s="50" t="s">
        <v>9866</v>
      </c>
      <c r="N1554" s="50"/>
      <c r="O1554" s="53" t="s">
        <v>70</v>
      </c>
      <c r="P1554" s="55" t="s">
        <v>9867</v>
      </c>
      <c r="Q1554" s="50">
        <v>24.0</v>
      </c>
      <c r="R1554" s="50">
        <v>80.0</v>
      </c>
      <c r="S1554" s="50" t="s">
        <v>9868</v>
      </c>
      <c r="T1554" s="56" t="s">
        <v>9869</v>
      </c>
      <c r="U1554" s="53" t="s">
        <v>9870</v>
      </c>
    </row>
    <row r="1555">
      <c r="A1555" s="54" t="s">
        <v>9871</v>
      </c>
      <c r="B1555" s="50" t="s">
        <v>9872</v>
      </c>
      <c r="C1555" s="51" t="s">
        <v>367</v>
      </c>
      <c r="D1555" s="51"/>
      <c r="E1555" s="51"/>
      <c r="F1555" s="51"/>
      <c r="G1555" s="50" t="s">
        <v>9873</v>
      </c>
      <c r="H1555" s="52">
        <v>44683.32278935185</v>
      </c>
      <c r="I1555" s="50"/>
      <c r="J1555" s="50"/>
      <c r="K1555" s="50"/>
      <c r="L1555" s="50"/>
      <c r="M1555" s="50" t="s">
        <v>9874</v>
      </c>
      <c r="N1555" s="50"/>
      <c r="O1555" s="53" t="s">
        <v>92</v>
      </c>
      <c r="P1555" s="55" t="s">
        <v>9875</v>
      </c>
      <c r="Q1555" s="50">
        <v>459.0</v>
      </c>
      <c r="R1555" s="50">
        <v>221.0</v>
      </c>
      <c r="S1555" s="50" t="s">
        <v>129</v>
      </c>
      <c r="T1555" s="56" t="s">
        <v>9876</v>
      </c>
      <c r="U1555" s="53" t="s">
        <v>370</v>
      </c>
    </row>
    <row r="1556">
      <c r="A1556" s="54" t="s">
        <v>9877</v>
      </c>
      <c r="B1556" s="50" t="s">
        <v>9878</v>
      </c>
      <c r="C1556" s="51" t="s">
        <v>367</v>
      </c>
      <c r="D1556" s="51"/>
      <c r="E1556" s="51"/>
      <c r="F1556" s="51"/>
      <c r="G1556" s="50" t="s">
        <v>9879</v>
      </c>
      <c r="H1556" s="52">
        <v>44683.3227199074</v>
      </c>
      <c r="I1556" s="50"/>
      <c r="J1556" s="50"/>
      <c r="K1556" s="50"/>
      <c r="L1556" s="50"/>
      <c r="M1556" s="50" t="s">
        <v>9880</v>
      </c>
      <c r="N1556" s="50"/>
      <c r="O1556" s="53" t="s">
        <v>92</v>
      </c>
      <c r="P1556" s="55" t="s">
        <v>9881</v>
      </c>
      <c r="Q1556" s="50">
        <v>71.0</v>
      </c>
      <c r="R1556" s="50">
        <v>536.0</v>
      </c>
      <c r="S1556" s="50"/>
      <c r="T1556" s="56" t="s">
        <v>9882</v>
      </c>
      <c r="U1556" s="53" t="s">
        <v>370</v>
      </c>
    </row>
    <row r="1557">
      <c r="A1557" s="54" t="s">
        <v>9883</v>
      </c>
      <c r="B1557" s="50" t="s">
        <v>9857</v>
      </c>
      <c r="C1557" s="51" t="s">
        <v>367</v>
      </c>
      <c r="D1557" s="51"/>
      <c r="E1557" s="51"/>
      <c r="F1557" s="51"/>
      <c r="G1557" s="50" t="s">
        <v>9879</v>
      </c>
      <c r="H1557" s="52">
        <v>44683.3227199074</v>
      </c>
      <c r="I1557" s="50"/>
      <c r="J1557" s="50"/>
      <c r="K1557" s="50"/>
      <c r="L1557" s="50"/>
      <c r="M1557" s="50" t="s">
        <v>9859</v>
      </c>
      <c r="N1557" s="50"/>
      <c r="O1557" s="53" t="s">
        <v>70</v>
      </c>
      <c r="P1557" s="55" t="s">
        <v>9860</v>
      </c>
      <c r="Q1557" s="50">
        <v>374.0</v>
      </c>
      <c r="R1557" s="50">
        <v>159.0</v>
      </c>
      <c r="S1557" s="50"/>
      <c r="T1557" s="56" t="s">
        <v>9884</v>
      </c>
      <c r="U1557" s="53" t="s">
        <v>370</v>
      </c>
    </row>
    <row r="1558">
      <c r="A1558" s="54" t="s">
        <v>9885</v>
      </c>
      <c r="B1558" s="50" t="s">
        <v>9886</v>
      </c>
      <c r="C1558" s="51" t="s">
        <v>367</v>
      </c>
      <c r="D1558" s="51"/>
      <c r="E1558" s="51"/>
      <c r="F1558" s="51"/>
      <c r="G1558" s="50" t="s">
        <v>9887</v>
      </c>
      <c r="H1558" s="52">
        <v>44683.322476851856</v>
      </c>
      <c r="I1558" s="50"/>
      <c r="J1558" s="50"/>
      <c r="K1558" s="50"/>
      <c r="L1558" s="50"/>
      <c r="M1558" s="50" t="s">
        <v>9888</v>
      </c>
      <c r="N1558" s="50"/>
      <c r="O1558" s="53" t="s">
        <v>70</v>
      </c>
      <c r="P1558" s="55" t="s">
        <v>9889</v>
      </c>
      <c r="Q1558" s="50">
        <v>31.0</v>
      </c>
      <c r="R1558" s="50">
        <v>896.0</v>
      </c>
      <c r="S1558" s="50" t="s">
        <v>9890</v>
      </c>
      <c r="T1558" s="56" t="s">
        <v>9891</v>
      </c>
      <c r="U1558" s="53" t="s">
        <v>370</v>
      </c>
    </row>
    <row r="1559">
      <c r="A1559" s="54" t="s">
        <v>9892</v>
      </c>
      <c r="B1559" s="50" t="s">
        <v>9863</v>
      </c>
      <c r="C1559" s="51" t="s">
        <v>1913</v>
      </c>
      <c r="D1559" s="51"/>
      <c r="E1559" s="51"/>
      <c r="F1559" s="51"/>
      <c r="G1559" s="50" t="s">
        <v>9893</v>
      </c>
      <c r="H1559" s="52">
        <v>44683.32236111111</v>
      </c>
      <c r="I1559" s="50"/>
      <c r="J1559" s="50"/>
      <c r="K1559" s="50"/>
      <c r="L1559" s="50"/>
      <c r="M1559" s="50" t="s">
        <v>9866</v>
      </c>
      <c r="N1559" s="50"/>
      <c r="O1559" s="53" t="s">
        <v>70</v>
      </c>
      <c r="P1559" s="55" t="s">
        <v>9867</v>
      </c>
      <c r="Q1559" s="50">
        <v>24.0</v>
      </c>
      <c r="R1559" s="50">
        <v>80.0</v>
      </c>
      <c r="S1559" s="50" t="s">
        <v>9868</v>
      </c>
      <c r="T1559" s="56" t="s">
        <v>9894</v>
      </c>
      <c r="U1559" s="53" t="s">
        <v>1916</v>
      </c>
    </row>
    <row r="1560">
      <c r="A1560" s="54" t="s">
        <v>9895</v>
      </c>
      <c r="B1560" s="50" t="s">
        <v>9896</v>
      </c>
      <c r="C1560" s="51" t="s">
        <v>316</v>
      </c>
      <c r="D1560" s="51"/>
      <c r="E1560" s="51"/>
      <c r="F1560" s="51"/>
      <c r="G1560" s="50" t="s">
        <v>9893</v>
      </c>
      <c r="H1560" s="52">
        <v>44683.32236111111</v>
      </c>
      <c r="I1560" s="50"/>
      <c r="J1560" s="50"/>
      <c r="K1560" s="50"/>
      <c r="L1560" s="50"/>
      <c r="M1560" s="50" t="s">
        <v>9897</v>
      </c>
      <c r="N1560" s="50"/>
      <c r="O1560" s="53" t="s">
        <v>217</v>
      </c>
      <c r="P1560" s="55" t="s">
        <v>9898</v>
      </c>
      <c r="Q1560" s="50">
        <v>44.0</v>
      </c>
      <c r="R1560" s="50">
        <v>110.0</v>
      </c>
      <c r="S1560" s="50"/>
      <c r="T1560" s="56" t="s">
        <v>9899</v>
      </c>
      <c r="U1560" s="53" t="s">
        <v>322</v>
      </c>
    </row>
    <row r="1561">
      <c r="A1561" s="54" t="s">
        <v>9900</v>
      </c>
      <c r="B1561" s="50" t="s">
        <v>9901</v>
      </c>
      <c r="C1561" s="51" t="s">
        <v>9902</v>
      </c>
      <c r="D1561" s="51"/>
      <c r="E1561" s="51"/>
      <c r="F1561" s="51"/>
      <c r="G1561" s="50" t="s">
        <v>9903</v>
      </c>
      <c r="H1561" s="52">
        <v>44683.32231481481</v>
      </c>
      <c r="I1561" s="50"/>
      <c r="J1561" s="50"/>
      <c r="K1561" s="50"/>
      <c r="L1561" s="50"/>
      <c r="M1561" s="50" t="s">
        <v>9904</v>
      </c>
      <c r="N1561" s="50"/>
      <c r="O1561" s="53" t="s">
        <v>60</v>
      </c>
      <c r="P1561" s="55" t="s">
        <v>9905</v>
      </c>
      <c r="Q1561" s="50">
        <v>3830.0</v>
      </c>
      <c r="R1561" s="50">
        <v>5001.0</v>
      </c>
      <c r="S1561" s="50" t="s">
        <v>9906</v>
      </c>
      <c r="T1561" s="56" t="s">
        <v>9907</v>
      </c>
      <c r="U1561" s="53" t="s">
        <v>9908</v>
      </c>
    </row>
    <row r="1562">
      <c r="A1562" s="54" t="s">
        <v>9909</v>
      </c>
      <c r="B1562" s="50" t="s">
        <v>9910</v>
      </c>
      <c r="C1562" s="51" t="s">
        <v>367</v>
      </c>
      <c r="D1562" s="51"/>
      <c r="E1562" s="51"/>
      <c r="F1562" s="51"/>
      <c r="G1562" s="50" t="s">
        <v>9911</v>
      </c>
      <c r="H1562" s="52">
        <v>44683.32201388889</v>
      </c>
      <c r="I1562" s="50"/>
      <c r="J1562" s="50"/>
      <c r="K1562" s="50"/>
      <c r="L1562" s="50"/>
      <c r="M1562" s="50" t="s">
        <v>9912</v>
      </c>
      <c r="N1562" s="50"/>
      <c r="O1562" s="53" t="s">
        <v>92</v>
      </c>
      <c r="P1562" s="55" t="s">
        <v>9913</v>
      </c>
      <c r="Q1562" s="50">
        <v>4493.0</v>
      </c>
      <c r="R1562" s="50">
        <v>4990.0</v>
      </c>
      <c r="S1562" s="50" t="s">
        <v>9914</v>
      </c>
      <c r="T1562" s="56" t="s">
        <v>9915</v>
      </c>
      <c r="U1562" s="53" t="s">
        <v>370</v>
      </c>
    </row>
    <row r="1563">
      <c r="A1563" s="54" t="s">
        <v>9916</v>
      </c>
      <c r="B1563" s="50" t="s">
        <v>9917</v>
      </c>
      <c r="C1563" s="51" t="s">
        <v>3498</v>
      </c>
      <c r="D1563" s="51"/>
      <c r="E1563" s="51"/>
      <c r="F1563" s="51"/>
      <c r="G1563" s="50" t="s">
        <v>9918</v>
      </c>
      <c r="H1563" s="52">
        <v>44683.32193287037</v>
      </c>
      <c r="I1563" s="50"/>
      <c r="J1563" s="50"/>
      <c r="K1563" s="50"/>
      <c r="L1563" s="50"/>
      <c r="M1563" s="50" t="s">
        <v>9919</v>
      </c>
      <c r="N1563" s="50"/>
      <c r="O1563" s="53" t="s">
        <v>92</v>
      </c>
      <c r="P1563" s="55" t="s">
        <v>9920</v>
      </c>
      <c r="Q1563" s="50">
        <v>271.0</v>
      </c>
      <c r="R1563" s="50">
        <v>851.0</v>
      </c>
      <c r="S1563" s="50"/>
      <c r="T1563" s="56" t="s">
        <v>9921</v>
      </c>
      <c r="U1563" s="53" t="s">
        <v>3503</v>
      </c>
    </row>
    <row r="1564">
      <c r="A1564" s="54" t="s">
        <v>9922</v>
      </c>
      <c r="B1564" s="50" t="s">
        <v>9923</v>
      </c>
      <c r="C1564" s="51" t="s">
        <v>9924</v>
      </c>
      <c r="D1564" s="51"/>
      <c r="E1564" s="51"/>
      <c r="F1564" s="51"/>
      <c r="G1564" s="50" t="s">
        <v>9918</v>
      </c>
      <c r="H1564" s="52">
        <v>44683.32193287037</v>
      </c>
      <c r="I1564" s="50"/>
      <c r="J1564" s="50"/>
      <c r="K1564" s="50" t="s">
        <v>7754</v>
      </c>
      <c r="L1564" s="50" t="s">
        <v>7755</v>
      </c>
      <c r="M1564" s="50" t="s">
        <v>9925</v>
      </c>
      <c r="N1564" s="50" t="s">
        <v>7757</v>
      </c>
      <c r="O1564" s="53" t="s">
        <v>60</v>
      </c>
      <c r="P1564" s="55" t="s">
        <v>9926</v>
      </c>
      <c r="Q1564" s="50">
        <v>180.0</v>
      </c>
      <c r="R1564" s="50">
        <v>231.0</v>
      </c>
      <c r="S1564" s="50"/>
      <c r="T1564" s="56" t="s">
        <v>9927</v>
      </c>
      <c r="U1564" s="53" t="s">
        <v>9928</v>
      </c>
    </row>
    <row r="1565">
      <c r="A1565" s="54" t="s">
        <v>9929</v>
      </c>
      <c r="B1565" s="50" t="s">
        <v>9930</v>
      </c>
      <c r="C1565" s="51" t="s">
        <v>367</v>
      </c>
      <c r="D1565" s="51"/>
      <c r="E1565" s="51"/>
      <c r="F1565" s="51"/>
      <c r="G1565" s="50" t="s">
        <v>9931</v>
      </c>
      <c r="H1565" s="52">
        <v>44683.321747685186</v>
      </c>
      <c r="I1565" s="50"/>
      <c r="J1565" s="50"/>
      <c r="K1565" s="50"/>
      <c r="L1565" s="50"/>
      <c r="M1565" s="50" t="s">
        <v>9932</v>
      </c>
      <c r="N1565" s="50"/>
      <c r="O1565" s="53" t="s">
        <v>70</v>
      </c>
      <c r="P1565" s="55" t="s">
        <v>354</v>
      </c>
      <c r="Q1565" s="50">
        <v>18.0</v>
      </c>
      <c r="R1565" s="50">
        <v>77.0</v>
      </c>
      <c r="S1565" s="50"/>
      <c r="T1565" s="56" t="s">
        <v>9933</v>
      </c>
      <c r="U1565" s="53" t="s">
        <v>370</v>
      </c>
    </row>
    <row r="1566">
      <c r="A1566" s="54" t="s">
        <v>9934</v>
      </c>
      <c r="B1566" s="50" t="s">
        <v>9935</v>
      </c>
      <c r="C1566" s="51" t="s">
        <v>367</v>
      </c>
      <c r="D1566" s="51"/>
      <c r="E1566" s="51"/>
      <c r="F1566" s="51"/>
      <c r="G1566" s="50" t="s">
        <v>9936</v>
      </c>
      <c r="H1566" s="52">
        <v>44683.32165509259</v>
      </c>
      <c r="I1566" s="50"/>
      <c r="J1566" s="50"/>
      <c r="K1566" s="50"/>
      <c r="L1566" s="50"/>
      <c r="M1566" s="50" t="s">
        <v>9937</v>
      </c>
      <c r="N1566" s="50"/>
      <c r="O1566" s="53" t="s">
        <v>92</v>
      </c>
      <c r="P1566" s="55" t="s">
        <v>9938</v>
      </c>
      <c r="Q1566" s="50">
        <v>9471.0</v>
      </c>
      <c r="R1566" s="50">
        <v>9901.0</v>
      </c>
      <c r="S1566" s="50" t="s">
        <v>9939</v>
      </c>
      <c r="T1566" s="56" t="s">
        <v>9940</v>
      </c>
      <c r="U1566" s="53" t="s">
        <v>370</v>
      </c>
    </row>
    <row r="1567">
      <c r="A1567" s="54" t="s">
        <v>9941</v>
      </c>
      <c r="B1567" s="50" t="s">
        <v>9942</v>
      </c>
      <c r="C1567" s="51" t="s">
        <v>367</v>
      </c>
      <c r="D1567" s="51"/>
      <c r="E1567" s="51"/>
      <c r="F1567" s="51"/>
      <c r="G1567" s="50" t="s">
        <v>9943</v>
      </c>
      <c r="H1567" s="52">
        <v>44683.32164351852</v>
      </c>
      <c r="I1567" s="50"/>
      <c r="J1567" s="50"/>
      <c r="K1567" s="50"/>
      <c r="L1567" s="50"/>
      <c r="M1567" s="50" t="s">
        <v>9944</v>
      </c>
      <c r="N1567" s="50"/>
      <c r="O1567" s="53" t="s">
        <v>70</v>
      </c>
      <c r="P1567" s="55" t="s">
        <v>9945</v>
      </c>
      <c r="Q1567" s="50">
        <v>2182.0</v>
      </c>
      <c r="R1567" s="50">
        <v>2234.0</v>
      </c>
      <c r="S1567" s="50" t="s">
        <v>9946</v>
      </c>
      <c r="T1567" s="56" t="s">
        <v>9947</v>
      </c>
      <c r="U1567" s="53" t="s">
        <v>370</v>
      </c>
    </row>
    <row r="1568">
      <c r="A1568" s="54" t="s">
        <v>9948</v>
      </c>
      <c r="B1568" s="50" t="s">
        <v>9949</v>
      </c>
      <c r="C1568" s="51" t="s">
        <v>367</v>
      </c>
      <c r="D1568" s="51"/>
      <c r="E1568" s="51"/>
      <c r="F1568" s="51"/>
      <c r="G1568" s="50" t="s">
        <v>9950</v>
      </c>
      <c r="H1568" s="52">
        <v>44683.321435185186</v>
      </c>
      <c r="I1568" s="50"/>
      <c r="J1568" s="50"/>
      <c r="K1568" s="50"/>
      <c r="L1568" s="50"/>
      <c r="M1568" s="50" t="s">
        <v>9951</v>
      </c>
      <c r="N1568" s="50"/>
      <c r="O1568" s="53" t="s">
        <v>92</v>
      </c>
      <c r="P1568" s="55" t="s">
        <v>9952</v>
      </c>
      <c r="Q1568" s="50">
        <v>35.0</v>
      </c>
      <c r="R1568" s="50">
        <v>102.0</v>
      </c>
      <c r="S1568" s="50"/>
      <c r="T1568" s="56" t="s">
        <v>9953</v>
      </c>
      <c r="U1568" s="53" t="s">
        <v>370</v>
      </c>
    </row>
    <row r="1569">
      <c r="A1569" s="54" t="s">
        <v>9954</v>
      </c>
      <c r="B1569" s="50" t="s">
        <v>9863</v>
      </c>
      <c r="C1569" s="51" t="s">
        <v>1307</v>
      </c>
      <c r="D1569" s="51"/>
      <c r="E1569" s="51"/>
      <c r="F1569" s="51"/>
      <c r="G1569" s="50" t="s">
        <v>9955</v>
      </c>
      <c r="H1569" s="52">
        <v>44683.32130787037</v>
      </c>
      <c r="I1569" s="50"/>
      <c r="J1569" s="50"/>
      <c r="K1569" s="50"/>
      <c r="L1569" s="50"/>
      <c r="M1569" s="50" t="s">
        <v>9866</v>
      </c>
      <c r="N1569" s="50"/>
      <c r="O1569" s="53" t="s">
        <v>70</v>
      </c>
      <c r="P1569" s="55" t="s">
        <v>9867</v>
      </c>
      <c r="Q1569" s="50">
        <v>24.0</v>
      </c>
      <c r="R1569" s="50">
        <v>80.0</v>
      </c>
      <c r="S1569" s="50" t="s">
        <v>9868</v>
      </c>
      <c r="T1569" s="56" t="s">
        <v>9956</v>
      </c>
      <c r="U1569" s="53" t="s">
        <v>1313</v>
      </c>
    </row>
    <row r="1570">
      <c r="A1570" s="54" t="s">
        <v>9957</v>
      </c>
      <c r="B1570" s="50" t="s">
        <v>9958</v>
      </c>
      <c r="C1570" s="51" t="s">
        <v>367</v>
      </c>
      <c r="D1570" s="51"/>
      <c r="E1570" s="51"/>
      <c r="F1570" s="51"/>
      <c r="G1570" s="50" t="s">
        <v>9959</v>
      </c>
      <c r="H1570" s="52">
        <v>44683.32104166667</v>
      </c>
      <c r="I1570" s="50"/>
      <c r="J1570" s="50"/>
      <c r="K1570" s="50"/>
      <c r="L1570" s="50"/>
      <c r="M1570" s="50" t="s">
        <v>9960</v>
      </c>
      <c r="N1570" s="50"/>
      <c r="O1570" s="53" t="s">
        <v>60</v>
      </c>
      <c r="P1570" s="55" t="s">
        <v>9961</v>
      </c>
      <c r="Q1570" s="50">
        <v>176.0</v>
      </c>
      <c r="R1570" s="50">
        <v>93.0</v>
      </c>
      <c r="S1570" s="50"/>
      <c r="T1570" s="56" t="s">
        <v>9962</v>
      </c>
      <c r="U1570" s="53" t="s">
        <v>370</v>
      </c>
    </row>
    <row r="1571">
      <c r="A1571" s="54" t="s">
        <v>9963</v>
      </c>
      <c r="B1571" s="50" t="s">
        <v>9964</v>
      </c>
      <c r="C1571" s="51" t="s">
        <v>7932</v>
      </c>
      <c r="D1571" s="51"/>
      <c r="E1571" s="51"/>
      <c r="F1571" s="51"/>
      <c r="G1571" s="50" t="s">
        <v>9965</v>
      </c>
      <c r="H1571" s="52">
        <v>44683.32099537037</v>
      </c>
      <c r="I1571" s="50"/>
      <c r="J1571" s="50"/>
      <c r="K1571" s="50"/>
      <c r="L1571" s="50"/>
      <c r="M1571" s="50" t="s">
        <v>9966</v>
      </c>
      <c r="N1571" s="50"/>
      <c r="O1571" s="53" t="s">
        <v>92</v>
      </c>
      <c r="P1571" s="55" t="s">
        <v>9967</v>
      </c>
      <c r="Q1571" s="50">
        <v>2328.0</v>
      </c>
      <c r="R1571" s="50">
        <v>2798.0</v>
      </c>
      <c r="S1571" s="50" t="s">
        <v>2833</v>
      </c>
      <c r="T1571" s="56" t="s">
        <v>9968</v>
      </c>
      <c r="U1571" s="53" t="s">
        <v>7938</v>
      </c>
    </row>
    <row r="1572">
      <c r="A1572" s="54" t="s">
        <v>9969</v>
      </c>
      <c r="B1572" s="50" t="s">
        <v>9970</v>
      </c>
      <c r="C1572" s="51" t="s">
        <v>367</v>
      </c>
      <c r="D1572" s="51"/>
      <c r="E1572" s="51"/>
      <c r="F1572" s="51"/>
      <c r="G1572" s="50" t="s">
        <v>9971</v>
      </c>
      <c r="H1572" s="52">
        <v>44683.32083333333</v>
      </c>
      <c r="I1572" s="50"/>
      <c r="J1572" s="50"/>
      <c r="K1572" s="50"/>
      <c r="L1572" s="50"/>
      <c r="M1572" s="50" t="s">
        <v>9972</v>
      </c>
      <c r="N1572" s="50"/>
      <c r="O1572" s="53" t="s">
        <v>92</v>
      </c>
      <c r="P1572" s="55" t="s">
        <v>9973</v>
      </c>
      <c r="Q1572" s="50">
        <v>177.0</v>
      </c>
      <c r="R1572" s="50">
        <v>235.0</v>
      </c>
      <c r="S1572" s="50" t="s">
        <v>246</v>
      </c>
      <c r="T1572" s="56" t="s">
        <v>9974</v>
      </c>
      <c r="U1572" s="53" t="s">
        <v>370</v>
      </c>
    </row>
    <row r="1573">
      <c r="A1573" s="54" t="s">
        <v>9975</v>
      </c>
      <c r="B1573" s="50" t="s">
        <v>9976</v>
      </c>
      <c r="C1573" s="51" t="s">
        <v>9977</v>
      </c>
      <c r="D1573" s="51"/>
      <c r="E1573" s="51"/>
      <c r="F1573" s="51"/>
      <c r="G1573" s="50" t="s">
        <v>9978</v>
      </c>
      <c r="H1573" s="52">
        <v>44683.320810185185</v>
      </c>
      <c r="I1573" s="50"/>
      <c r="J1573" s="50"/>
      <c r="K1573" s="50" t="s">
        <v>9979</v>
      </c>
      <c r="L1573" s="50" t="s">
        <v>9980</v>
      </c>
      <c r="M1573" s="50" t="s">
        <v>9981</v>
      </c>
      <c r="N1573" s="50" t="s">
        <v>9982</v>
      </c>
      <c r="O1573" s="53" t="s">
        <v>70</v>
      </c>
      <c r="P1573" s="55" t="s">
        <v>9983</v>
      </c>
      <c r="Q1573" s="50">
        <v>2930.0</v>
      </c>
      <c r="R1573" s="50">
        <v>1580.0</v>
      </c>
      <c r="S1573" s="50" t="s">
        <v>379</v>
      </c>
      <c r="T1573" s="56" t="s">
        <v>9984</v>
      </c>
      <c r="U1573" s="53" t="s">
        <v>9985</v>
      </c>
    </row>
    <row r="1574">
      <c r="A1574" s="54" t="s">
        <v>9986</v>
      </c>
      <c r="B1574" s="50" t="s">
        <v>9987</v>
      </c>
      <c r="C1574" s="51" t="s">
        <v>367</v>
      </c>
      <c r="D1574" s="51"/>
      <c r="E1574" s="51"/>
      <c r="F1574" s="51"/>
      <c r="G1574" s="50" t="s">
        <v>9988</v>
      </c>
      <c r="H1574" s="52">
        <v>44683.32078703704</v>
      </c>
      <c r="I1574" s="50"/>
      <c r="J1574" s="50"/>
      <c r="K1574" s="50"/>
      <c r="L1574" s="50"/>
      <c r="M1574" s="50" t="s">
        <v>9989</v>
      </c>
      <c r="N1574" s="50"/>
      <c r="O1574" s="53" t="s">
        <v>92</v>
      </c>
      <c r="P1574" s="55" t="s">
        <v>9990</v>
      </c>
      <c r="Q1574" s="50">
        <v>2412.0</v>
      </c>
      <c r="R1574" s="50">
        <v>3673.0</v>
      </c>
      <c r="S1574" s="50" t="s">
        <v>3536</v>
      </c>
      <c r="T1574" s="56" t="s">
        <v>9991</v>
      </c>
      <c r="U1574" s="53" t="s">
        <v>370</v>
      </c>
    </row>
    <row r="1575">
      <c r="A1575" s="54" t="s">
        <v>9992</v>
      </c>
      <c r="B1575" s="50" t="s">
        <v>9993</v>
      </c>
      <c r="C1575" s="51" t="s">
        <v>4949</v>
      </c>
      <c r="D1575" s="51"/>
      <c r="E1575" s="51"/>
      <c r="F1575" s="51"/>
      <c r="G1575" s="50" t="s">
        <v>9994</v>
      </c>
      <c r="H1575" s="52">
        <v>44683.32070601852</v>
      </c>
      <c r="I1575" s="50"/>
      <c r="J1575" s="50"/>
      <c r="K1575" s="50"/>
      <c r="L1575" s="50"/>
      <c r="M1575" s="50" t="s">
        <v>9995</v>
      </c>
      <c r="N1575" s="50"/>
      <c r="O1575" s="53" t="s">
        <v>92</v>
      </c>
      <c r="P1575" s="55" t="s">
        <v>9996</v>
      </c>
      <c r="Q1575" s="50">
        <v>131.0</v>
      </c>
      <c r="R1575" s="50">
        <v>599.0</v>
      </c>
      <c r="S1575" s="50" t="s">
        <v>379</v>
      </c>
      <c r="T1575" s="56" t="s">
        <v>9997</v>
      </c>
      <c r="U1575" s="53" t="s">
        <v>4955</v>
      </c>
    </row>
    <row r="1576">
      <c r="A1576" s="54" t="s">
        <v>9998</v>
      </c>
      <c r="B1576" s="50" t="s">
        <v>9999</v>
      </c>
      <c r="C1576" s="51" t="s">
        <v>10000</v>
      </c>
      <c r="D1576" s="51"/>
      <c r="E1576" s="51"/>
      <c r="F1576" s="51"/>
      <c r="G1576" s="50" t="s">
        <v>10001</v>
      </c>
      <c r="H1576" s="52">
        <v>44683.3206712963</v>
      </c>
      <c r="I1576" s="50"/>
      <c r="J1576" s="50"/>
      <c r="K1576" s="50"/>
      <c r="L1576" s="50"/>
      <c r="M1576" s="50" t="s">
        <v>10002</v>
      </c>
      <c r="N1576" s="50"/>
      <c r="O1576" s="53" t="s">
        <v>92</v>
      </c>
      <c r="P1576" s="55" t="s">
        <v>10003</v>
      </c>
      <c r="Q1576" s="50">
        <v>2050.0</v>
      </c>
      <c r="R1576" s="50">
        <v>4284.0</v>
      </c>
      <c r="S1576" s="50" t="s">
        <v>10004</v>
      </c>
      <c r="T1576" s="56" t="s">
        <v>10005</v>
      </c>
      <c r="U1576" s="53" t="s">
        <v>10006</v>
      </c>
    </row>
    <row r="1577">
      <c r="A1577" s="54" t="s">
        <v>10007</v>
      </c>
      <c r="B1577" s="50" t="s">
        <v>10008</v>
      </c>
      <c r="C1577" s="51" t="s">
        <v>1307</v>
      </c>
      <c r="D1577" s="51"/>
      <c r="E1577" s="51"/>
      <c r="F1577" s="51"/>
      <c r="G1577" s="50" t="s">
        <v>10009</v>
      </c>
      <c r="H1577" s="52">
        <v>44683.32063657408</v>
      </c>
      <c r="I1577" s="50"/>
      <c r="J1577" s="50"/>
      <c r="K1577" s="50"/>
      <c r="L1577" s="50"/>
      <c r="M1577" s="50" t="s">
        <v>10010</v>
      </c>
      <c r="N1577" s="50"/>
      <c r="O1577" s="53" t="s">
        <v>60</v>
      </c>
      <c r="P1577" s="55" t="s">
        <v>10011</v>
      </c>
      <c r="Q1577" s="50">
        <v>1843.0</v>
      </c>
      <c r="R1577" s="50">
        <v>2876.0</v>
      </c>
      <c r="S1577" s="50" t="s">
        <v>10012</v>
      </c>
      <c r="T1577" s="56" t="s">
        <v>10013</v>
      </c>
      <c r="U1577" s="53" t="s">
        <v>1313</v>
      </c>
    </row>
    <row r="1578">
      <c r="A1578" s="54" t="s">
        <v>10014</v>
      </c>
      <c r="B1578" s="50" t="s">
        <v>10015</v>
      </c>
      <c r="C1578" s="51" t="s">
        <v>8049</v>
      </c>
      <c r="D1578" s="51"/>
      <c r="E1578" s="51"/>
      <c r="F1578" s="51"/>
      <c r="G1578" s="50" t="s">
        <v>10009</v>
      </c>
      <c r="H1578" s="52">
        <v>44683.32063657408</v>
      </c>
      <c r="I1578" s="50"/>
      <c r="J1578" s="50"/>
      <c r="K1578" s="50"/>
      <c r="L1578" s="50"/>
      <c r="M1578" s="50" t="s">
        <v>10016</v>
      </c>
      <c r="N1578" s="50"/>
      <c r="O1578" s="53" t="s">
        <v>60</v>
      </c>
      <c r="P1578" s="55" t="s">
        <v>10017</v>
      </c>
      <c r="Q1578" s="50">
        <v>112.0</v>
      </c>
      <c r="R1578" s="50">
        <v>1994.0</v>
      </c>
      <c r="S1578" s="50"/>
      <c r="T1578" s="56" t="s">
        <v>10018</v>
      </c>
      <c r="U1578" s="53" t="s">
        <v>8054</v>
      </c>
    </row>
    <row r="1579">
      <c r="A1579" s="54" t="s">
        <v>10019</v>
      </c>
      <c r="B1579" s="50" t="s">
        <v>10020</v>
      </c>
      <c r="C1579" s="51" t="s">
        <v>5328</v>
      </c>
      <c r="D1579" s="51"/>
      <c r="E1579" s="51"/>
      <c r="F1579" s="51"/>
      <c r="G1579" s="50" t="s">
        <v>10021</v>
      </c>
      <c r="H1579" s="52">
        <v>44683.3205787037</v>
      </c>
      <c r="I1579" s="50"/>
      <c r="J1579" s="50"/>
      <c r="K1579" s="50"/>
      <c r="L1579" s="50"/>
      <c r="M1579" s="50" t="s">
        <v>10022</v>
      </c>
      <c r="N1579" s="50"/>
      <c r="O1579" s="53" t="s">
        <v>92</v>
      </c>
      <c r="P1579" s="55" t="s">
        <v>10023</v>
      </c>
      <c r="Q1579" s="50">
        <v>2421.0</v>
      </c>
      <c r="R1579" s="50">
        <v>3036.0</v>
      </c>
      <c r="S1579" s="50" t="s">
        <v>246</v>
      </c>
      <c r="T1579" s="56" t="s">
        <v>10024</v>
      </c>
      <c r="U1579" s="53" t="s">
        <v>5333</v>
      </c>
    </row>
    <row r="1580">
      <c r="A1580" s="54" t="s">
        <v>10025</v>
      </c>
      <c r="B1580" s="50" t="s">
        <v>10026</v>
      </c>
      <c r="C1580" s="51" t="s">
        <v>367</v>
      </c>
      <c r="D1580" s="51"/>
      <c r="E1580" s="51"/>
      <c r="F1580" s="51"/>
      <c r="G1580" s="50" t="s">
        <v>10027</v>
      </c>
      <c r="H1580" s="52">
        <v>44683.320555555554</v>
      </c>
      <c r="I1580" s="50"/>
      <c r="J1580" s="50"/>
      <c r="K1580" s="50"/>
      <c r="L1580" s="50"/>
      <c r="M1580" s="50" t="s">
        <v>10028</v>
      </c>
      <c r="N1580" s="50"/>
      <c r="O1580" s="53" t="s">
        <v>92</v>
      </c>
      <c r="P1580" s="55" t="s">
        <v>10029</v>
      </c>
      <c r="Q1580" s="50">
        <v>115.0</v>
      </c>
      <c r="R1580" s="50">
        <v>635.0</v>
      </c>
      <c r="S1580" s="50" t="s">
        <v>129</v>
      </c>
      <c r="T1580" s="56" t="s">
        <v>10030</v>
      </c>
      <c r="U1580" s="53" t="s">
        <v>370</v>
      </c>
    </row>
    <row r="1581">
      <c r="A1581" s="54" t="s">
        <v>10031</v>
      </c>
      <c r="B1581" s="50" t="s">
        <v>10032</v>
      </c>
      <c r="C1581" s="51" t="s">
        <v>10033</v>
      </c>
      <c r="D1581" s="51"/>
      <c r="E1581" s="51"/>
      <c r="F1581" s="51"/>
      <c r="G1581" s="50" t="s">
        <v>10034</v>
      </c>
      <c r="H1581" s="52">
        <v>44683.32046296296</v>
      </c>
      <c r="I1581" s="50"/>
      <c r="J1581" s="50"/>
      <c r="K1581" s="50" t="s">
        <v>10035</v>
      </c>
      <c r="L1581" s="50" t="s">
        <v>10036</v>
      </c>
      <c r="M1581" s="50" t="s">
        <v>10037</v>
      </c>
      <c r="N1581" s="50" t="s">
        <v>10038</v>
      </c>
      <c r="O1581" s="53" t="s">
        <v>70</v>
      </c>
      <c r="P1581" s="55" t="s">
        <v>10039</v>
      </c>
      <c r="Q1581" s="50">
        <v>443.0</v>
      </c>
      <c r="R1581" s="50">
        <v>1017.0</v>
      </c>
      <c r="S1581" s="50" t="s">
        <v>1311</v>
      </c>
      <c r="T1581" s="56" t="s">
        <v>10040</v>
      </c>
      <c r="U1581" s="53" t="s">
        <v>10041</v>
      </c>
    </row>
    <row r="1582">
      <c r="A1582" s="54" t="s">
        <v>10042</v>
      </c>
      <c r="B1582" s="50" t="s">
        <v>10043</v>
      </c>
      <c r="C1582" s="51" t="s">
        <v>10044</v>
      </c>
      <c r="D1582" s="51"/>
      <c r="E1582" s="51"/>
      <c r="F1582" s="51"/>
      <c r="G1582" s="50" t="s">
        <v>10045</v>
      </c>
      <c r="H1582" s="52">
        <v>44683.32042824074</v>
      </c>
      <c r="I1582" s="50"/>
      <c r="J1582" s="50"/>
      <c r="K1582" s="50"/>
      <c r="L1582" s="50"/>
      <c r="M1582" s="50" t="s">
        <v>10046</v>
      </c>
      <c r="N1582" s="50"/>
      <c r="O1582" s="53" t="s">
        <v>217</v>
      </c>
      <c r="P1582" s="55" t="s">
        <v>10047</v>
      </c>
      <c r="Q1582" s="50">
        <v>773.0</v>
      </c>
      <c r="R1582" s="50">
        <v>121.0</v>
      </c>
      <c r="S1582" s="50"/>
      <c r="T1582" s="56" t="s">
        <v>10048</v>
      </c>
      <c r="U1582" s="53" t="s">
        <v>10049</v>
      </c>
    </row>
    <row r="1583">
      <c r="A1583" s="54" t="s">
        <v>10050</v>
      </c>
      <c r="B1583" s="50" t="s">
        <v>10051</v>
      </c>
      <c r="C1583" s="51" t="s">
        <v>1307</v>
      </c>
      <c r="D1583" s="51"/>
      <c r="E1583" s="51"/>
      <c r="F1583" s="51"/>
      <c r="G1583" s="50" t="s">
        <v>10052</v>
      </c>
      <c r="H1583" s="52">
        <v>44683.32040509259</v>
      </c>
      <c r="I1583" s="50"/>
      <c r="J1583" s="50"/>
      <c r="K1583" s="50"/>
      <c r="L1583" s="50"/>
      <c r="M1583" s="50" t="s">
        <v>10053</v>
      </c>
      <c r="N1583" s="50"/>
      <c r="O1583" s="53" t="s">
        <v>70</v>
      </c>
      <c r="P1583" s="55" t="s">
        <v>10054</v>
      </c>
      <c r="Q1583" s="50">
        <v>123.0</v>
      </c>
      <c r="R1583" s="50">
        <v>490.0</v>
      </c>
      <c r="S1583" s="50" t="s">
        <v>10055</v>
      </c>
      <c r="T1583" s="56" t="s">
        <v>10056</v>
      </c>
      <c r="U1583" s="53" t="s">
        <v>1313</v>
      </c>
    </row>
    <row r="1584">
      <c r="A1584" s="54" t="s">
        <v>10057</v>
      </c>
      <c r="B1584" s="50" t="s">
        <v>10058</v>
      </c>
      <c r="C1584" s="51" t="s">
        <v>1402</v>
      </c>
      <c r="D1584" s="51"/>
      <c r="E1584" s="51"/>
      <c r="F1584" s="51"/>
      <c r="G1584" s="50" t="s">
        <v>10059</v>
      </c>
      <c r="H1584" s="52">
        <v>44683.320393518516</v>
      </c>
      <c r="I1584" s="50"/>
      <c r="J1584" s="50"/>
      <c r="K1584" s="50"/>
      <c r="L1584" s="50"/>
      <c r="M1584" s="50" t="s">
        <v>10060</v>
      </c>
      <c r="N1584" s="50"/>
      <c r="O1584" s="53" t="s">
        <v>70</v>
      </c>
      <c r="P1584" s="55" t="s">
        <v>10061</v>
      </c>
      <c r="Q1584" s="50">
        <v>1421.0</v>
      </c>
      <c r="R1584" s="50">
        <v>730.0</v>
      </c>
      <c r="S1584" s="50"/>
      <c r="T1584" s="56" t="s">
        <v>10062</v>
      </c>
      <c r="U1584" s="53" t="s">
        <v>1408</v>
      </c>
    </row>
    <row r="1585">
      <c r="A1585" s="54" t="s">
        <v>10063</v>
      </c>
      <c r="B1585" s="50" t="s">
        <v>10064</v>
      </c>
      <c r="C1585" s="51" t="s">
        <v>316</v>
      </c>
      <c r="D1585" s="51"/>
      <c r="E1585" s="51"/>
      <c r="F1585" s="51"/>
      <c r="G1585" s="50" t="s">
        <v>10065</v>
      </c>
      <c r="H1585" s="52">
        <v>44683.320185185185</v>
      </c>
      <c r="I1585" s="50"/>
      <c r="J1585" s="50"/>
      <c r="K1585" s="50"/>
      <c r="L1585" s="50"/>
      <c r="M1585" s="50" t="s">
        <v>10066</v>
      </c>
      <c r="N1585" s="50"/>
      <c r="O1585" s="53" t="s">
        <v>217</v>
      </c>
      <c r="P1585" s="55" t="s">
        <v>10067</v>
      </c>
      <c r="Q1585" s="50">
        <v>2717.0</v>
      </c>
      <c r="R1585" s="50">
        <v>4982.0</v>
      </c>
      <c r="S1585" s="50" t="s">
        <v>4349</v>
      </c>
      <c r="T1585" s="56" t="s">
        <v>10068</v>
      </c>
      <c r="U1585" s="53" t="s">
        <v>322</v>
      </c>
    </row>
    <row r="1586">
      <c r="A1586" s="54" t="s">
        <v>10069</v>
      </c>
      <c r="B1586" s="50" t="s">
        <v>10070</v>
      </c>
      <c r="C1586" s="51" t="s">
        <v>9735</v>
      </c>
      <c r="D1586" s="51"/>
      <c r="E1586" s="51"/>
      <c r="F1586" s="51"/>
      <c r="G1586" s="50" t="s">
        <v>10071</v>
      </c>
      <c r="H1586" s="52">
        <v>44683.32005787037</v>
      </c>
      <c r="I1586" s="50"/>
      <c r="J1586" s="50"/>
      <c r="K1586" s="50"/>
      <c r="L1586" s="50"/>
      <c r="M1586" s="50" t="s">
        <v>10072</v>
      </c>
      <c r="N1586" s="50"/>
      <c r="O1586" s="53" t="s">
        <v>92</v>
      </c>
      <c r="P1586" s="55" t="s">
        <v>10073</v>
      </c>
      <c r="Q1586" s="50">
        <v>5678.0</v>
      </c>
      <c r="R1586" s="50">
        <v>6236.0</v>
      </c>
      <c r="S1586" s="50"/>
      <c r="T1586" s="56" t="s">
        <v>10074</v>
      </c>
      <c r="U1586" s="53" t="s">
        <v>9740</v>
      </c>
    </row>
    <row r="1587">
      <c r="A1587" s="54" t="s">
        <v>10075</v>
      </c>
      <c r="B1587" s="50" t="s">
        <v>10076</v>
      </c>
      <c r="C1587" s="51" t="s">
        <v>367</v>
      </c>
      <c r="D1587" s="51"/>
      <c r="E1587" s="51"/>
      <c r="F1587" s="51"/>
      <c r="G1587" s="50" t="s">
        <v>10077</v>
      </c>
      <c r="H1587" s="52">
        <v>44683.32001157408</v>
      </c>
      <c r="I1587" s="50"/>
      <c r="J1587" s="50"/>
      <c r="K1587" s="50"/>
      <c r="L1587" s="50"/>
      <c r="M1587" s="50" t="s">
        <v>10078</v>
      </c>
      <c r="N1587" s="50"/>
      <c r="O1587" s="53" t="s">
        <v>70</v>
      </c>
      <c r="P1587" s="55" t="s">
        <v>10079</v>
      </c>
      <c r="Q1587" s="50">
        <v>1045.0</v>
      </c>
      <c r="R1587" s="50">
        <v>2235.0</v>
      </c>
      <c r="S1587" s="50" t="s">
        <v>2998</v>
      </c>
      <c r="T1587" s="56" t="s">
        <v>10080</v>
      </c>
      <c r="U1587" s="53" t="s">
        <v>370</v>
      </c>
    </row>
    <row r="1588">
      <c r="A1588" s="54" t="s">
        <v>10081</v>
      </c>
      <c r="B1588" s="50" t="s">
        <v>10082</v>
      </c>
      <c r="C1588" s="51" t="s">
        <v>1307</v>
      </c>
      <c r="D1588" s="51"/>
      <c r="E1588" s="51"/>
      <c r="F1588" s="51"/>
      <c r="G1588" s="50" t="s">
        <v>10083</v>
      </c>
      <c r="H1588" s="52">
        <v>44683.31988425926</v>
      </c>
      <c r="I1588" s="50"/>
      <c r="J1588" s="50"/>
      <c r="K1588" s="50"/>
      <c r="L1588" s="50"/>
      <c r="M1588" s="50" t="s">
        <v>10084</v>
      </c>
      <c r="N1588" s="50"/>
      <c r="O1588" s="53" t="s">
        <v>70</v>
      </c>
      <c r="P1588" s="55" t="s">
        <v>10085</v>
      </c>
      <c r="Q1588" s="50">
        <v>774.0</v>
      </c>
      <c r="R1588" s="50">
        <v>1581.0</v>
      </c>
      <c r="S1588" s="50" t="s">
        <v>10086</v>
      </c>
      <c r="T1588" s="56" t="s">
        <v>10087</v>
      </c>
      <c r="U1588" s="53" t="s">
        <v>1313</v>
      </c>
    </row>
    <row r="1589">
      <c r="A1589" s="54" t="s">
        <v>10088</v>
      </c>
      <c r="B1589" s="50" t="s">
        <v>9698</v>
      </c>
      <c r="C1589" s="51" t="s">
        <v>10089</v>
      </c>
      <c r="D1589" s="51"/>
      <c r="E1589" s="51"/>
      <c r="F1589" s="51"/>
      <c r="G1589" s="50" t="s">
        <v>10090</v>
      </c>
      <c r="H1589" s="52">
        <v>44683.31984953704</v>
      </c>
      <c r="I1589" s="50"/>
      <c r="J1589" s="50"/>
      <c r="K1589" s="50"/>
      <c r="L1589" s="50"/>
      <c r="M1589" s="50" t="s">
        <v>9700</v>
      </c>
      <c r="N1589" s="50"/>
      <c r="O1589" s="53" t="s">
        <v>92</v>
      </c>
      <c r="P1589" s="55" t="s">
        <v>9701</v>
      </c>
      <c r="Q1589" s="50">
        <v>327.0</v>
      </c>
      <c r="R1589" s="50">
        <v>1018.0</v>
      </c>
      <c r="S1589" s="50" t="s">
        <v>9702</v>
      </c>
      <c r="T1589" s="56" t="s">
        <v>10091</v>
      </c>
      <c r="U1589" s="53" t="s">
        <v>10092</v>
      </c>
    </row>
    <row r="1590">
      <c r="A1590" s="54" t="s">
        <v>10093</v>
      </c>
      <c r="B1590" s="50" t="s">
        <v>10094</v>
      </c>
      <c r="C1590" s="51" t="s">
        <v>10095</v>
      </c>
      <c r="D1590" s="51"/>
      <c r="E1590" s="51"/>
      <c r="F1590" s="51"/>
      <c r="G1590" s="50" t="s">
        <v>10096</v>
      </c>
      <c r="H1590" s="52">
        <v>44683.31978009259</v>
      </c>
      <c r="I1590" s="50"/>
      <c r="J1590" s="50"/>
      <c r="K1590" s="50"/>
      <c r="L1590" s="50"/>
      <c r="M1590" s="50" t="s">
        <v>10097</v>
      </c>
      <c r="N1590" s="50"/>
      <c r="O1590" s="53" t="s">
        <v>92</v>
      </c>
      <c r="P1590" s="55" t="s">
        <v>10098</v>
      </c>
      <c r="Q1590" s="50">
        <v>171.0</v>
      </c>
      <c r="R1590" s="50">
        <v>317.0</v>
      </c>
      <c r="S1590" s="50" t="s">
        <v>2848</v>
      </c>
      <c r="T1590" s="56" t="s">
        <v>10099</v>
      </c>
      <c r="U1590" s="53" t="s">
        <v>10100</v>
      </c>
    </row>
    <row r="1591">
      <c r="A1591" s="54" t="s">
        <v>10101</v>
      </c>
      <c r="B1591" s="50" t="s">
        <v>10102</v>
      </c>
      <c r="C1591" s="51" t="s">
        <v>1307</v>
      </c>
      <c r="D1591" s="51"/>
      <c r="E1591" s="51"/>
      <c r="F1591" s="51"/>
      <c r="G1591" s="50" t="s">
        <v>10103</v>
      </c>
      <c r="H1591" s="52">
        <v>44683.319756944446</v>
      </c>
      <c r="I1591" s="50"/>
      <c r="J1591" s="50"/>
      <c r="K1591" s="50"/>
      <c r="L1591" s="50"/>
      <c r="M1591" s="50" t="s">
        <v>10104</v>
      </c>
      <c r="N1591" s="50"/>
      <c r="O1591" s="53" t="s">
        <v>60</v>
      </c>
      <c r="P1591" s="55" t="s">
        <v>10105</v>
      </c>
      <c r="Q1591" s="50">
        <v>2209.0</v>
      </c>
      <c r="R1591" s="50">
        <v>2147.0</v>
      </c>
      <c r="S1591" s="50" t="s">
        <v>5009</v>
      </c>
      <c r="T1591" s="56" t="s">
        <v>10106</v>
      </c>
      <c r="U1591" s="53" t="s">
        <v>1313</v>
      </c>
    </row>
    <row r="1592">
      <c r="A1592" s="54" t="s">
        <v>10107</v>
      </c>
      <c r="B1592" s="50" t="s">
        <v>10108</v>
      </c>
      <c r="C1592" s="51" t="s">
        <v>367</v>
      </c>
      <c r="D1592" s="51"/>
      <c r="E1592" s="51"/>
      <c r="F1592" s="51"/>
      <c r="G1592" s="50" t="s">
        <v>10109</v>
      </c>
      <c r="H1592" s="52">
        <v>44683.31966435185</v>
      </c>
      <c r="I1592" s="50"/>
      <c r="J1592" s="50"/>
      <c r="K1592" s="50"/>
      <c r="L1592" s="50"/>
      <c r="M1592" s="50" t="s">
        <v>10110</v>
      </c>
      <c r="N1592" s="50"/>
      <c r="O1592" s="53" t="s">
        <v>92</v>
      </c>
      <c r="P1592" s="55" t="s">
        <v>354</v>
      </c>
      <c r="Q1592" s="50">
        <v>29.0</v>
      </c>
      <c r="R1592" s="50">
        <v>266.0</v>
      </c>
      <c r="S1592" s="50"/>
      <c r="T1592" s="56" t="s">
        <v>10111</v>
      </c>
      <c r="U1592" s="53" t="s">
        <v>370</v>
      </c>
    </row>
    <row r="1593">
      <c r="A1593" s="54" t="s">
        <v>10112</v>
      </c>
      <c r="B1593" s="50" t="s">
        <v>10113</v>
      </c>
      <c r="C1593" s="51" t="s">
        <v>1307</v>
      </c>
      <c r="D1593" s="51"/>
      <c r="E1593" s="51"/>
      <c r="F1593" s="51"/>
      <c r="G1593" s="50" t="s">
        <v>10114</v>
      </c>
      <c r="H1593" s="52">
        <v>44683.31953703704</v>
      </c>
      <c r="I1593" s="50"/>
      <c r="J1593" s="50"/>
      <c r="K1593" s="50"/>
      <c r="L1593" s="50"/>
      <c r="M1593" s="50" t="s">
        <v>10115</v>
      </c>
      <c r="N1593" s="50"/>
      <c r="O1593" s="53" t="s">
        <v>60</v>
      </c>
      <c r="P1593" s="55" t="s">
        <v>10116</v>
      </c>
      <c r="Q1593" s="50">
        <v>907.0</v>
      </c>
      <c r="R1593" s="50">
        <v>1150.0</v>
      </c>
      <c r="S1593" s="50" t="s">
        <v>10117</v>
      </c>
      <c r="T1593" s="56" t="s">
        <v>10118</v>
      </c>
      <c r="U1593" s="53" t="s">
        <v>1313</v>
      </c>
    </row>
    <row r="1594">
      <c r="A1594" s="54" t="s">
        <v>10119</v>
      </c>
      <c r="B1594" s="50" t="s">
        <v>10120</v>
      </c>
      <c r="C1594" s="51" t="s">
        <v>367</v>
      </c>
      <c r="D1594" s="51"/>
      <c r="E1594" s="51"/>
      <c r="F1594" s="51"/>
      <c r="G1594" s="50" t="s">
        <v>10121</v>
      </c>
      <c r="H1594" s="52">
        <v>44683.319502314815</v>
      </c>
      <c r="I1594" s="50"/>
      <c r="J1594" s="50"/>
      <c r="K1594" s="50"/>
      <c r="L1594" s="50"/>
      <c r="M1594" s="50" t="s">
        <v>10122</v>
      </c>
      <c r="N1594" s="50"/>
      <c r="O1594" s="53" t="s">
        <v>70</v>
      </c>
      <c r="P1594" s="55" t="s">
        <v>354</v>
      </c>
      <c r="Q1594" s="50">
        <v>566.0</v>
      </c>
      <c r="R1594" s="50">
        <v>1542.0</v>
      </c>
      <c r="S1594" s="50"/>
      <c r="T1594" s="56" t="s">
        <v>10123</v>
      </c>
      <c r="U1594" s="53" t="s">
        <v>370</v>
      </c>
    </row>
    <row r="1595">
      <c r="A1595" s="54" t="s">
        <v>10124</v>
      </c>
      <c r="B1595" s="50" t="s">
        <v>10125</v>
      </c>
      <c r="C1595" s="51" t="s">
        <v>367</v>
      </c>
      <c r="D1595" s="51"/>
      <c r="E1595" s="51"/>
      <c r="F1595" s="51"/>
      <c r="G1595" s="50" t="s">
        <v>10126</v>
      </c>
      <c r="H1595" s="52">
        <v>44683.31930555556</v>
      </c>
      <c r="I1595" s="50"/>
      <c r="J1595" s="50"/>
      <c r="K1595" s="50"/>
      <c r="L1595" s="50"/>
      <c r="M1595" s="50" t="s">
        <v>10127</v>
      </c>
      <c r="N1595" s="50"/>
      <c r="O1595" s="53" t="s">
        <v>92</v>
      </c>
      <c r="P1595" s="55" t="s">
        <v>354</v>
      </c>
      <c r="Q1595" s="50">
        <v>2.0</v>
      </c>
      <c r="R1595" s="50">
        <v>65.0</v>
      </c>
      <c r="S1595" s="50"/>
      <c r="T1595" s="56" t="s">
        <v>10128</v>
      </c>
      <c r="U1595" s="53" t="s">
        <v>370</v>
      </c>
    </row>
    <row r="1596">
      <c r="A1596" s="54" t="s">
        <v>10129</v>
      </c>
      <c r="B1596" s="50" t="s">
        <v>10130</v>
      </c>
      <c r="C1596" s="51" t="s">
        <v>367</v>
      </c>
      <c r="D1596" s="51"/>
      <c r="E1596" s="51"/>
      <c r="F1596" s="51"/>
      <c r="G1596" s="50" t="s">
        <v>10131</v>
      </c>
      <c r="H1596" s="52">
        <v>44683.318877314814</v>
      </c>
      <c r="I1596" s="50"/>
      <c r="J1596" s="50"/>
      <c r="K1596" s="50"/>
      <c r="L1596" s="50"/>
      <c r="M1596" s="50" t="s">
        <v>10132</v>
      </c>
      <c r="N1596" s="50"/>
      <c r="O1596" s="53" t="s">
        <v>70</v>
      </c>
      <c r="P1596" s="55" t="s">
        <v>10133</v>
      </c>
      <c r="Q1596" s="50">
        <v>311.0</v>
      </c>
      <c r="R1596" s="50">
        <v>1110.0</v>
      </c>
      <c r="S1596" s="50"/>
      <c r="T1596" s="56" t="s">
        <v>10134</v>
      </c>
      <c r="U1596" s="53" t="s">
        <v>370</v>
      </c>
    </row>
    <row r="1597">
      <c r="A1597" s="54" t="s">
        <v>10135</v>
      </c>
      <c r="B1597" s="50" t="s">
        <v>10136</v>
      </c>
      <c r="C1597" s="51" t="s">
        <v>367</v>
      </c>
      <c r="D1597" s="51"/>
      <c r="E1597" s="51"/>
      <c r="F1597" s="51"/>
      <c r="G1597" s="50" t="s">
        <v>10137</v>
      </c>
      <c r="H1597" s="52">
        <v>44683.3187962963</v>
      </c>
      <c r="I1597" s="50"/>
      <c r="J1597" s="50"/>
      <c r="K1597" s="50"/>
      <c r="L1597" s="50"/>
      <c r="M1597" s="50" t="s">
        <v>10138</v>
      </c>
      <c r="N1597" s="50"/>
      <c r="O1597" s="53" t="s">
        <v>92</v>
      </c>
      <c r="P1597" s="55" t="s">
        <v>10139</v>
      </c>
      <c r="Q1597" s="50">
        <v>5583.0</v>
      </c>
      <c r="R1597" s="50">
        <v>1499.0</v>
      </c>
      <c r="S1597" s="50" t="s">
        <v>10140</v>
      </c>
      <c r="T1597" s="56" t="s">
        <v>10141</v>
      </c>
      <c r="U1597" s="53" t="s">
        <v>370</v>
      </c>
    </row>
    <row r="1598">
      <c r="A1598" s="54" t="s">
        <v>10142</v>
      </c>
      <c r="B1598" s="50" t="s">
        <v>10143</v>
      </c>
      <c r="C1598" s="51" t="s">
        <v>10144</v>
      </c>
      <c r="D1598" s="51"/>
      <c r="E1598" s="51"/>
      <c r="F1598" s="51"/>
      <c r="G1598" s="50" t="s">
        <v>10145</v>
      </c>
      <c r="H1598" s="52">
        <v>44683.31873842592</v>
      </c>
      <c r="I1598" s="50"/>
      <c r="J1598" s="50"/>
      <c r="K1598" s="50" t="s">
        <v>10146</v>
      </c>
      <c r="L1598" s="50" t="s">
        <v>10147</v>
      </c>
      <c r="M1598" s="50" t="s">
        <v>10148</v>
      </c>
      <c r="N1598" s="50" t="s">
        <v>10149</v>
      </c>
      <c r="O1598" s="53" t="s">
        <v>60</v>
      </c>
      <c r="P1598" s="55" t="s">
        <v>10150</v>
      </c>
      <c r="Q1598" s="50">
        <v>517.0</v>
      </c>
      <c r="R1598" s="50">
        <v>1044.0</v>
      </c>
      <c r="S1598" s="50" t="s">
        <v>10151</v>
      </c>
      <c r="T1598" s="56" t="s">
        <v>10152</v>
      </c>
      <c r="U1598" s="53" t="s">
        <v>10153</v>
      </c>
    </row>
    <row r="1599">
      <c r="A1599" s="54" t="s">
        <v>10154</v>
      </c>
      <c r="B1599" s="50" t="s">
        <v>10155</v>
      </c>
      <c r="C1599" s="51" t="s">
        <v>1209</v>
      </c>
      <c r="D1599" s="51"/>
      <c r="E1599" s="51"/>
      <c r="F1599" s="51"/>
      <c r="G1599" s="50" t="s">
        <v>10156</v>
      </c>
      <c r="H1599" s="52">
        <v>44683.318298611106</v>
      </c>
      <c r="I1599" s="50"/>
      <c r="J1599" s="50"/>
      <c r="K1599" s="50"/>
      <c r="L1599" s="50"/>
      <c r="M1599" s="50" t="s">
        <v>10157</v>
      </c>
      <c r="N1599" s="50"/>
      <c r="O1599" s="53" t="s">
        <v>92</v>
      </c>
      <c r="P1599" s="55" t="s">
        <v>10158</v>
      </c>
      <c r="Q1599" s="50">
        <v>957.0</v>
      </c>
      <c r="R1599" s="50">
        <v>546.0</v>
      </c>
      <c r="S1599" s="50"/>
      <c r="T1599" s="56" t="s">
        <v>10159</v>
      </c>
      <c r="U1599" s="53" t="s">
        <v>1214</v>
      </c>
    </row>
    <row r="1600">
      <c r="A1600" s="54" t="s">
        <v>10160</v>
      </c>
      <c r="B1600" s="50" t="s">
        <v>2023</v>
      </c>
      <c r="C1600" s="51" t="s">
        <v>10161</v>
      </c>
      <c r="D1600" s="51"/>
      <c r="E1600" s="51"/>
      <c r="F1600" s="51"/>
      <c r="G1600" s="50" t="s">
        <v>10162</v>
      </c>
      <c r="H1600" s="52">
        <v>44683.31828703704</v>
      </c>
      <c r="I1600" s="50"/>
      <c r="J1600" s="50"/>
      <c r="K1600" s="50"/>
      <c r="L1600" s="50"/>
      <c r="M1600" s="50" t="s">
        <v>2026</v>
      </c>
      <c r="N1600" s="50"/>
      <c r="O1600" s="53" t="s">
        <v>60</v>
      </c>
      <c r="P1600" s="55" t="s">
        <v>2027</v>
      </c>
      <c r="Q1600" s="50">
        <v>76.0</v>
      </c>
      <c r="R1600" s="50"/>
      <c r="S1600" s="50" t="s">
        <v>2028</v>
      </c>
      <c r="T1600" s="56" t="s">
        <v>10163</v>
      </c>
      <c r="U1600" s="53" t="s">
        <v>10164</v>
      </c>
    </row>
    <row r="1601">
      <c r="A1601" s="54" t="s">
        <v>10165</v>
      </c>
      <c r="B1601" s="50" t="s">
        <v>10166</v>
      </c>
      <c r="C1601" s="51" t="s">
        <v>367</v>
      </c>
      <c r="D1601" s="51"/>
      <c r="E1601" s="51"/>
      <c r="F1601" s="51"/>
      <c r="G1601" s="50" t="s">
        <v>10167</v>
      </c>
      <c r="H1601" s="52">
        <v>44683.31826388889</v>
      </c>
      <c r="I1601" s="50"/>
      <c r="J1601" s="50"/>
      <c r="K1601" s="50"/>
      <c r="L1601" s="50"/>
      <c r="M1601" s="50" t="s">
        <v>10168</v>
      </c>
      <c r="N1601" s="50"/>
      <c r="O1601" s="53" t="s">
        <v>70</v>
      </c>
      <c r="P1601" s="55" t="s">
        <v>10169</v>
      </c>
      <c r="Q1601" s="50">
        <v>398.0</v>
      </c>
      <c r="R1601" s="50">
        <v>393.0</v>
      </c>
      <c r="S1601" s="50" t="s">
        <v>129</v>
      </c>
      <c r="T1601" s="56" t="s">
        <v>10170</v>
      </c>
      <c r="U1601" s="53" t="s">
        <v>370</v>
      </c>
    </row>
    <row r="1602">
      <c r="A1602" s="54" t="s">
        <v>10171</v>
      </c>
      <c r="B1602" s="50" t="s">
        <v>10043</v>
      </c>
      <c r="C1602" s="51" t="s">
        <v>5328</v>
      </c>
      <c r="D1602" s="51"/>
      <c r="E1602" s="51"/>
      <c r="F1602" s="51"/>
      <c r="G1602" s="50" t="s">
        <v>10172</v>
      </c>
      <c r="H1602" s="52">
        <v>44683.318240740744</v>
      </c>
      <c r="I1602" s="50"/>
      <c r="J1602" s="50"/>
      <c r="K1602" s="50"/>
      <c r="L1602" s="50"/>
      <c r="M1602" s="50" t="s">
        <v>10046</v>
      </c>
      <c r="N1602" s="50"/>
      <c r="O1602" s="53" t="s">
        <v>217</v>
      </c>
      <c r="P1602" s="55" t="s">
        <v>10047</v>
      </c>
      <c r="Q1602" s="50">
        <v>773.0</v>
      </c>
      <c r="R1602" s="50">
        <v>121.0</v>
      </c>
      <c r="S1602" s="50"/>
      <c r="T1602" s="56" t="s">
        <v>10173</v>
      </c>
      <c r="U1602" s="53" t="s">
        <v>5333</v>
      </c>
    </row>
    <row r="1603">
      <c r="A1603" s="54" t="s">
        <v>10174</v>
      </c>
      <c r="B1603" s="50" t="s">
        <v>10175</v>
      </c>
      <c r="C1603" s="51" t="s">
        <v>10176</v>
      </c>
      <c r="D1603" s="51"/>
      <c r="E1603" s="51"/>
      <c r="F1603" s="51"/>
      <c r="G1603" s="50" t="s">
        <v>10177</v>
      </c>
      <c r="H1603" s="52">
        <v>44683.31810185185</v>
      </c>
      <c r="I1603" s="50"/>
      <c r="J1603" s="50"/>
      <c r="K1603" s="50"/>
      <c r="L1603" s="50"/>
      <c r="M1603" s="50" t="s">
        <v>10178</v>
      </c>
      <c r="N1603" s="50"/>
      <c r="O1603" s="53" t="s">
        <v>92</v>
      </c>
      <c r="P1603" s="55" t="s">
        <v>10179</v>
      </c>
      <c r="Q1603" s="50">
        <v>1895.0</v>
      </c>
      <c r="R1603" s="50">
        <v>2422.0</v>
      </c>
      <c r="S1603" s="50"/>
      <c r="T1603" s="56" t="s">
        <v>10180</v>
      </c>
      <c r="U1603" s="53" t="s">
        <v>10181</v>
      </c>
    </row>
    <row r="1604">
      <c r="A1604" s="54" t="s">
        <v>10182</v>
      </c>
      <c r="B1604" s="50" t="s">
        <v>5327</v>
      </c>
      <c r="C1604" s="51" t="s">
        <v>687</v>
      </c>
      <c r="D1604" s="51"/>
      <c r="E1604" s="51"/>
      <c r="F1604" s="51"/>
      <c r="G1604" s="50" t="s">
        <v>10183</v>
      </c>
      <c r="H1604" s="52">
        <v>44683.31800925926</v>
      </c>
      <c r="I1604" s="50"/>
      <c r="J1604" s="50"/>
      <c r="K1604" s="50"/>
      <c r="L1604" s="50"/>
      <c r="M1604" s="50" t="s">
        <v>5330</v>
      </c>
      <c r="N1604" s="50"/>
      <c r="O1604" s="53" t="s">
        <v>70</v>
      </c>
      <c r="P1604" s="55" t="s">
        <v>5331</v>
      </c>
      <c r="Q1604" s="50">
        <v>4623.0</v>
      </c>
      <c r="R1604" s="50">
        <v>5069.0</v>
      </c>
      <c r="S1604" s="50" t="s">
        <v>129</v>
      </c>
      <c r="T1604" s="56" t="s">
        <v>10184</v>
      </c>
      <c r="U1604" s="53" t="s">
        <v>691</v>
      </c>
    </row>
    <row r="1605">
      <c r="A1605" s="54" t="s">
        <v>10185</v>
      </c>
      <c r="B1605" s="50" t="s">
        <v>10186</v>
      </c>
      <c r="C1605" s="51" t="s">
        <v>10187</v>
      </c>
      <c r="D1605" s="51"/>
      <c r="E1605" s="51"/>
      <c r="F1605" s="51"/>
      <c r="G1605" s="50" t="s">
        <v>10188</v>
      </c>
      <c r="H1605" s="52">
        <v>44683.3178587963</v>
      </c>
      <c r="I1605" s="50"/>
      <c r="J1605" s="50"/>
      <c r="K1605" s="50"/>
      <c r="L1605" s="50"/>
      <c r="M1605" s="50" t="s">
        <v>10189</v>
      </c>
      <c r="N1605" s="50"/>
      <c r="O1605" s="53" t="s">
        <v>217</v>
      </c>
      <c r="P1605" s="55" t="s">
        <v>10190</v>
      </c>
      <c r="Q1605" s="50">
        <v>1535.0</v>
      </c>
      <c r="R1605" s="50">
        <v>1545.0</v>
      </c>
      <c r="S1605" s="50" t="s">
        <v>129</v>
      </c>
      <c r="T1605" s="56" t="s">
        <v>10191</v>
      </c>
      <c r="U1605" s="53" t="s">
        <v>10192</v>
      </c>
    </row>
    <row r="1606">
      <c r="A1606" s="54" t="s">
        <v>10193</v>
      </c>
      <c r="B1606" s="50" t="s">
        <v>10155</v>
      </c>
      <c r="C1606" s="51" t="s">
        <v>316</v>
      </c>
      <c r="D1606" s="51"/>
      <c r="E1606" s="51"/>
      <c r="F1606" s="51"/>
      <c r="G1606" s="50" t="s">
        <v>10194</v>
      </c>
      <c r="H1606" s="52">
        <v>44683.317824074074</v>
      </c>
      <c r="I1606" s="50"/>
      <c r="J1606" s="50"/>
      <c r="K1606" s="50"/>
      <c r="L1606" s="50"/>
      <c r="M1606" s="50" t="s">
        <v>10157</v>
      </c>
      <c r="N1606" s="50"/>
      <c r="O1606" s="53" t="s">
        <v>92</v>
      </c>
      <c r="P1606" s="55" t="s">
        <v>10158</v>
      </c>
      <c r="Q1606" s="50">
        <v>957.0</v>
      </c>
      <c r="R1606" s="50">
        <v>546.0</v>
      </c>
      <c r="S1606" s="50"/>
      <c r="T1606" s="56" t="s">
        <v>10195</v>
      </c>
      <c r="U1606" s="53" t="s">
        <v>322</v>
      </c>
    </row>
    <row r="1607">
      <c r="A1607" s="54" t="s">
        <v>10196</v>
      </c>
      <c r="B1607" s="50" t="s">
        <v>10155</v>
      </c>
      <c r="C1607" s="51" t="s">
        <v>329</v>
      </c>
      <c r="D1607" s="51"/>
      <c r="E1607" s="51"/>
      <c r="F1607" s="51"/>
      <c r="G1607" s="50" t="s">
        <v>10197</v>
      </c>
      <c r="H1607" s="52">
        <v>44683.317766203705</v>
      </c>
      <c r="I1607" s="50"/>
      <c r="J1607" s="50"/>
      <c r="K1607" s="50"/>
      <c r="L1607" s="50"/>
      <c r="M1607" s="50" t="s">
        <v>10157</v>
      </c>
      <c r="N1607" s="50"/>
      <c r="O1607" s="53" t="s">
        <v>92</v>
      </c>
      <c r="P1607" s="55" t="s">
        <v>10158</v>
      </c>
      <c r="Q1607" s="50">
        <v>957.0</v>
      </c>
      <c r="R1607" s="50">
        <v>546.0</v>
      </c>
      <c r="S1607" s="50"/>
      <c r="T1607" s="56" t="s">
        <v>10198</v>
      </c>
      <c r="U1607" s="53" t="s">
        <v>332</v>
      </c>
    </row>
    <row r="1608">
      <c r="A1608" s="54" t="s">
        <v>10199</v>
      </c>
      <c r="B1608" s="50" t="s">
        <v>10155</v>
      </c>
      <c r="C1608" s="51" t="s">
        <v>335</v>
      </c>
      <c r="D1608" s="51"/>
      <c r="E1608" s="51"/>
      <c r="F1608" s="51"/>
      <c r="G1608" s="50" t="s">
        <v>10200</v>
      </c>
      <c r="H1608" s="52">
        <v>44683.317662037036</v>
      </c>
      <c r="I1608" s="50"/>
      <c r="J1608" s="50"/>
      <c r="K1608" s="50"/>
      <c r="L1608" s="50"/>
      <c r="M1608" s="50" t="s">
        <v>10157</v>
      </c>
      <c r="N1608" s="50"/>
      <c r="O1608" s="53" t="s">
        <v>92</v>
      </c>
      <c r="P1608" s="55" t="s">
        <v>10158</v>
      </c>
      <c r="Q1608" s="50">
        <v>957.0</v>
      </c>
      <c r="R1608" s="50">
        <v>546.0</v>
      </c>
      <c r="S1608" s="50"/>
      <c r="T1608" s="56" t="s">
        <v>10201</v>
      </c>
      <c r="U1608" s="53" t="s">
        <v>339</v>
      </c>
    </row>
    <row r="1609">
      <c r="A1609" s="54" t="s">
        <v>10202</v>
      </c>
      <c r="B1609" s="50" t="s">
        <v>10203</v>
      </c>
      <c r="C1609" s="51" t="s">
        <v>2630</v>
      </c>
      <c r="D1609" s="51"/>
      <c r="E1609" s="51"/>
      <c r="F1609" s="51"/>
      <c r="G1609" s="50" t="s">
        <v>10204</v>
      </c>
      <c r="H1609" s="52">
        <v>44683.31763888889</v>
      </c>
      <c r="I1609" s="50"/>
      <c r="J1609" s="50"/>
      <c r="K1609" s="50"/>
      <c r="L1609" s="50"/>
      <c r="M1609" s="50" t="s">
        <v>10205</v>
      </c>
      <c r="N1609" s="50"/>
      <c r="O1609" s="53" t="s">
        <v>92</v>
      </c>
      <c r="P1609" s="55" t="s">
        <v>10206</v>
      </c>
      <c r="Q1609" s="50">
        <v>713.0</v>
      </c>
      <c r="R1609" s="50">
        <v>42.0</v>
      </c>
      <c r="S1609" s="50" t="s">
        <v>1153</v>
      </c>
      <c r="T1609" s="56" t="s">
        <v>10207</v>
      </c>
      <c r="U1609" s="53" t="s">
        <v>691</v>
      </c>
    </row>
    <row r="1610">
      <c r="A1610" s="54" t="s">
        <v>10208</v>
      </c>
      <c r="B1610" s="50" t="s">
        <v>10209</v>
      </c>
      <c r="C1610" s="51" t="s">
        <v>6828</v>
      </c>
      <c r="D1610" s="51"/>
      <c r="E1610" s="51"/>
      <c r="F1610" s="51"/>
      <c r="G1610" s="50" t="s">
        <v>10210</v>
      </c>
      <c r="H1610" s="52">
        <v>44683.31753472222</v>
      </c>
      <c r="I1610" s="50"/>
      <c r="J1610" s="50"/>
      <c r="K1610" s="50"/>
      <c r="L1610" s="50"/>
      <c r="M1610" s="50" t="s">
        <v>10211</v>
      </c>
      <c r="N1610" s="50"/>
      <c r="O1610" s="53" t="s">
        <v>70</v>
      </c>
      <c r="P1610" s="55" t="s">
        <v>354</v>
      </c>
      <c r="Q1610" s="50">
        <v>358.0</v>
      </c>
      <c r="R1610" s="50">
        <v>199.0</v>
      </c>
      <c r="S1610" s="50" t="s">
        <v>10212</v>
      </c>
      <c r="T1610" s="56" t="s">
        <v>10213</v>
      </c>
      <c r="U1610" s="53" t="s">
        <v>6833</v>
      </c>
    </row>
    <row r="1611">
      <c r="A1611" s="54" t="s">
        <v>10214</v>
      </c>
      <c r="B1611" s="50" t="s">
        <v>10215</v>
      </c>
      <c r="C1611" s="51" t="s">
        <v>367</v>
      </c>
      <c r="D1611" s="51"/>
      <c r="E1611" s="51"/>
      <c r="F1611" s="51"/>
      <c r="G1611" s="50" t="s">
        <v>10210</v>
      </c>
      <c r="H1611" s="52">
        <v>44683.31753472222</v>
      </c>
      <c r="I1611" s="50"/>
      <c r="J1611" s="50"/>
      <c r="K1611" s="50"/>
      <c r="L1611" s="50"/>
      <c r="M1611" s="50" t="s">
        <v>10216</v>
      </c>
      <c r="N1611" s="50"/>
      <c r="O1611" s="53" t="s">
        <v>70</v>
      </c>
      <c r="P1611" s="55" t="s">
        <v>10217</v>
      </c>
      <c r="Q1611" s="50">
        <v>257.0</v>
      </c>
      <c r="R1611" s="50">
        <v>186.0</v>
      </c>
      <c r="S1611" s="50" t="s">
        <v>2343</v>
      </c>
      <c r="T1611" s="56" t="s">
        <v>10218</v>
      </c>
      <c r="U1611" s="53" t="s">
        <v>370</v>
      </c>
    </row>
    <row r="1612">
      <c r="A1612" s="54" t="s">
        <v>10219</v>
      </c>
      <c r="B1612" s="50" t="s">
        <v>10155</v>
      </c>
      <c r="C1612" s="51" t="s">
        <v>363</v>
      </c>
      <c r="D1612" s="51"/>
      <c r="E1612" s="51"/>
      <c r="F1612" s="51"/>
      <c r="G1612" s="50" t="s">
        <v>10220</v>
      </c>
      <c r="H1612" s="52">
        <v>44683.31746527778</v>
      </c>
      <c r="I1612" s="50"/>
      <c r="J1612" s="50"/>
      <c r="K1612" s="50"/>
      <c r="L1612" s="50"/>
      <c r="M1612" s="50" t="s">
        <v>10157</v>
      </c>
      <c r="N1612" s="50"/>
      <c r="O1612" s="53" t="s">
        <v>92</v>
      </c>
      <c r="P1612" s="55" t="s">
        <v>10158</v>
      </c>
      <c r="Q1612" s="50">
        <v>957.0</v>
      </c>
      <c r="R1612" s="50">
        <v>546.0</v>
      </c>
      <c r="S1612" s="50"/>
      <c r="T1612" s="56" t="s">
        <v>10221</v>
      </c>
      <c r="U1612" s="53" t="s">
        <v>332</v>
      </c>
    </row>
    <row r="1613">
      <c r="A1613" s="54" t="s">
        <v>10222</v>
      </c>
      <c r="B1613" s="50" t="s">
        <v>10223</v>
      </c>
      <c r="C1613" s="51" t="s">
        <v>367</v>
      </c>
      <c r="D1613" s="51"/>
      <c r="E1613" s="51"/>
      <c r="F1613" s="51"/>
      <c r="G1613" s="50" t="s">
        <v>10224</v>
      </c>
      <c r="H1613" s="52">
        <v>44683.317453703705</v>
      </c>
      <c r="I1613" s="50"/>
      <c r="J1613" s="50"/>
      <c r="K1613" s="50"/>
      <c r="L1613" s="50"/>
      <c r="M1613" s="50" t="s">
        <v>10225</v>
      </c>
      <c r="N1613" s="50"/>
      <c r="O1613" s="53" t="s">
        <v>217</v>
      </c>
      <c r="P1613" s="55" t="s">
        <v>10226</v>
      </c>
      <c r="Q1613" s="50">
        <v>74.0</v>
      </c>
      <c r="R1613" s="50">
        <v>208.0</v>
      </c>
      <c r="S1613" s="50"/>
      <c r="T1613" s="56" t="s">
        <v>10227</v>
      </c>
      <c r="U1613" s="53" t="s">
        <v>370</v>
      </c>
    </row>
    <row r="1614">
      <c r="A1614" s="54" t="s">
        <v>10228</v>
      </c>
      <c r="B1614" s="50" t="s">
        <v>10229</v>
      </c>
      <c r="C1614" s="51" t="s">
        <v>687</v>
      </c>
      <c r="D1614" s="51"/>
      <c r="E1614" s="51"/>
      <c r="F1614" s="51"/>
      <c r="G1614" s="50" t="s">
        <v>10230</v>
      </c>
      <c r="H1614" s="52">
        <v>44683.317395833335</v>
      </c>
      <c r="I1614" s="50"/>
      <c r="J1614" s="50"/>
      <c r="K1614" s="50"/>
      <c r="L1614" s="50"/>
      <c r="M1614" s="50" t="s">
        <v>10231</v>
      </c>
      <c r="N1614" s="50"/>
      <c r="O1614" s="53" t="s">
        <v>217</v>
      </c>
      <c r="P1614" s="55" t="s">
        <v>10232</v>
      </c>
      <c r="Q1614" s="50">
        <v>3056.0</v>
      </c>
      <c r="R1614" s="50">
        <v>4989.0</v>
      </c>
      <c r="S1614" s="50"/>
      <c r="T1614" s="56" t="s">
        <v>10233</v>
      </c>
      <c r="U1614" s="53" t="s">
        <v>691</v>
      </c>
    </row>
    <row r="1615">
      <c r="A1615" s="54" t="s">
        <v>10234</v>
      </c>
      <c r="B1615" s="50" t="s">
        <v>10235</v>
      </c>
      <c r="C1615" s="51" t="s">
        <v>10236</v>
      </c>
      <c r="D1615" s="51"/>
      <c r="E1615" s="51"/>
      <c r="F1615" s="51"/>
      <c r="G1615" s="50" t="s">
        <v>10237</v>
      </c>
      <c r="H1615" s="52">
        <v>44683.31733796296</v>
      </c>
      <c r="I1615" s="50"/>
      <c r="J1615" s="50"/>
      <c r="K1615" s="50" t="s">
        <v>10189</v>
      </c>
      <c r="L1615" s="50" t="s">
        <v>10186</v>
      </c>
      <c r="M1615" s="50" t="s">
        <v>10238</v>
      </c>
      <c r="N1615" s="50" t="s">
        <v>10239</v>
      </c>
      <c r="O1615" s="53" t="s">
        <v>70</v>
      </c>
      <c r="P1615" s="55" t="s">
        <v>10240</v>
      </c>
      <c r="Q1615" s="50">
        <v>6235.0</v>
      </c>
      <c r="R1615" s="50">
        <v>4194.0</v>
      </c>
      <c r="S1615" s="50" t="s">
        <v>1901</v>
      </c>
      <c r="T1615" s="56" t="s">
        <v>10241</v>
      </c>
      <c r="U1615" s="53" t="s">
        <v>10242</v>
      </c>
    </row>
    <row r="1616">
      <c r="A1616" s="54" t="s">
        <v>10243</v>
      </c>
      <c r="B1616" s="50" t="s">
        <v>10155</v>
      </c>
      <c r="C1616" s="51" t="s">
        <v>367</v>
      </c>
      <c r="D1616" s="51"/>
      <c r="E1616" s="51"/>
      <c r="F1616" s="51"/>
      <c r="G1616" s="50" t="s">
        <v>10244</v>
      </c>
      <c r="H1616" s="52">
        <v>44683.31732638889</v>
      </c>
      <c r="I1616" s="50"/>
      <c r="J1616" s="50"/>
      <c r="K1616" s="50"/>
      <c r="L1616" s="50"/>
      <c r="M1616" s="50" t="s">
        <v>10157</v>
      </c>
      <c r="N1616" s="50"/>
      <c r="O1616" s="53" t="s">
        <v>92</v>
      </c>
      <c r="P1616" s="55" t="s">
        <v>10158</v>
      </c>
      <c r="Q1616" s="50">
        <v>957.0</v>
      </c>
      <c r="R1616" s="50">
        <v>546.0</v>
      </c>
      <c r="S1616" s="50"/>
      <c r="T1616" s="56" t="s">
        <v>10245</v>
      </c>
      <c r="U1616" s="53" t="s">
        <v>370</v>
      </c>
    </row>
    <row r="1617">
      <c r="A1617" s="54" t="s">
        <v>10246</v>
      </c>
      <c r="B1617" s="50" t="s">
        <v>10247</v>
      </c>
      <c r="C1617" s="51" t="s">
        <v>367</v>
      </c>
      <c r="D1617" s="51"/>
      <c r="E1617" s="51"/>
      <c r="F1617" s="51"/>
      <c r="G1617" s="50" t="s">
        <v>10248</v>
      </c>
      <c r="H1617" s="52">
        <v>44683.3172337963</v>
      </c>
      <c r="I1617" s="50"/>
      <c r="J1617" s="50"/>
      <c r="K1617" s="50"/>
      <c r="L1617" s="50"/>
      <c r="M1617" s="50" t="s">
        <v>10249</v>
      </c>
      <c r="N1617" s="50"/>
      <c r="O1617" s="53" t="s">
        <v>70</v>
      </c>
      <c r="P1617" s="55" t="s">
        <v>10250</v>
      </c>
      <c r="Q1617" s="50">
        <v>106.0</v>
      </c>
      <c r="R1617" s="50">
        <v>550.0</v>
      </c>
      <c r="S1617" s="50" t="s">
        <v>3751</v>
      </c>
      <c r="T1617" s="56" t="s">
        <v>10251</v>
      </c>
      <c r="U1617" s="53" t="s">
        <v>370</v>
      </c>
    </row>
    <row r="1618">
      <c r="A1618" s="54" t="s">
        <v>10252</v>
      </c>
      <c r="B1618" s="50" t="s">
        <v>10253</v>
      </c>
      <c r="C1618" s="51" t="s">
        <v>367</v>
      </c>
      <c r="D1618" s="51"/>
      <c r="E1618" s="51"/>
      <c r="F1618" s="51"/>
      <c r="G1618" s="50" t="s">
        <v>10254</v>
      </c>
      <c r="H1618" s="52">
        <v>44683.317141203705</v>
      </c>
      <c r="I1618" s="50"/>
      <c r="J1618" s="50"/>
      <c r="K1618" s="50"/>
      <c r="L1618" s="50"/>
      <c r="M1618" s="50" t="s">
        <v>10255</v>
      </c>
      <c r="N1618" s="50"/>
      <c r="O1618" s="53" t="s">
        <v>70</v>
      </c>
      <c r="P1618" s="55" t="s">
        <v>10256</v>
      </c>
      <c r="Q1618" s="50">
        <v>253.0</v>
      </c>
      <c r="R1618" s="50">
        <v>433.0</v>
      </c>
      <c r="S1618" s="50" t="s">
        <v>246</v>
      </c>
      <c r="T1618" s="56" t="s">
        <v>10257</v>
      </c>
      <c r="U1618" s="53" t="s">
        <v>370</v>
      </c>
    </row>
    <row r="1619">
      <c r="A1619" s="54" t="s">
        <v>10258</v>
      </c>
      <c r="B1619" s="50" t="s">
        <v>10259</v>
      </c>
      <c r="C1619" s="51" t="s">
        <v>367</v>
      </c>
      <c r="D1619" s="51"/>
      <c r="E1619" s="51"/>
      <c r="F1619" s="51"/>
      <c r="G1619" s="50" t="s">
        <v>10260</v>
      </c>
      <c r="H1619" s="52">
        <v>44683.317129629635</v>
      </c>
      <c r="I1619" s="50"/>
      <c r="J1619" s="50"/>
      <c r="K1619" s="50"/>
      <c r="L1619" s="50"/>
      <c r="M1619" s="50" t="s">
        <v>10261</v>
      </c>
      <c r="N1619" s="50"/>
      <c r="O1619" s="53" t="s">
        <v>70</v>
      </c>
      <c r="P1619" s="55" t="s">
        <v>10262</v>
      </c>
      <c r="Q1619" s="50">
        <v>1054.0</v>
      </c>
      <c r="R1619" s="50">
        <v>2527.0</v>
      </c>
      <c r="S1619" s="50" t="s">
        <v>10263</v>
      </c>
      <c r="T1619" s="56" t="s">
        <v>10264</v>
      </c>
      <c r="U1619" s="53" t="s">
        <v>370</v>
      </c>
    </row>
    <row r="1620">
      <c r="A1620" s="54" t="s">
        <v>10265</v>
      </c>
      <c r="B1620" s="50" t="s">
        <v>10266</v>
      </c>
      <c r="C1620" s="51" t="s">
        <v>367</v>
      </c>
      <c r="D1620" s="51"/>
      <c r="E1620" s="51"/>
      <c r="F1620" s="51"/>
      <c r="G1620" s="50" t="s">
        <v>10267</v>
      </c>
      <c r="H1620" s="52">
        <v>44683.316979166666</v>
      </c>
      <c r="I1620" s="50"/>
      <c r="J1620" s="50"/>
      <c r="K1620" s="50"/>
      <c r="L1620" s="50"/>
      <c r="M1620" s="50" t="s">
        <v>10268</v>
      </c>
      <c r="N1620" s="50"/>
      <c r="O1620" s="53" t="s">
        <v>92</v>
      </c>
      <c r="P1620" s="55" t="s">
        <v>354</v>
      </c>
      <c r="Q1620" s="50">
        <v>76.0</v>
      </c>
      <c r="R1620" s="50">
        <v>1685.0</v>
      </c>
      <c r="S1620" s="50" t="s">
        <v>10269</v>
      </c>
      <c r="T1620" s="56" t="s">
        <v>10270</v>
      </c>
      <c r="U1620" s="53" t="s">
        <v>370</v>
      </c>
    </row>
    <row r="1621">
      <c r="A1621" s="54" t="s">
        <v>10271</v>
      </c>
      <c r="B1621" s="50" t="s">
        <v>10203</v>
      </c>
      <c r="C1621" s="51" t="s">
        <v>9487</v>
      </c>
      <c r="D1621" s="51"/>
      <c r="E1621" s="51"/>
      <c r="F1621" s="51"/>
      <c r="G1621" s="50" t="s">
        <v>10272</v>
      </c>
      <c r="H1621" s="52">
        <v>44683.31672453704</v>
      </c>
      <c r="I1621" s="50"/>
      <c r="J1621" s="50"/>
      <c r="K1621" s="50"/>
      <c r="L1621" s="50"/>
      <c r="M1621" s="50" t="s">
        <v>10205</v>
      </c>
      <c r="N1621" s="50"/>
      <c r="O1621" s="53" t="s">
        <v>92</v>
      </c>
      <c r="P1621" s="55" t="s">
        <v>10206</v>
      </c>
      <c r="Q1621" s="50">
        <v>713.0</v>
      </c>
      <c r="R1621" s="50">
        <v>42.0</v>
      </c>
      <c r="S1621" s="50" t="s">
        <v>1153</v>
      </c>
      <c r="T1621" s="56" t="s">
        <v>10273</v>
      </c>
      <c r="U1621" s="53" t="s">
        <v>691</v>
      </c>
    </row>
    <row r="1622">
      <c r="A1622" s="54" t="s">
        <v>10274</v>
      </c>
      <c r="B1622" s="50" t="s">
        <v>10275</v>
      </c>
      <c r="C1622" s="51" t="s">
        <v>1307</v>
      </c>
      <c r="D1622" s="51"/>
      <c r="E1622" s="51"/>
      <c r="F1622" s="51"/>
      <c r="G1622" s="50" t="s">
        <v>10276</v>
      </c>
      <c r="H1622" s="52">
        <v>44683.31671296296</v>
      </c>
      <c r="I1622" s="50"/>
      <c r="J1622" s="50"/>
      <c r="K1622" s="50"/>
      <c r="L1622" s="50"/>
      <c r="M1622" s="50" t="s">
        <v>10277</v>
      </c>
      <c r="N1622" s="50"/>
      <c r="O1622" s="53" t="s">
        <v>92</v>
      </c>
      <c r="P1622" s="55" t="s">
        <v>10278</v>
      </c>
      <c r="Q1622" s="50">
        <v>88.0</v>
      </c>
      <c r="R1622" s="50">
        <v>128.0</v>
      </c>
      <c r="S1622" s="50"/>
      <c r="T1622" s="56" t="s">
        <v>10279</v>
      </c>
      <c r="U1622" s="53" t="s">
        <v>1313</v>
      </c>
    </row>
    <row r="1623">
      <c r="A1623" s="54" t="s">
        <v>10280</v>
      </c>
      <c r="B1623" s="50" t="s">
        <v>10043</v>
      </c>
      <c r="C1623" s="51" t="s">
        <v>10281</v>
      </c>
      <c r="D1623" s="51"/>
      <c r="E1623" s="51"/>
      <c r="F1623" s="51"/>
      <c r="G1623" s="50" t="s">
        <v>10282</v>
      </c>
      <c r="H1623" s="52">
        <v>44683.316655092596</v>
      </c>
      <c r="I1623" s="50"/>
      <c r="J1623" s="50"/>
      <c r="K1623" s="50"/>
      <c r="L1623" s="50"/>
      <c r="M1623" s="50" t="s">
        <v>10046</v>
      </c>
      <c r="N1623" s="50"/>
      <c r="O1623" s="53" t="s">
        <v>217</v>
      </c>
      <c r="P1623" s="55" t="s">
        <v>10047</v>
      </c>
      <c r="Q1623" s="50">
        <v>773.0</v>
      </c>
      <c r="R1623" s="50">
        <v>121.0</v>
      </c>
      <c r="S1623" s="50"/>
      <c r="T1623" s="56" t="s">
        <v>10283</v>
      </c>
      <c r="U1623" s="53" t="s">
        <v>10284</v>
      </c>
    </row>
    <row r="1624">
      <c r="A1624" s="54" t="s">
        <v>10285</v>
      </c>
      <c r="B1624" s="50" t="s">
        <v>10286</v>
      </c>
      <c r="C1624" s="51" t="s">
        <v>469</v>
      </c>
      <c r="D1624" s="51"/>
      <c r="E1624" s="51"/>
      <c r="F1624" s="51"/>
      <c r="G1624" s="50" t="s">
        <v>10287</v>
      </c>
      <c r="H1624" s="52">
        <v>44683.31648148148</v>
      </c>
      <c r="I1624" s="50"/>
      <c r="J1624" s="50"/>
      <c r="K1624" s="50"/>
      <c r="L1624" s="50"/>
      <c r="M1624" s="50" t="s">
        <v>10288</v>
      </c>
      <c r="N1624" s="50"/>
      <c r="O1624" s="53" t="s">
        <v>70</v>
      </c>
      <c r="P1624" s="55" t="s">
        <v>10289</v>
      </c>
      <c r="Q1624" s="50">
        <v>4185.0</v>
      </c>
      <c r="R1624" s="50">
        <v>4991.0</v>
      </c>
      <c r="S1624" s="50"/>
      <c r="T1624" s="56" t="s">
        <v>10290</v>
      </c>
      <c r="U1624" s="53" t="s">
        <v>475</v>
      </c>
    </row>
    <row r="1625">
      <c r="A1625" s="54" t="s">
        <v>10291</v>
      </c>
      <c r="B1625" s="50" t="s">
        <v>10292</v>
      </c>
      <c r="C1625" s="51" t="s">
        <v>367</v>
      </c>
      <c r="D1625" s="51"/>
      <c r="E1625" s="51"/>
      <c r="F1625" s="51"/>
      <c r="G1625" s="50" t="s">
        <v>10293</v>
      </c>
      <c r="H1625" s="52">
        <v>44683.31628472223</v>
      </c>
      <c r="I1625" s="50"/>
      <c r="J1625" s="50"/>
      <c r="K1625" s="50"/>
      <c r="L1625" s="50"/>
      <c r="M1625" s="50" t="s">
        <v>10294</v>
      </c>
      <c r="N1625" s="50"/>
      <c r="O1625" s="53" t="s">
        <v>92</v>
      </c>
      <c r="P1625" s="55" t="s">
        <v>10295</v>
      </c>
      <c r="Q1625" s="50">
        <v>587.0</v>
      </c>
      <c r="R1625" s="50">
        <v>2671.0</v>
      </c>
      <c r="S1625" s="50" t="s">
        <v>10296</v>
      </c>
      <c r="T1625" s="56" t="s">
        <v>10297</v>
      </c>
      <c r="U1625" s="53" t="s">
        <v>370</v>
      </c>
    </row>
    <row r="1626">
      <c r="A1626" s="54" t="s">
        <v>10298</v>
      </c>
      <c r="B1626" s="50" t="s">
        <v>10299</v>
      </c>
      <c r="C1626" s="51" t="s">
        <v>367</v>
      </c>
      <c r="D1626" s="51"/>
      <c r="E1626" s="51"/>
      <c r="F1626" s="51"/>
      <c r="G1626" s="50" t="s">
        <v>10300</v>
      </c>
      <c r="H1626" s="52">
        <v>44683.31623842593</v>
      </c>
      <c r="I1626" s="50"/>
      <c r="J1626" s="50"/>
      <c r="K1626" s="50"/>
      <c r="L1626" s="50"/>
      <c r="M1626" s="50" t="s">
        <v>10301</v>
      </c>
      <c r="N1626" s="50"/>
      <c r="O1626" s="53" t="s">
        <v>70</v>
      </c>
      <c r="P1626" s="55" t="s">
        <v>10302</v>
      </c>
      <c r="Q1626" s="50">
        <v>6.0</v>
      </c>
      <c r="R1626" s="50">
        <v>111.0</v>
      </c>
      <c r="S1626" s="50"/>
      <c r="T1626" s="56" t="s">
        <v>10303</v>
      </c>
      <c r="U1626" s="53" t="s">
        <v>370</v>
      </c>
    </row>
    <row r="1627">
      <c r="A1627" s="54" t="s">
        <v>10304</v>
      </c>
      <c r="B1627" s="50" t="s">
        <v>10305</v>
      </c>
      <c r="C1627" s="51" t="s">
        <v>367</v>
      </c>
      <c r="D1627" s="51"/>
      <c r="E1627" s="51"/>
      <c r="F1627" s="51"/>
      <c r="G1627" s="50" t="s">
        <v>10306</v>
      </c>
      <c r="H1627" s="52">
        <v>44683.31621527778</v>
      </c>
      <c r="I1627" s="50"/>
      <c r="J1627" s="50"/>
      <c r="K1627" s="50"/>
      <c r="L1627" s="50"/>
      <c r="M1627" s="50" t="s">
        <v>10307</v>
      </c>
      <c r="N1627" s="50"/>
      <c r="O1627" s="53" t="s">
        <v>70</v>
      </c>
      <c r="P1627" s="55" t="s">
        <v>10308</v>
      </c>
      <c r="Q1627" s="50">
        <v>4535.0</v>
      </c>
      <c r="R1627" s="50">
        <v>4702.0</v>
      </c>
      <c r="S1627" s="50" t="s">
        <v>10309</v>
      </c>
      <c r="T1627" s="56" t="s">
        <v>10310</v>
      </c>
      <c r="U1627" s="53" t="s">
        <v>370</v>
      </c>
    </row>
    <row r="1628">
      <c r="A1628" s="54" t="s">
        <v>10311</v>
      </c>
      <c r="B1628" s="50" t="s">
        <v>10312</v>
      </c>
      <c r="C1628" s="51" t="s">
        <v>316</v>
      </c>
      <c r="D1628" s="51"/>
      <c r="E1628" s="51"/>
      <c r="F1628" s="51"/>
      <c r="G1628" s="50" t="s">
        <v>10313</v>
      </c>
      <c r="H1628" s="52">
        <v>44683.31618055556</v>
      </c>
      <c r="I1628" s="50"/>
      <c r="J1628" s="50"/>
      <c r="K1628" s="50"/>
      <c r="L1628" s="50"/>
      <c r="M1628" s="50" t="s">
        <v>10314</v>
      </c>
      <c r="N1628" s="50"/>
      <c r="O1628" s="53" t="s">
        <v>92</v>
      </c>
      <c r="P1628" s="55" t="s">
        <v>10315</v>
      </c>
      <c r="Q1628" s="50">
        <v>3071.0</v>
      </c>
      <c r="R1628" s="50">
        <v>4999.0</v>
      </c>
      <c r="S1628" s="50" t="s">
        <v>10316</v>
      </c>
      <c r="T1628" s="56" t="s">
        <v>10317</v>
      </c>
      <c r="U1628" s="53" t="s">
        <v>322</v>
      </c>
    </row>
    <row r="1629">
      <c r="A1629" s="54" t="s">
        <v>10318</v>
      </c>
      <c r="B1629" s="50" t="s">
        <v>10319</v>
      </c>
      <c r="C1629" s="51" t="s">
        <v>367</v>
      </c>
      <c r="D1629" s="51"/>
      <c r="E1629" s="51"/>
      <c r="F1629" s="51"/>
      <c r="G1629" s="50" t="s">
        <v>10320</v>
      </c>
      <c r="H1629" s="52">
        <v>44683.316145833334</v>
      </c>
      <c r="I1629" s="50"/>
      <c r="J1629" s="50"/>
      <c r="K1629" s="50"/>
      <c r="L1629" s="50"/>
      <c r="M1629" s="50" t="s">
        <v>10321</v>
      </c>
      <c r="N1629" s="50"/>
      <c r="O1629" s="53" t="s">
        <v>217</v>
      </c>
      <c r="P1629" s="55" t="s">
        <v>10322</v>
      </c>
      <c r="Q1629" s="50">
        <v>3191.0</v>
      </c>
      <c r="R1629" s="50">
        <v>4144.0</v>
      </c>
      <c r="S1629" s="50" t="s">
        <v>10323</v>
      </c>
      <c r="T1629" s="56" t="s">
        <v>10324</v>
      </c>
      <c r="U1629" s="53" t="s">
        <v>370</v>
      </c>
    </row>
    <row r="1630">
      <c r="A1630" s="54" t="s">
        <v>10325</v>
      </c>
      <c r="B1630" s="50" t="s">
        <v>10326</v>
      </c>
      <c r="C1630" s="51" t="s">
        <v>687</v>
      </c>
      <c r="D1630" s="51"/>
      <c r="E1630" s="51"/>
      <c r="F1630" s="51"/>
      <c r="G1630" s="50" t="s">
        <v>10327</v>
      </c>
      <c r="H1630" s="52">
        <v>44683.31599537037</v>
      </c>
      <c r="I1630" s="50"/>
      <c r="J1630" s="50"/>
      <c r="K1630" s="50"/>
      <c r="L1630" s="50"/>
      <c r="M1630" s="50" t="s">
        <v>10328</v>
      </c>
      <c r="N1630" s="50"/>
      <c r="O1630" s="53" t="s">
        <v>70</v>
      </c>
      <c r="P1630" s="55" t="s">
        <v>10329</v>
      </c>
      <c r="Q1630" s="50">
        <v>2482.0</v>
      </c>
      <c r="R1630" s="50">
        <v>4378.0</v>
      </c>
      <c r="S1630" s="50" t="s">
        <v>129</v>
      </c>
      <c r="T1630" s="56" t="s">
        <v>10330</v>
      </c>
      <c r="U1630" s="53" t="s">
        <v>691</v>
      </c>
    </row>
    <row r="1631">
      <c r="A1631" s="54" t="s">
        <v>10331</v>
      </c>
      <c r="B1631" s="50" t="s">
        <v>10332</v>
      </c>
      <c r="C1631" s="51" t="s">
        <v>5847</v>
      </c>
      <c r="D1631" s="51"/>
      <c r="E1631" s="51"/>
      <c r="F1631" s="51"/>
      <c r="G1631" s="50" t="s">
        <v>10333</v>
      </c>
      <c r="H1631" s="52">
        <v>44683.315787037034</v>
      </c>
      <c r="I1631" s="50"/>
      <c r="J1631" s="50"/>
      <c r="K1631" s="50"/>
      <c r="L1631" s="50"/>
      <c r="M1631" s="50" t="s">
        <v>10334</v>
      </c>
      <c r="N1631" s="50"/>
      <c r="O1631" s="53" t="s">
        <v>217</v>
      </c>
      <c r="P1631" s="55" t="s">
        <v>10335</v>
      </c>
      <c r="Q1631" s="50">
        <v>1529.0</v>
      </c>
      <c r="R1631" s="50">
        <v>1993.0</v>
      </c>
      <c r="S1631" s="50"/>
      <c r="T1631" s="56" t="s">
        <v>10336</v>
      </c>
      <c r="U1631" s="53" t="s">
        <v>5853</v>
      </c>
    </row>
    <row r="1632">
      <c r="A1632" s="54" t="s">
        <v>10337</v>
      </c>
      <c r="B1632" s="50" t="s">
        <v>10338</v>
      </c>
      <c r="C1632" s="51" t="s">
        <v>335</v>
      </c>
      <c r="D1632" s="51"/>
      <c r="E1632" s="51"/>
      <c r="F1632" s="51"/>
      <c r="G1632" s="50" t="s">
        <v>10339</v>
      </c>
      <c r="H1632" s="52">
        <v>44683.31571759259</v>
      </c>
      <c r="I1632" s="50"/>
      <c r="J1632" s="50"/>
      <c r="K1632" s="50"/>
      <c r="L1632" s="50"/>
      <c r="M1632" s="50" t="s">
        <v>10340</v>
      </c>
      <c r="N1632" s="50"/>
      <c r="O1632" s="53" t="s">
        <v>60</v>
      </c>
      <c r="P1632" s="55" t="s">
        <v>10341</v>
      </c>
      <c r="Q1632" s="50">
        <v>213.0</v>
      </c>
      <c r="R1632" s="50">
        <v>752.0</v>
      </c>
      <c r="S1632" s="50"/>
      <c r="T1632" s="56" t="s">
        <v>10342</v>
      </c>
      <c r="U1632" s="53" t="s">
        <v>339</v>
      </c>
    </row>
    <row r="1633">
      <c r="A1633" s="54" t="s">
        <v>10343</v>
      </c>
      <c r="B1633" s="50" t="s">
        <v>10344</v>
      </c>
      <c r="C1633" s="51" t="s">
        <v>316</v>
      </c>
      <c r="D1633" s="51"/>
      <c r="E1633" s="51"/>
      <c r="F1633" s="51"/>
      <c r="G1633" s="50" t="s">
        <v>10345</v>
      </c>
      <c r="H1633" s="52">
        <v>44683.31570601852</v>
      </c>
      <c r="I1633" s="50"/>
      <c r="J1633" s="50"/>
      <c r="K1633" s="50"/>
      <c r="L1633" s="50"/>
      <c r="M1633" s="50" t="s">
        <v>10346</v>
      </c>
      <c r="N1633" s="50"/>
      <c r="O1633" s="53" t="s">
        <v>92</v>
      </c>
      <c r="P1633" s="55" t="s">
        <v>10347</v>
      </c>
      <c r="Q1633" s="50">
        <v>3683.0</v>
      </c>
      <c r="R1633" s="50">
        <v>5001.0</v>
      </c>
      <c r="S1633" s="50" t="s">
        <v>1064</v>
      </c>
      <c r="T1633" s="56" t="s">
        <v>10348</v>
      </c>
      <c r="U1633" s="53" t="s">
        <v>322</v>
      </c>
    </row>
    <row r="1634">
      <c r="A1634" s="54" t="s">
        <v>10349</v>
      </c>
      <c r="B1634" s="50" t="s">
        <v>2559</v>
      </c>
      <c r="C1634" s="51" t="s">
        <v>10350</v>
      </c>
      <c r="D1634" s="51"/>
      <c r="E1634" s="51"/>
      <c r="F1634" s="51"/>
      <c r="G1634" s="50" t="s">
        <v>10345</v>
      </c>
      <c r="H1634" s="52">
        <v>44683.31570601852</v>
      </c>
      <c r="I1634" s="50"/>
      <c r="J1634" s="50"/>
      <c r="K1634" s="50" t="s">
        <v>5402</v>
      </c>
      <c r="L1634" s="50" t="s">
        <v>5403</v>
      </c>
      <c r="M1634" s="50" t="s">
        <v>2564</v>
      </c>
      <c r="N1634" s="50" t="s">
        <v>7488</v>
      </c>
      <c r="O1634" s="53" t="s">
        <v>92</v>
      </c>
      <c r="P1634" s="55" t="s">
        <v>2566</v>
      </c>
      <c r="Q1634" s="50">
        <v>1217.0</v>
      </c>
      <c r="R1634" s="50">
        <v>1914.0</v>
      </c>
      <c r="S1634" s="50" t="s">
        <v>246</v>
      </c>
      <c r="T1634" s="56" t="s">
        <v>10351</v>
      </c>
      <c r="U1634" s="53" t="s">
        <v>10352</v>
      </c>
    </row>
    <row r="1635">
      <c r="A1635" s="54" t="s">
        <v>10353</v>
      </c>
      <c r="B1635" s="50" t="s">
        <v>10354</v>
      </c>
      <c r="C1635" s="51" t="s">
        <v>367</v>
      </c>
      <c r="D1635" s="51"/>
      <c r="E1635" s="51"/>
      <c r="F1635" s="51"/>
      <c r="G1635" s="50" t="s">
        <v>10355</v>
      </c>
      <c r="H1635" s="52">
        <v>44683.31545138889</v>
      </c>
      <c r="I1635" s="50"/>
      <c r="J1635" s="50"/>
      <c r="K1635" s="50"/>
      <c r="L1635" s="50"/>
      <c r="M1635" s="50" t="s">
        <v>10356</v>
      </c>
      <c r="N1635" s="50"/>
      <c r="O1635" s="53" t="s">
        <v>92</v>
      </c>
      <c r="P1635" s="55" t="s">
        <v>10357</v>
      </c>
      <c r="Q1635" s="50">
        <v>491.0</v>
      </c>
      <c r="R1635" s="50">
        <v>1412.0</v>
      </c>
      <c r="S1635" s="50" t="s">
        <v>10358</v>
      </c>
      <c r="T1635" s="56" t="s">
        <v>10359</v>
      </c>
      <c r="U1635" s="53" t="s">
        <v>370</v>
      </c>
    </row>
    <row r="1636">
      <c r="A1636" s="54" t="s">
        <v>10360</v>
      </c>
      <c r="B1636" s="50" t="s">
        <v>10361</v>
      </c>
      <c r="C1636" s="51" t="s">
        <v>1307</v>
      </c>
      <c r="D1636" s="51"/>
      <c r="E1636" s="51"/>
      <c r="F1636" s="51"/>
      <c r="G1636" s="50" t="s">
        <v>10355</v>
      </c>
      <c r="H1636" s="52">
        <v>44683.31545138889</v>
      </c>
      <c r="I1636" s="50"/>
      <c r="J1636" s="50"/>
      <c r="K1636" s="50"/>
      <c r="L1636" s="50"/>
      <c r="M1636" s="50" t="s">
        <v>10362</v>
      </c>
      <c r="N1636" s="50"/>
      <c r="O1636" s="53" t="s">
        <v>60</v>
      </c>
      <c r="P1636" s="55" t="s">
        <v>10363</v>
      </c>
      <c r="Q1636" s="50">
        <v>15514.0</v>
      </c>
      <c r="R1636" s="50">
        <v>17051.0</v>
      </c>
      <c r="S1636" s="50" t="s">
        <v>10364</v>
      </c>
      <c r="T1636" s="56" t="s">
        <v>10365</v>
      </c>
      <c r="U1636" s="53" t="s">
        <v>1313</v>
      </c>
    </row>
    <row r="1637">
      <c r="A1637" s="54" t="s">
        <v>10366</v>
      </c>
      <c r="B1637" s="50" t="s">
        <v>10367</v>
      </c>
      <c r="C1637" s="51" t="s">
        <v>1307</v>
      </c>
      <c r="D1637" s="51"/>
      <c r="E1637" s="51"/>
      <c r="F1637" s="51"/>
      <c r="G1637" s="50" t="s">
        <v>10368</v>
      </c>
      <c r="H1637" s="52">
        <v>44683.315416666665</v>
      </c>
      <c r="I1637" s="50"/>
      <c r="J1637" s="50"/>
      <c r="K1637" s="50"/>
      <c r="L1637" s="50"/>
      <c r="M1637" s="50" t="s">
        <v>10369</v>
      </c>
      <c r="N1637" s="50"/>
      <c r="O1637" s="53" t="s">
        <v>70</v>
      </c>
      <c r="P1637" s="55" t="s">
        <v>10370</v>
      </c>
      <c r="Q1637" s="50">
        <v>153.0</v>
      </c>
      <c r="R1637" s="50">
        <v>255.0</v>
      </c>
      <c r="S1637" s="50"/>
      <c r="T1637" s="56" t="s">
        <v>10371</v>
      </c>
      <c r="U1637" s="53" t="s">
        <v>1313</v>
      </c>
    </row>
    <row r="1638">
      <c r="A1638" s="54" t="s">
        <v>10372</v>
      </c>
      <c r="B1638" s="50" t="s">
        <v>10373</v>
      </c>
      <c r="C1638" s="51" t="s">
        <v>2973</v>
      </c>
      <c r="D1638" s="51"/>
      <c r="E1638" s="51"/>
      <c r="F1638" s="51"/>
      <c r="G1638" s="50" t="s">
        <v>10374</v>
      </c>
      <c r="H1638" s="52">
        <v>44683.315405092595</v>
      </c>
      <c r="I1638" s="50"/>
      <c r="J1638" s="50"/>
      <c r="K1638" s="50"/>
      <c r="L1638" s="50"/>
      <c r="M1638" s="50" t="s">
        <v>10375</v>
      </c>
      <c r="N1638" s="50"/>
      <c r="O1638" s="53" t="s">
        <v>70</v>
      </c>
      <c r="P1638" s="55" t="s">
        <v>10376</v>
      </c>
      <c r="Q1638" s="50">
        <v>902.0</v>
      </c>
      <c r="R1638" s="50">
        <v>1742.0</v>
      </c>
      <c r="S1638" s="50" t="s">
        <v>10377</v>
      </c>
      <c r="T1638" s="56" t="s">
        <v>10378</v>
      </c>
      <c r="U1638" s="53" t="s">
        <v>2978</v>
      </c>
    </row>
    <row r="1639">
      <c r="A1639" s="54" t="s">
        <v>10379</v>
      </c>
      <c r="B1639" s="50" t="s">
        <v>10380</v>
      </c>
      <c r="C1639" s="51" t="s">
        <v>367</v>
      </c>
      <c r="D1639" s="51"/>
      <c r="E1639" s="51"/>
      <c r="F1639" s="51"/>
      <c r="G1639" s="50" t="s">
        <v>10381</v>
      </c>
      <c r="H1639" s="52">
        <v>44683.31539351852</v>
      </c>
      <c r="I1639" s="50"/>
      <c r="J1639" s="50"/>
      <c r="K1639" s="50"/>
      <c r="L1639" s="50"/>
      <c r="M1639" s="50" t="s">
        <v>10382</v>
      </c>
      <c r="N1639" s="50"/>
      <c r="O1639" s="53" t="s">
        <v>70</v>
      </c>
      <c r="P1639" s="55" t="s">
        <v>10383</v>
      </c>
      <c r="Q1639" s="50">
        <v>213.0</v>
      </c>
      <c r="R1639" s="50">
        <v>172.0</v>
      </c>
      <c r="S1639" s="50" t="s">
        <v>658</v>
      </c>
      <c r="T1639" s="56" t="s">
        <v>10384</v>
      </c>
      <c r="U1639" s="53" t="s">
        <v>370</v>
      </c>
    </row>
    <row r="1640">
      <c r="A1640" s="54" t="s">
        <v>10385</v>
      </c>
      <c r="B1640" s="50" t="s">
        <v>10386</v>
      </c>
      <c r="C1640" s="51" t="s">
        <v>10387</v>
      </c>
      <c r="D1640" s="51"/>
      <c r="E1640" s="51"/>
      <c r="F1640" s="51"/>
      <c r="G1640" s="50" t="s">
        <v>10388</v>
      </c>
      <c r="H1640" s="52">
        <v>44683.315300925926</v>
      </c>
      <c r="I1640" s="50"/>
      <c r="J1640" s="50"/>
      <c r="K1640" s="50"/>
      <c r="L1640" s="50"/>
      <c r="M1640" s="50" t="s">
        <v>10389</v>
      </c>
      <c r="N1640" s="50"/>
      <c r="O1640" s="53" t="s">
        <v>60</v>
      </c>
      <c r="P1640" s="55" t="s">
        <v>10390</v>
      </c>
      <c r="Q1640" s="50">
        <v>7747.0</v>
      </c>
      <c r="R1640" s="50">
        <v>9048.0</v>
      </c>
      <c r="S1640" s="50" t="s">
        <v>10391</v>
      </c>
      <c r="T1640" s="56" t="s">
        <v>10392</v>
      </c>
      <c r="U1640" s="53" t="s">
        <v>10393</v>
      </c>
    </row>
    <row r="1641">
      <c r="A1641" s="54" t="s">
        <v>10394</v>
      </c>
      <c r="B1641" s="50" t="s">
        <v>10395</v>
      </c>
      <c r="C1641" s="51" t="s">
        <v>10396</v>
      </c>
      <c r="D1641" s="51"/>
      <c r="E1641" s="51"/>
      <c r="F1641" s="51"/>
      <c r="G1641" s="50" t="s">
        <v>10397</v>
      </c>
      <c r="H1641" s="52">
        <v>44683.31525462963</v>
      </c>
      <c r="I1641" s="50"/>
      <c r="J1641" s="50"/>
      <c r="K1641" s="50"/>
      <c r="L1641" s="50"/>
      <c r="M1641" s="50" t="s">
        <v>10398</v>
      </c>
      <c r="N1641" s="50"/>
      <c r="O1641" s="53" t="s">
        <v>217</v>
      </c>
      <c r="P1641" s="55" t="s">
        <v>10399</v>
      </c>
      <c r="Q1641" s="50">
        <v>1045.0</v>
      </c>
      <c r="R1641" s="50">
        <v>828.0</v>
      </c>
      <c r="S1641" s="50" t="s">
        <v>10400</v>
      </c>
      <c r="T1641" s="56" t="s">
        <v>10401</v>
      </c>
      <c r="U1641" s="53" t="s">
        <v>10402</v>
      </c>
    </row>
    <row r="1642">
      <c r="A1642" s="54" t="s">
        <v>10403</v>
      </c>
      <c r="B1642" s="50" t="s">
        <v>10064</v>
      </c>
      <c r="C1642" s="51" t="s">
        <v>10404</v>
      </c>
      <c r="D1642" s="51"/>
      <c r="E1642" s="51"/>
      <c r="F1642" s="51"/>
      <c r="G1642" s="50" t="s">
        <v>10405</v>
      </c>
      <c r="H1642" s="52">
        <v>44683.31517361111</v>
      </c>
      <c r="I1642" s="50"/>
      <c r="J1642" s="50"/>
      <c r="K1642" s="50" t="s">
        <v>10406</v>
      </c>
      <c r="L1642" s="50" t="s">
        <v>10407</v>
      </c>
      <c r="M1642" s="50" t="s">
        <v>10066</v>
      </c>
      <c r="N1642" s="50" t="s">
        <v>10408</v>
      </c>
      <c r="O1642" s="53" t="s">
        <v>217</v>
      </c>
      <c r="P1642" s="55" t="s">
        <v>10067</v>
      </c>
      <c r="Q1642" s="50">
        <v>2717.0</v>
      </c>
      <c r="R1642" s="50">
        <v>4982.0</v>
      </c>
      <c r="S1642" s="50" t="s">
        <v>4349</v>
      </c>
      <c r="T1642" s="56" t="s">
        <v>10409</v>
      </c>
      <c r="U1642" s="53" t="s">
        <v>10410</v>
      </c>
    </row>
    <row r="1643">
      <c r="A1643" s="54" t="s">
        <v>10411</v>
      </c>
      <c r="B1643" s="50" t="s">
        <v>10412</v>
      </c>
      <c r="C1643" s="51" t="s">
        <v>8049</v>
      </c>
      <c r="D1643" s="51"/>
      <c r="E1643" s="51"/>
      <c r="F1643" s="51"/>
      <c r="G1643" s="50" t="s">
        <v>10413</v>
      </c>
      <c r="H1643" s="52">
        <v>44683.31505787037</v>
      </c>
      <c r="I1643" s="50"/>
      <c r="J1643" s="50"/>
      <c r="K1643" s="50"/>
      <c r="L1643" s="50"/>
      <c r="M1643" s="50" t="s">
        <v>10414</v>
      </c>
      <c r="N1643" s="50"/>
      <c r="O1643" s="53" t="s">
        <v>70</v>
      </c>
      <c r="P1643" s="55" t="s">
        <v>10415</v>
      </c>
      <c r="Q1643" s="50">
        <v>3795.0</v>
      </c>
      <c r="R1643" s="50">
        <v>3996.0</v>
      </c>
      <c r="S1643" s="50" t="s">
        <v>8512</v>
      </c>
      <c r="T1643" s="56" t="s">
        <v>10416</v>
      </c>
      <c r="U1643" s="53" t="s">
        <v>8054</v>
      </c>
    </row>
    <row r="1644">
      <c r="A1644" s="54" t="s">
        <v>10417</v>
      </c>
      <c r="B1644" s="50" t="s">
        <v>10418</v>
      </c>
      <c r="C1644" s="51" t="s">
        <v>316</v>
      </c>
      <c r="D1644" s="51"/>
      <c r="E1644" s="51"/>
      <c r="F1644" s="51"/>
      <c r="G1644" s="50" t="s">
        <v>10419</v>
      </c>
      <c r="H1644" s="52">
        <v>44683.315</v>
      </c>
      <c r="I1644" s="50"/>
      <c r="J1644" s="50"/>
      <c r="K1644" s="50"/>
      <c r="L1644" s="50"/>
      <c r="M1644" s="50" t="s">
        <v>10420</v>
      </c>
      <c r="N1644" s="50"/>
      <c r="O1644" s="53" t="s">
        <v>92</v>
      </c>
      <c r="P1644" s="55" t="s">
        <v>10421</v>
      </c>
      <c r="Q1644" s="50">
        <v>1453.0</v>
      </c>
      <c r="R1644" s="50">
        <v>2664.0</v>
      </c>
      <c r="S1644" s="50" t="s">
        <v>10422</v>
      </c>
      <c r="T1644" s="56" t="s">
        <v>10423</v>
      </c>
      <c r="U1644" s="53" t="s">
        <v>322</v>
      </c>
    </row>
    <row r="1645">
      <c r="A1645" s="54" t="s">
        <v>10424</v>
      </c>
      <c r="B1645" s="50" t="s">
        <v>10425</v>
      </c>
      <c r="C1645" s="51" t="s">
        <v>367</v>
      </c>
      <c r="D1645" s="51"/>
      <c r="E1645" s="51"/>
      <c r="F1645" s="51"/>
      <c r="G1645" s="50" t="s">
        <v>10419</v>
      </c>
      <c r="H1645" s="52">
        <v>44683.315</v>
      </c>
      <c r="I1645" s="50"/>
      <c r="J1645" s="50"/>
      <c r="K1645" s="50"/>
      <c r="L1645" s="50"/>
      <c r="M1645" s="50" t="s">
        <v>10426</v>
      </c>
      <c r="N1645" s="50"/>
      <c r="O1645" s="53" t="s">
        <v>70</v>
      </c>
      <c r="P1645" s="55" t="s">
        <v>10427</v>
      </c>
      <c r="Q1645" s="50">
        <v>4453.0</v>
      </c>
      <c r="R1645" s="50">
        <v>5001.0</v>
      </c>
      <c r="S1645" s="50" t="s">
        <v>10428</v>
      </c>
      <c r="T1645" s="56" t="s">
        <v>10429</v>
      </c>
      <c r="U1645" s="53" t="s">
        <v>370</v>
      </c>
    </row>
    <row r="1646">
      <c r="A1646" s="54" t="s">
        <v>10430</v>
      </c>
      <c r="B1646" s="50" t="s">
        <v>10431</v>
      </c>
      <c r="C1646" s="51" t="s">
        <v>7142</v>
      </c>
      <c r="D1646" s="51"/>
      <c r="E1646" s="51"/>
      <c r="F1646" s="51"/>
      <c r="G1646" s="50" t="s">
        <v>10432</v>
      </c>
      <c r="H1646" s="52">
        <v>44683.3149537037</v>
      </c>
      <c r="I1646" s="50"/>
      <c r="J1646" s="50"/>
      <c r="K1646" s="50"/>
      <c r="L1646" s="50"/>
      <c r="M1646" s="50" t="s">
        <v>10433</v>
      </c>
      <c r="N1646" s="50"/>
      <c r="O1646" s="53" t="s">
        <v>70</v>
      </c>
      <c r="P1646" s="55" t="s">
        <v>10434</v>
      </c>
      <c r="Q1646" s="50">
        <v>202.0</v>
      </c>
      <c r="R1646" s="50">
        <v>290.0</v>
      </c>
      <c r="S1646" s="50"/>
      <c r="T1646" s="56" t="s">
        <v>10435</v>
      </c>
      <c r="U1646" s="53" t="s">
        <v>7148</v>
      </c>
    </row>
    <row r="1647">
      <c r="A1647" s="54" t="s">
        <v>10436</v>
      </c>
      <c r="B1647" s="50" t="s">
        <v>1113</v>
      </c>
      <c r="C1647" s="51" t="s">
        <v>4949</v>
      </c>
      <c r="D1647" s="51"/>
      <c r="E1647" s="51"/>
      <c r="F1647" s="51"/>
      <c r="G1647" s="50" t="s">
        <v>10437</v>
      </c>
      <c r="H1647" s="52">
        <v>44683.314942129626</v>
      </c>
      <c r="I1647" s="50"/>
      <c r="J1647" s="50"/>
      <c r="K1647" s="50"/>
      <c r="L1647" s="50"/>
      <c r="M1647" s="50" t="s">
        <v>1118</v>
      </c>
      <c r="N1647" s="50"/>
      <c r="O1647" s="53" t="s">
        <v>70</v>
      </c>
      <c r="P1647" s="55" t="s">
        <v>1120</v>
      </c>
      <c r="Q1647" s="50">
        <v>6620.0</v>
      </c>
      <c r="R1647" s="50">
        <v>7214.0</v>
      </c>
      <c r="S1647" s="50" t="s">
        <v>1121</v>
      </c>
      <c r="T1647" s="56" t="s">
        <v>10438</v>
      </c>
      <c r="U1647" s="53" t="s">
        <v>4955</v>
      </c>
    </row>
    <row r="1648">
      <c r="A1648" s="54" t="s">
        <v>10439</v>
      </c>
      <c r="B1648" s="50" t="s">
        <v>10440</v>
      </c>
      <c r="C1648" s="51" t="s">
        <v>10441</v>
      </c>
      <c r="D1648" s="51"/>
      <c r="E1648" s="51"/>
      <c r="F1648" s="51"/>
      <c r="G1648" s="50" t="s">
        <v>10442</v>
      </c>
      <c r="H1648" s="52">
        <v>44683.3149074074</v>
      </c>
      <c r="I1648" s="50"/>
      <c r="J1648" s="50"/>
      <c r="K1648" s="50"/>
      <c r="L1648" s="50"/>
      <c r="M1648" s="50" t="s">
        <v>10443</v>
      </c>
      <c r="N1648" s="50"/>
      <c r="O1648" s="53" t="s">
        <v>70</v>
      </c>
      <c r="P1648" s="55" t="s">
        <v>10444</v>
      </c>
      <c r="Q1648" s="50">
        <v>1143.0</v>
      </c>
      <c r="R1648" s="50">
        <v>1371.0</v>
      </c>
      <c r="S1648" s="50"/>
      <c r="T1648" s="56" t="s">
        <v>10445</v>
      </c>
      <c r="U1648" s="53" t="s">
        <v>10446</v>
      </c>
    </row>
    <row r="1649">
      <c r="A1649" s="54" t="s">
        <v>10447</v>
      </c>
      <c r="B1649" s="50" t="s">
        <v>10448</v>
      </c>
      <c r="C1649" s="51" t="s">
        <v>367</v>
      </c>
      <c r="D1649" s="51"/>
      <c r="E1649" s="51"/>
      <c r="F1649" s="51"/>
      <c r="G1649" s="50" t="s">
        <v>10449</v>
      </c>
      <c r="H1649" s="52">
        <v>44683.31488425926</v>
      </c>
      <c r="I1649" s="50"/>
      <c r="J1649" s="50"/>
      <c r="K1649" s="50"/>
      <c r="L1649" s="50"/>
      <c r="M1649" s="50" t="s">
        <v>10450</v>
      </c>
      <c r="N1649" s="50"/>
      <c r="O1649" s="53" t="s">
        <v>60</v>
      </c>
      <c r="P1649" s="55" t="s">
        <v>10451</v>
      </c>
      <c r="Q1649" s="50">
        <v>48.0</v>
      </c>
      <c r="R1649" s="50">
        <v>124.0</v>
      </c>
      <c r="S1649" s="50" t="s">
        <v>10452</v>
      </c>
      <c r="T1649" s="56" t="s">
        <v>10453</v>
      </c>
      <c r="U1649" s="53" t="s">
        <v>370</v>
      </c>
    </row>
    <row r="1650">
      <c r="A1650" s="54" t="s">
        <v>10454</v>
      </c>
      <c r="B1650" s="50" t="s">
        <v>10455</v>
      </c>
      <c r="C1650" s="51" t="s">
        <v>7142</v>
      </c>
      <c r="D1650" s="51"/>
      <c r="E1650" s="51"/>
      <c r="F1650" s="51"/>
      <c r="G1650" s="50" t="s">
        <v>10449</v>
      </c>
      <c r="H1650" s="52">
        <v>44683.31488425926</v>
      </c>
      <c r="I1650" s="50"/>
      <c r="J1650" s="50"/>
      <c r="K1650" s="50"/>
      <c r="L1650" s="50"/>
      <c r="M1650" s="50" t="s">
        <v>10456</v>
      </c>
      <c r="N1650" s="50"/>
      <c r="O1650" s="53" t="s">
        <v>70</v>
      </c>
      <c r="P1650" s="55" t="s">
        <v>354</v>
      </c>
      <c r="Q1650" s="50">
        <v>178.0</v>
      </c>
      <c r="R1650" s="50">
        <v>390.0</v>
      </c>
      <c r="S1650" s="50"/>
      <c r="T1650" s="56" t="s">
        <v>10457</v>
      </c>
      <c r="U1650" s="53" t="s">
        <v>7148</v>
      </c>
    </row>
    <row r="1651">
      <c r="A1651" s="54" t="s">
        <v>10458</v>
      </c>
      <c r="B1651" s="50" t="s">
        <v>10459</v>
      </c>
      <c r="C1651" s="51" t="s">
        <v>1307</v>
      </c>
      <c r="D1651" s="51"/>
      <c r="E1651" s="51"/>
      <c r="F1651" s="51"/>
      <c r="G1651" s="50" t="s">
        <v>10460</v>
      </c>
      <c r="H1651" s="52">
        <v>44683.314571759256</v>
      </c>
      <c r="I1651" s="50"/>
      <c r="J1651" s="50"/>
      <c r="K1651" s="50"/>
      <c r="L1651" s="50"/>
      <c r="M1651" s="50" t="s">
        <v>10461</v>
      </c>
      <c r="N1651" s="50"/>
      <c r="O1651" s="53" t="s">
        <v>70</v>
      </c>
      <c r="P1651" s="55" t="s">
        <v>10462</v>
      </c>
      <c r="Q1651" s="50">
        <v>6425.0</v>
      </c>
      <c r="R1651" s="50">
        <v>7040.0</v>
      </c>
      <c r="S1651" s="50" t="s">
        <v>10463</v>
      </c>
      <c r="T1651" s="56" t="s">
        <v>10464</v>
      </c>
      <c r="U1651" s="53" t="s">
        <v>1313</v>
      </c>
    </row>
    <row r="1652">
      <c r="A1652" s="54" t="s">
        <v>10465</v>
      </c>
      <c r="B1652" s="50" t="s">
        <v>10466</v>
      </c>
      <c r="C1652" s="51" t="s">
        <v>316</v>
      </c>
      <c r="D1652" s="51"/>
      <c r="E1652" s="51"/>
      <c r="F1652" s="51"/>
      <c r="G1652" s="50" t="s">
        <v>10467</v>
      </c>
      <c r="H1652" s="52">
        <v>44683.31421296296</v>
      </c>
      <c r="I1652" s="50"/>
      <c r="J1652" s="50"/>
      <c r="K1652" s="50"/>
      <c r="L1652" s="50"/>
      <c r="M1652" s="50" t="s">
        <v>10468</v>
      </c>
      <c r="N1652" s="50"/>
      <c r="O1652" s="53" t="s">
        <v>70</v>
      </c>
      <c r="P1652" s="55" t="s">
        <v>10469</v>
      </c>
      <c r="Q1652" s="50">
        <v>2587.0</v>
      </c>
      <c r="R1652" s="50">
        <v>3328.0</v>
      </c>
      <c r="S1652" s="50" t="s">
        <v>10470</v>
      </c>
      <c r="T1652" s="56" t="s">
        <v>10471</v>
      </c>
      <c r="U1652" s="53" t="s">
        <v>322</v>
      </c>
    </row>
    <row r="1653">
      <c r="A1653" s="54" t="s">
        <v>10472</v>
      </c>
      <c r="B1653" s="50" t="s">
        <v>10473</v>
      </c>
      <c r="C1653" s="51" t="s">
        <v>363</v>
      </c>
      <c r="D1653" s="51"/>
      <c r="E1653" s="51"/>
      <c r="F1653" s="51"/>
      <c r="G1653" s="50" t="s">
        <v>10474</v>
      </c>
      <c r="H1653" s="52">
        <v>44683.31416666666</v>
      </c>
      <c r="I1653" s="50"/>
      <c r="J1653" s="50"/>
      <c r="K1653" s="50"/>
      <c r="L1653" s="50"/>
      <c r="M1653" s="50" t="s">
        <v>10475</v>
      </c>
      <c r="N1653" s="50"/>
      <c r="O1653" s="53" t="s">
        <v>92</v>
      </c>
      <c r="P1653" s="55" t="s">
        <v>354</v>
      </c>
      <c r="Q1653" s="50">
        <v>222.0</v>
      </c>
      <c r="R1653" s="50">
        <v>352.0</v>
      </c>
      <c r="S1653" s="50"/>
      <c r="T1653" s="56" t="s">
        <v>10476</v>
      </c>
      <c r="U1653" s="53" t="s">
        <v>332</v>
      </c>
    </row>
    <row r="1654">
      <c r="A1654" s="54" t="s">
        <v>10477</v>
      </c>
      <c r="B1654" s="50" t="s">
        <v>10478</v>
      </c>
      <c r="C1654" s="51" t="s">
        <v>10479</v>
      </c>
      <c r="D1654" s="51"/>
      <c r="E1654" s="51"/>
      <c r="F1654" s="51"/>
      <c r="G1654" s="50" t="s">
        <v>10480</v>
      </c>
      <c r="H1654" s="52">
        <v>44683.31395833333</v>
      </c>
      <c r="I1654" s="50"/>
      <c r="J1654" s="50"/>
      <c r="K1654" s="50"/>
      <c r="L1654" s="50"/>
      <c r="M1654" s="50" t="s">
        <v>10481</v>
      </c>
      <c r="N1654" s="50"/>
      <c r="O1654" s="53" t="s">
        <v>70</v>
      </c>
      <c r="P1654" s="55" t="s">
        <v>10482</v>
      </c>
      <c r="Q1654" s="50">
        <v>4762.0</v>
      </c>
      <c r="R1654" s="50">
        <v>3727.0</v>
      </c>
      <c r="S1654" s="50"/>
      <c r="T1654" s="56" t="s">
        <v>10483</v>
      </c>
      <c r="U1654" s="53" t="s">
        <v>10484</v>
      </c>
    </row>
    <row r="1655">
      <c r="A1655" s="54" t="s">
        <v>10485</v>
      </c>
      <c r="B1655" s="50" t="s">
        <v>1427</v>
      </c>
      <c r="C1655" s="51" t="s">
        <v>1307</v>
      </c>
      <c r="D1655" s="51"/>
      <c r="E1655" s="51"/>
      <c r="F1655" s="51"/>
      <c r="G1655" s="50" t="s">
        <v>10486</v>
      </c>
      <c r="H1655" s="52">
        <v>44683.31388888889</v>
      </c>
      <c r="I1655" s="50"/>
      <c r="J1655" s="50"/>
      <c r="K1655" s="50"/>
      <c r="L1655" s="50"/>
      <c r="M1655" s="50" t="s">
        <v>1429</v>
      </c>
      <c r="N1655" s="50"/>
      <c r="O1655" s="53" t="s">
        <v>60</v>
      </c>
      <c r="P1655" s="55" t="s">
        <v>1430</v>
      </c>
      <c r="Q1655" s="50">
        <v>2103.0</v>
      </c>
      <c r="R1655" s="50">
        <v>2263.0</v>
      </c>
      <c r="S1655" s="50" t="s">
        <v>1311</v>
      </c>
      <c r="T1655" s="56" t="s">
        <v>10487</v>
      </c>
      <c r="U1655" s="53" t="s">
        <v>1313</v>
      </c>
    </row>
    <row r="1656">
      <c r="A1656" s="54" t="s">
        <v>10488</v>
      </c>
      <c r="B1656" s="50" t="s">
        <v>10489</v>
      </c>
      <c r="C1656" s="51" t="s">
        <v>5847</v>
      </c>
      <c r="D1656" s="51"/>
      <c r="E1656" s="51"/>
      <c r="F1656" s="51"/>
      <c r="G1656" s="50" t="s">
        <v>10490</v>
      </c>
      <c r="H1656" s="52">
        <v>44683.3134837963</v>
      </c>
      <c r="I1656" s="50"/>
      <c r="J1656" s="50"/>
      <c r="K1656" s="50"/>
      <c r="L1656" s="50"/>
      <c r="M1656" s="50" t="s">
        <v>10491</v>
      </c>
      <c r="N1656" s="50"/>
      <c r="O1656" s="53" t="s">
        <v>60</v>
      </c>
      <c r="P1656" s="55" t="s">
        <v>10492</v>
      </c>
      <c r="Q1656" s="50">
        <v>493.0</v>
      </c>
      <c r="R1656" s="50">
        <v>365.0</v>
      </c>
      <c r="S1656" s="50"/>
      <c r="T1656" s="56" t="s">
        <v>10493</v>
      </c>
      <c r="U1656" s="53" t="s">
        <v>5853</v>
      </c>
    </row>
    <row r="1657">
      <c r="A1657" s="54" t="s">
        <v>10494</v>
      </c>
      <c r="B1657" s="50" t="s">
        <v>10495</v>
      </c>
      <c r="C1657" s="51" t="s">
        <v>335</v>
      </c>
      <c r="D1657" s="51"/>
      <c r="E1657" s="51"/>
      <c r="F1657" s="51"/>
      <c r="G1657" s="50" t="s">
        <v>10496</v>
      </c>
      <c r="H1657" s="52">
        <v>44683.31324074074</v>
      </c>
      <c r="I1657" s="50"/>
      <c r="J1657" s="50"/>
      <c r="K1657" s="50"/>
      <c r="L1657" s="50"/>
      <c r="M1657" s="50" t="s">
        <v>10497</v>
      </c>
      <c r="N1657" s="50"/>
      <c r="O1657" s="53" t="s">
        <v>70</v>
      </c>
      <c r="P1657" s="55" t="s">
        <v>10498</v>
      </c>
      <c r="Q1657" s="50">
        <v>10724.0</v>
      </c>
      <c r="R1657" s="50">
        <v>9901.0</v>
      </c>
      <c r="S1657" s="50" t="s">
        <v>379</v>
      </c>
      <c r="T1657" s="56" t="s">
        <v>10499</v>
      </c>
      <c r="U1657" s="53" t="s">
        <v>339</v>
      </c>
    </row>
    <row r="1658">
      <c r="A1658" s="54" t="s">
        <v>10500</v>
      </c>
      <c r="B1658" s="50" t="s">
        <v>10209</v>
      </c>
      <c r="C1658" s="51" t="s">
        <v>316</v>
      </c>
      <c r="D1658" s="51"/>
      <c r="E1658" s="51"/>
      <c r="F1658" s="51"/>
      <c r="G1658" s="50" t="s">
        <v>10501</v>
      </c>
      <c r="H1658" s="52">
        <v>44683.31317129629</v>
      </c>
      <c r="I1658" s="50"/>
      <c r="J1658" s="50"/>
      <c r="K1658" s="50"/>
      <c r="L1658" s="50"/>
      <c r="M1658" s="50" t="s">
        <v>10211</v>
      </c>
      <c r="N1658" s="50"/>
      <c r="O1658" s="53" t="s">
        <v>70</v>
      </c>
      <c r="P1658" s="55" t="s">
        <v>354</v>
      </c>
      <c r="Q1658" s="50">
        <v>358.0</v>
      </c>
      <c r="R1658" s="50">
        <v>199.0</v>
      </c>
      <c r="S1658" s="50" t="s">
        <v>10212</v>
      </c>
      <c r="T1658" s="56" t="s">
        <v>10502</v>
      </c>
      <c r="U1658" s="53" t="s">
        <v>322</v>
      </c>
    </row>
    <row r="1659">
      <c r="A1659" s="54" t="s">
        <v>10503</v>
      </c>
      <c r="B1659" s="50" t="s">
        <v>10209</v>
      </c>
      <c r="C1659" s="51" t="s">
        <v>329</v>
      </c>
      <c r="D1659" s="51"/>
      <c r="E1659" s="51"/>
      <c r="F1659" s="51"/>
      <c r="G1659" s="50" t="s">
        <v>10504</v>
      </c>
      <c r="H1659" s="52">
        <v>44683.31297453704</v>
      </c>
      <c r="I1659" s="50"/>
      <c r="J1659" s="50"/>
      <c r="K1659" s="50"/>
      <c r="L1659" s="50"/>
      <c r="M1659" s="50" t="s">
        <v>10211</v>
      </c>
      <c r="N1659" s="50"/>
      <c r="O1659" s="53" t="s">
        <v>70</v>
      </c>
      <c r="P1659" s="55" t="s">
        <v>354</v>
      </c>
      <c r="Q1659" s="50">
        <v>358.0</v>
      </c>
      <c r="R1659" s="50">
        <v>199.0</v>
      </c>
      <c r="S1659" s="50" t="s">
        <v>10212</v>
      </c>
      <c r="T1659" s="56" t="s">
        <v>10505</v>
      </c>
      <c r="U1659" s="53" t="s">
        <v>332</v>
      </c>
    </row>
    <row r="1660">
      <c r="A1660" s="54" t="s">
        <v>10506</v>
      </c>
      <c r="B1660" s="50" t="s">
        <v>10507</v>
      </c>
      <c r="C1660" s="51" t="s">
        <v>329</v>
      </c>
      <c r="D1660" s="51"/>
      <c r="E1660" s="51"/>
      <c r="F1660" s="51"/>
      <c r="G1660" s="50" t="s">
        <v>10508</v>
      </c>
      <c r="H1660" s="52">
        <v>44683.31289351852</v>
      </c>
      <c r="I1660" s="50"/>
      <c r="J1660" s="50"/>
      <c r="K1660" s="50"/>
      <c r="L1660" s="50"/>
      <c r="M1660" s="50" t="s">
        <v>10509</v>
      </c>
      <c r="N1660" s="50"/>
      <c r="O1660" s="53" t="s">
        <v>217</v>
      </c>
      <c r="P1660" s="55" t="s">
        <v>10510</v>
      </c>
      <c r="Q1660" s="50">
        <v>1316.0</v>
      </c>
      <c r="R1660" s="50">
        <v>3117.0</v>
      </c>
      <c r="S1660" s="50" t="s">
        <v>10511</v>
      </c>
      <c r="T1660" s="56" t="s">
        <v>10512</v>
      </c>
      <c r="U1660" s="53" t="s">
        <v>332</v>
      </c>
    </row>
    <row r="1661">
      <c r="A1661" s="54" t="s">
        <v>10513</v>
      </c>
      <c r="B1661" s="50" t="s">
        <v>10514</v>
      </c>
      <c r="C1661" s="51" t="s">
        <v>687</v>
      </c>
      <c r="D1661" s="51"/>
      <c r="E1661" s="51"/>
      <c r="F1661" s="51"/>
      <c r="G1661" s="50" t="s">
        <v>10515</v>
      </c>
      <c r="H1661" s="52">
        <v>44683.31288194444</v>
      </c>
      <c r="I1661" s="50"/>
      <c r="J1661" s="50"/>
      <c r="K1661" s="50"/>
      <c r="L1661" s="50"/>
      <c r="M1661" s="50" t="s">
        <v>10516</v>
      </c>
      <c r="N1661" s="50"/>
      <c r="O1661" s="53" t="s">
        <v>92</v>
      </c>
      <c r="P1661" s="55" t="s">
        <v>10517</v>
      </c>
      <c r="Q1661" s="50">
        <v>3402.0</v>
      </c>
      <c r="R1661" s="50">
        <v>4886.0</v>
      </c>
      <c r="S1661" s="50" t="s">
        <v>1132</v>
      </c>
      <c r="T1661" s="56" t="s">
        <v>10518</v>
      </c>
      <c r="U1661" s="53" t="s">
        <v>691</v>
      </c>
    </row>
    <row r="1662">
      <c r="A1662" s="54" t="s">
        <v>10519</v>
      </c>
      <c r="B1662" s="50" t="s">
        <v>9851</v>
      </c>
      <c r="C1662" s="51" t="s">
        <v>367</v>
      </c>
      <c r="D1662" s="51"/>
      <c r="E1662" s="51"/>
      <c r="F1662" s="51"/>
      <c r="G1662" s="50" t="s">
        <v>10520</v>
      </c>
      <c r="H1662" s="52">
        <v>44683.31277777778</v>
      </c>
      <c r="I1662" s="50"/>
      <c r="J1662" s="50"/>
      <c r="K1662" s="50"/>
      <c r="L1662" s="50"/>
      <c r="M1662" s="50" t="s">
        <v>9853</v>
      </c>
      <c r="N1662" s="50"/>
      <c r="O1662" s="53" t="s">
        <v>92</v>
      </c>
      <c r="P1662" s="55" t="s">
        <v>9854</v>
      </c>
      <c r="Q1662" s="50">
        <v>4272.0</v>
      </c>
      <c r="R1662" s="50">
        <v>3796.0</v>
      </c>
      <c r="S1662" s="50"/>
      <c r="T1662" s="56" t="s">
        <v>10521</v>
      </c>
      <c r="U1662" s="53" t="s">
        <v>370</v>
      </c>
    </row>
    <row r="1663">
      <c r="A1663" s="54" t="s">
        <v>10522</v>
      </c>
      <c r="B1663" s="50" t="s">
        <v>10209</v>
      </c>
      <c r="C1663" s="51" t="s">
        <v>335</v>
      </c>
      <c r="D1663" s="51"/>
      <c r="E1663" s="51"/>
      <c r="F1663" s="51"/>
      <c r="G1663" s="50" t="s">
        <v>10520</v>
      </c>
      <c r="H1663" s="52">
        <v>44683.31277777778</v>
      </c>
      <c r="I1663" s="50"/>
      <c r="J1663" s="50"/>
      <c r="K1663" s="50"/>
      <c r="L1663" s="50"/>
      <c r="M1663" s="50" t="s">
        <v>10211</v>
      </c>
      <c r="N1663" s="50"/>
      <c r="O1663" s="53" t="s">
        <v>70</v>
      </c>
      <c r="P1663" s="55" t="s">
        <v>354</v>
      </c>
      <c r="Q1663" s="50">
        <v>358.0</v>
      </c>
      <c r="R1663" s="50">
        <v>199.0</v>
      </c>
      <c r="S1663" s="50" t="s">
        <v>10212</v>
      </c>
      <c r="T1663" s="56" t="s">
        <v>10523</v>
      </c>
      <c r="U1663" s="53" t="s">
        <v>339</v>
      </c>
    </row>
    <row r="1664">
      <c r="A1664" s="54" t="s">
        <v>10524</v>
      </c>
      <c r="B1664" s="50" t="s">
        <v>10525</v>
      </c>
      <c r="C1664" s="51" t="s">
        <v>1307</v>
      </c>
      <c r="D1664" s="51"/>
      <c r="E1664" s="51"/>
      <c r="F1664" s="51"/>
      <c r="G1664" s="50" t="s">
        <v>10526</v>
      </c>
      <c r="H1664" s="52">
        <v>44683.31263888889</v>
      </c>
      <c r="I1664" s="50"/>
      <c r="J1664" s="50"/>
      <c r="K1664" s="50"/>
      <c r="L1664" s="50"/>
      <c r="M1664" s="50" t="s">
        <v>10527</v>
      </c>
      <c r="N1664" s="50"/>
      <c r="O1664" s="53" t="s">
        <v>217</v>
      </c>
      <c r="P1664" s="55" t="s">
        <v>10528</v>
      </c>
      <c r="Q1664" s="50">
        <v>2040.0</v>
      </c>
      <c r="R1664" s="50">
        <v>2051.0</v>
      </c>
      <c r="S1664" s="50" t="s">
        <v>129</v>
      </c>
      <c r="T1664" s="56" t="s">
        <v>10529</v>
      </c>
      <c r="U1664" s="53" t="s">
        <v>1313</v>
      </c>
    </row>
    <row r="1665">
      <c r="A1665" s="54" t="s">
        <v>10530</v>
      </c>
      <c r="B1665" s="50" t="s">
        <v>10531</v>
      </c>
      <c r="C1665" s="51" t="s">
        <v>4949</v>
      </c>
      <c r="D1665" s="51"/>
      <c r="E1665" s="51"/>
      <c r="F1665" s="51"/>
      <c r="G1665" s="50" t="s">
        <v>10532</v>
      </c>
      <c r="H1665" s="52">
        <v>44683.31259259259</v>
      </c>
      <c r="I1665" s="50"/>
      <c r="J1665" s="50"/>
      <c r="K1665" s="50"/>
      <c r="L1665" s="50"/>
      <c r="M1665" s="50" t="s">
        <v>10533</v>
      </c>
      <c r="N1665" s="50"/>
      <c r="O1665" s="53" t="s">
        <v>70</v>
      </c>
      <c r="P1665" s="55" t="s">
        <v>10534</v>
      </c>
      <c r="Q1665" s="50">
        <v>5664.0</v>
      </c>
      <c r="R1665" s="50">
        <v>6191.0</v>
      </c>
      <c r="S1665" s="50" t="s">
        <v>8460</v>
      </c>
      <c r="T1665" s="56" t="s">
        <v>10535</v>
      </c>
      <c r="U1665" s="53" t="s">
        <v>4955</v>
      </c>
    </row>
    <row r="1666">
      <c r="A1666" s="54" t="s">
        <v>10536</v>
      </c>
      <c r="B1666" s="50" t="s">
        <v>10209</v>
      </c>
      <c r="C1666" s="51" t="s">
        <v>363</v>
      </c>
      <c r="D1666" s="51"/>
      <c r="E1666" s="51"/>
      <c r="F1666" s="51"/>
      <c r="G1666" s="50" t="s">
        <v>10537</v>
      </c>
      <c r="H1666" s="52">
        <v>44683.31253472222</v>
      </c>
      <c r="I1666" s="50"/>
      <c r="J1666" s="50"/>
      <c r="K1666" s="50"/>
      <c r="L1666" s="50"/>
      <c r="M1666" s="50" t="s">
        <v>10211</v>
      </c>
      <c r="N1666" s="50"/>
      <c r="O1666" s="53" t="s">
        <v>70</v>
      </c>
      <c r="P1666" s="55" t="s">
        <v>354</v>
      </c>
      <c r="Q1666" s="50">
        <v>358.0</v>
      </c>
      <c r="R1666" s="50">
        <v>199.0</v>
      </c>
      <c r="S1666" s="50" t="s">
        <v>10212</v>
      </c>
      <c r="T1666" s="56" t="s">
        <v>10538</v>
      </c>
      <c r="U1666" s="53" t="s">
        <v>332</v>
      </c>
    </row>
    <row r="1667">
      <c r="A1667" s="54" t="s">
        <v>10539</v>
      </c>
      <c r="B1667" s="50" t="s">
        <v>10540</v>
      </c>
      <c r="C1667" s="51" t="s">
        <v>367</v>
      </c>
      <c r="D1667" s="51"/>
      <c r="E1667" s="51"/>
      <c r="F1667" s="51"/>
      <c r="G1667" s="50" t="s">
        <v>10541</v>
      </c>
      <c r="H1667" s="52">
        <v>44683.31245370371</v>
      </c>
      <c r="I1667" s="50"/>
      <c r="J1667" s="50"/>
      <c r="K1667" s="50"/>
      <c r="L1667" s="50"/>
      <c r="M1667" s="50" t="s">
        <v>10542</v>
      </c>
      <c r="N1667" s="50"/>
      <c r="O1667" s="53" t="s">
        <v>70</v>
      </c>
      <c r="P1667" s="55" t="s">
        <v>10543</v>
      </c>
      <c r="Q1667" s="50">
        <v>2158.0</v>
      </c>
      <c r="R1667" s="50">
        <v>2277.0</v>
      </c>
      <c r="S1667" s="50" t="s">
        <v>10544</v>
      </c>
      <c r="T1667" s="56" t="s">
        <v>10545</v>
      </c>
      <c r="U1667" s="53" t="s">
        <v>370</v>
      </c>
    </row>
    <row r="1668">
      <c r="A1668" s="54" t="s">
        <v>10546</v>
      </c>
      <c r="B1668" s="50" t="s">
        <v>10547</v>
      </c>
      <c r="C1668" s="51" t="s">
        <v>1307</v>
      </c>
      <c r="D1668" s="51"/>
      <c r="E1668" s="51"/>
      <c r="F1668" s="51"/>
      <c r="G1668" s="50" t="s">
        <v>10548</v>
      </c>
      <c r="H1668" s="52">
        <v>44683.312314814815</v>
      </c>
      <c r="I1668" s="50"/>
      <c r="J1668" s="50"/>
      <c r="K1668" s="50"/>
      <c r="L1668" s="50"/>
      <c r="M1668" s="50" t="s">
        <v>10549</v>
      </c>
      <c r="N1668" s="50"/>
      <c r="O1668" s="53" t="s">
        <v>70</v>
      </c>
      <c r="P1668" s="55" t="s">
        <v>354</v>
      </c>
      <c r="Q1668" s="50">
        <v>71.0</v>
      </c>
      <c r="R1668" s="50">
        <v>991.0</v>
      </c>
      <c r="S1668" s="50"/>
      <c r="T1668" s="56" t="s">
        <v>10550</v>
      </c>
      <c r="U1668" s="53" t="s">
        <v>1313</v>
      </c>
    </row>
    <row r="1669">
      <c r="A1669" s="54" t="s">
        <v>10551</v>
      </c>
      <c r="B1669" s="50" t="s">
        <v>10209</v>
      </c>
      <c r="C1669" s="51" t="s">
        <v>367</v>
      </c>
      <c r="D1669" s="51"/>
      <c r="E1669" s="51"/>
      <c r="F1669" s="51"/>
      <c r="G1669" s="50" t="s">
        <v>10552</v>
      </c>
      <c r="H1669" s="52">
        <v>44683.31229166666</v>
      </c>
      <c r="I1669" s="50"/>
      <c r="J1669" s="50"/>
      <c r="K1669" s="50"/>
      <c r="L1669" s="50"/>
      <c r="M1669" s="50" t="s">
        <v>10211</v>
      </c>
      <c r="N1669" s="50"/>
      <c r="O1669" s="53" t="s">
        <v>70</v>
      </c>
      <c r="P1669" s="55" t="s">
        <v>354</v>
      </c>
      <c r="Q1669" s="50">
        <v>358.0</v>
      </c>
      <c r="R1669" s="50">
        <v>199.0</v>
      </c>
      <c r="S1669" s="50" t="s">
        <v>10212</v>
      </c>
      <c r="T1669" s="56" t="s">
        <v>10553</v>
      </c>
      <c r="U1669" s="53" t="s">
        <v>370</v>
      </c>
    </row>
    <row r="1670">
      <c r="A1670" s="54" t="s">
        <v>10554</v>
      </c>
      <c r="B1670" s="50" t="s">
        <v>10555</v>
      </c>
      <c r="C1670" s="51" t="s">
        <v>5847</v>
      </c>
      <c r="D1670" s="51"/>
      <c r="E1670" s="51"/>
      <c r="F1670" s="51"/>
      <c r="G1670" s="50" t="s">
        <v>10556</v>
      </c>
      <c r="H1670" s="52">
        <v>44683.3121875</v>
      </c>
      <c r="I1670" s="50"/>
      <c r="J1670" s="50"/>
      <c r="K1670" s="50"/>
      <c r="L1670" s="50"/>
      <c r="M1670" s="50" t="s">
        <v>10557</v>
      </c>
      <c r="N1670" s="50"/>
      <c r="O1670" s="53" t="s">
        <v>92</v>
      </c>
      <c r="P1670" s="55" t="s">
        <v>10558</v>
      </c>
      <c r="Q1670" s="50">
        <v>12085.0</v>
      </c>
      <c r="R1670" s="50">
        <v>9738.0</v>
      </c>
      <c r="S1670" s="50" t="s">
        <v>246</v>
      </c>
      <c r="T1670" s="56" t="s">
        <v>10559</v>
      </c>
      <c r="U1670" s="53" t="s">
        <v>5853</v>
      </c>
    </row>
    <row r="1671">
      <c r="A1671" s="54" t="s">
        <v>10560</v>
      </c>
      <c r="B1671" s="50" t="s">
        <v>3779</v>
      </c>
      <c r="C1671" s="51" t="s">
        <v>10561</v>
      </c>
      <c r="D1671" s="51"/>
      <c r="E1671" s="51"/>
      <c r="F1671" s="51"/>
      <c r="G1671" s="50" t="s">
        <v>10562</v>
      </c>
      <c r="H1671" s="52">
        <v>44683.31192129629</v>
      </c>
      <c r="I1671" s="50"/>
      <c r="J1671" s="50"/>
      <c r="K1671" s="50"/>
      <c r="L1671" s="50"/>
      <c r="M1671" s="50" t="s">
        <v>3782</v>
      </c>
      <c r="N1671" s="50"/>
      <c r="O1671" s="53" t="s">
        <v>70</v>
      </c>
      <c r="P1671" s="55" t="s">
        <v>3783</v>
      </c>
      <c r="Q1671" s="50">
        <v>6971.0</v>
      </c>
      <c r="R1671" s="50">
        <v>7237.0</v>
      </c>
      <c r="S1671" s="50" t="s">
        <v>3784</v>
      </c>
      <c r="T1671" s="56" t="s">
        <v>10563</v>
      </c>
      <c r="U1671" s="53" t="s">
        <v>10564</v>
      </c>
    </row>
    <row r="1672">
      <c r="A1672" s="54" t="s">
        <v>10565</v>
      </c>
      <c r="B1672" s="50" t="s">
        <v>10566</v>
      </c>
      <c r="C1672" s="51" t="s">
        <v>367</v>
      </c>
      <c r="D1672" s="51"/>
      <c r="E1672" s="51"/>
      <c r="F1672" s="51"/>
      <c r="G1672" s="50" t="s">
        <v>10567</v>
      </c>
      <c r="H1672" s="52">
        <v>44683.31186342593</v>
      </c>
      <c r="I1672" s="50"/>
      <c r="J1672" s="50"/>
      <c r="K1672" s="50"/>
      <c r="L1672" s="50"/>
      <c r="M1672" s="50" t="s">
        <v>10568</v>
      </c>
      <c r="N1672" s="50"/>
      <c r="O1672" s="53" t="s">
        <v>60</v>
      </c>
      <c r="P1672" s="55" t="s">
        <v>10569</v>
      </c>
      <c r="Q1672" s="50">
        <v>172.0</v>
      </c>
      <c r="R1672" s="50">
        <v>305.0</v>
      </c>
      <c r="S1672" s="50" t="s">
        <v>129</v>
      </c>
      <c r="T1672" s="56" t="s">
        <v>10570</v>
      </c>
      <c r="U1672" s="53" t="s">
        <v>370</v>
      </c>
    </row>
    <row r="1673">
      <c r="A1673" s="54" t="s">
        <v>10571</v>
      </c>
      <c r="B1673" s="50" t="s">
        <v>10572</v>
      </c>
      <c r="C1673" s="51" t="s">
        <v>363</v>
      </c>
      <c r="D1673" s="51"/>
      <c r="E1673" s="51"/>
      <c r="F1673" s="51"/>
      <c r="G1673" s="50" t="s">
        <v>10573</v>
      </c>
      <c r="H1673" s="52">
        <v>44683.31181712963</v>
      </c>
      <c r="I1673" s="50"/>
      <c r="J1673" s="50"/>
      <c r="K1673" s="50"/>
      <c r="L1673" s="50"/>
      <c r="M1673" s="50" t="s">
        <v>10574</v>
      </c>
      <c r="N1673" s="50"/>
      <c r="O1673" s="53" t="s">
        <v>70</v>
      </c>
      <c r="P1673" s="55" t="s">
        <v>10575</v>
      </c>
      <c r="Q1673" s="50">
        <v>1599.0</v>
      </c>
      <c r="R1673" s="50">
        <v>4992.0</v>
      </c>
      <c r="S1673" s="50"/>
      <c r="T1673" s="56" t="s">
        <v>10576</v>
      </c>
      <c r="U1673" s="53" t="s">
        <v>332</v>
      </c>
    </row>
    <row r="1674">
      <c r="A1674" s="54" t="s">
        <v>10577</v>
      </c>
      <c r="B1674" s="50" t="s">
        <v>10578</v>
      </c>
      <c r="C1674" s="51" t="s">
        <v>7142</v>
      </c>
      <c r="D1674" s="51"/>
      <c r="E1674" s="51"/>
      <c r="F1674" s="51"/>
      <c r="G1674" s="50" t="s">
        <v>10579</v>
      </c>
      <c r="H1674" s="52">
        <v>44683.31175925926</v>
      </c>
      <c r="I1674" s="50"/>
      <c r="J1674" s="50"/>
      <c r="K1674" s="50"/>
      <c r="L1674" s="50"/>
      <c r="M1674" s="50" t="s">
        <v>10580</v>
      </c>
      <c r="N1674" s="50"/>
      <c r="O1674" s="53" t="s">
        <v>70</v>
      </c>
      <c r="P1674" s="55" t="s">
        <v>10581</v>
      </c>
      <c r="Q1674" s="50">
        <v>5240.0</v>
      </c>
      <c r="R1674" s="50">
        <v>5525.0</v>
      </c>
      <c r="S1674" s="50" t="s">
        <v>10582</v>
      </c>
      <c r="T1674" s="56" t="s">
        <v>10583</v>
      </c>
      <c r="U1674" s="53" t="s">
        <v>7148</v>
      </c>
    </row>
    <row r="1675">
      <c r="A1675" s="54" t="s">
        <v>10584</v>
      </c>
      <c r="B1675" s="50" t="s">
        <v>10585</v>
      </c>
      <c r="C1675" s="51" t="s">
        <v>367</v>
      </c>
      <c r="D1675" s="51"/>
      <c r="E1675" s="51"/>
      <c r="F1675" s="51"/>
      <c r="G1675" s="50" t="s">
        <v>10586</v>
      </c>
      <c r="H1675" s="52">
        <v>44683.31165509259</v>
      </c>
      <c r="I1675" s="50"/>
      <c r="J1675" s="50"/>
      <c r="K1675" s="50"/>
      <c r="L1675" s="50"/>
      <c r="M1675" s="50" t="s">
        <v>10587</v>
      </c>
      <c r="N1675" s="50"/>
      <c r="O1675" s="53" t="s">
        <v>92</v>
      </c>
      <c r="P1675" s="55" t="s">
        <v>10588</v>
      </c>
      <c r="Q1675" s="50">
        <v>754.0</v>
      </c>
      <c r="R1675" s="50">
        <v>1310.0</v>
      </c>
      <c r="S1675" s="50" t="s">
        <v>10086</v>
      </c>
      <c r="T1675" s="56" t="s">
        <v>10589</v>
      </c>
      <c r="U1675" s="53" t="s">
        <v>370</v>
      </c>
    </row>
    <row r="1676">
      <c r="A1676" s="54" t="s">
        <v>10590</v>
      </c>
      <c r="B1676" s="50" t="s">
        <v>10591</v>
      </c>
      <c r="C1676" s="51" t="s">
        <v>329</v>
      </c>
      <c r="D1676" s="51"/>
      <c r="E1676" s="51"/>
      <c r="F1676" s="51"/>
      <c r="G1676" s="50" t="s">
        <v>10592</v>
      </c>
      <c r="H1676" s="52">
        <v>44683.31162037037</v>
      </c>
      <c r="I1676" s="50"/>
      <c r="J1676" s="50"/>
      <c r="K1676" s="50"/>
      <c r="L1676" s="50"/>
      <c r="M1676" s="50" t="s">
        <v>10593</v>
      </c>
      <c r="N1676" s="50"/>
      <c r="O1676" s="53" t="s">
        <v>217</v>
      </c>
      <c r="P1676" s="55" t="s">
        <v>10594</v>
      </c>
      <c r="Q1676" s="50">
        <v>3735.0</v>
      </c>
      <c r="R1676" s="50">
        <v>5001.0</v>
      </c>
      <c r="S1676" s="50" t="s">
        <v>10595</v>
      </c>
      <c r="T1676" s="56" t="s">
        <v>10596</v>
      </c>
      <c r="U1676" s="53" t="s">
        <v>332</v>
      </c>
    </row>
    <row r="1677">
      <c r="A1677" s="54" t="s">
        <v>10597</v>
      </c>
      <c r="B1677" s="50" t="s">
        <v>10591</v>
      </c>
      <c r="C1677" s="51" t="s">
        <v>316</v>
      </c>
      <c r="D1677" s="51"/>
      <c r="E1677" s="51"/>
      <c r="F1677" s="51"/>
      <c r="G1677" s="50" t="s">
        <v>10598</v>
      </c>
      <c r="H1677" s="52">
        <v>44683.3115625</v>
      </c>
      <c r="I1677" s="50"/>
      <c r="J1677" s="50"/>
      <c r="K1677" s="50"/>
      <c r="L1677" s="50"/>
      <c r="M1677" s="50" t="s">
        <v>10593</v>
      </c>
      <c r="N1677" s="50"/>
      <c r="O1677" s="53" t="s">
        <v>217</v>
      </c>
      <c r="P1677" s="55" t="s">
        <v>10594</v>
      </c>
      <c r="Q1677" s="50">
        <v>3735.0</v>
      </c>
      <c r="R1677" s="50">
        <v>5001.0</v>
      </c>
      <c r="S1677" s="50" t="s">
        <v>10595</v>
      </c>
      <c r="T1677" s="56" t="s">
        <v>10599</v>
      </c>
      <c r="U1677" s="53" t="s">
        <v>322</v>
      </c>
    </row>
    <row r="1678">
      <c r="A1678" s="54" t="s">
        <v>10600</v>
      </c>
      <c r="B1678" s="50" t="s">
        <v>10591</v>
      </c>
      <c r="C1678" s="51" t="s">
        <v>335</v>
      </c>
      <c r="D1678" s="51"/>
      <c r="E1678" s="51"/>
      <c r="F1678" s="51"/>
      <c r="G1678" s="50" t="s">
        <v>10601</v>
      </c>
      <c r="H1678" s="52">
        <v>44683.31141203704</v>
      </c>
      <c r="I1678" s="50"/>
      <c r="J1678" s="50"/>
      <c r="K1678" s="50"/>
      <c r="L1678" s="50"/>
      <c r="M1678" s="50" t="s">
        <v>10593</v>
      </c>
      <c r="N1678" s="50"/>
      <c r="O1678" s="53" t="s">
        <v>217</v>
      </c>
      <c r="P1678" s="55" t="s">
        <v>10594</v>
      </c>
      <c r="Q1678" s="50">
        <v>3735.0</v>
      </c>
      <c r="R1678" s="50">
        <v>5001.0</v>
      </c>
      <c r="S1678" s="50" t="s">
        <v>10595</v>
      </c>
      <c r="T1678" s="56" t="s">
        <v>10602</v>
      </c>
      <c r="U1678" s="53" t="s">
        <v>339</v>
      </c>
    </row>
    <row r="1679">
      <c r="A1679" s="54" t="s">
        <v>10603</v>
      </c>
      <c r="B1679" s="50" t="s">
        <v>10604</v>
      </c>
      <c r="C1679" s="51" t="s">
        <v>10605</v>
      </c>
      <c r="D1679" s="51"/>
      <c r="E1679" s="51"/>
      <c r="F1679" s="51"/>
      <c r="G1679" s="50" t="s">
        <v>10606</v>
      </c>
      <c r="H1679" s="52">
        <v>44683.31113425926</v>
      </c>
      <c r="I1679" s="50"/>
      <c r="J1679" s="50"/>
      <c r="K1679" s="50" t="s">
        <v>3317</v>
      </c>
      <c r="L1679" s="50" t="s">
        <v>3318</v>
      </c>
      <c r="M1679" s="50" t="s">
        <v>10607</v>
      </c>
      <c r="N1679" s="50" t="s">
        <v>3426</v>
      </c>
      <c r="O1679" s="53" t="s">
        <v>217</v>
      </c>
      <c r="P1679" s="55" t="s">
        <v>10608</v>
      </c>
      <c r="Q1679" s="50">
        <v>163.0</v>
      </c>
      <c r="R1679" s="50">
        <v>1402.0</v>
      </c>
      <c r="S1679" s="50" t="s">
        <v>10609</v>
      </c>
      <c r="T1679" s="56" t="s">
        <v>10610</v>
      </c>
      <c r="U1679" s="53" t="s">
        <v>10611</v>
      </c>
    </row>
    <row r="1680">
      <c r="A1680" s="54" t="s">
        <v>10612</v>
      </c>
      <c r="B1680" s="50" t="s">
        <v>10613</v>
      </c>
      <c r="C1680" s="51" t="s">
        <v>9487</v>
      </c>
      <c r="D1680" s="51"/>
      <c r="E1680" s="51"/>
      <c r="F1680" s="51"/>
      <c r="G1680" s="50" t="s">
        <v>10614</v>
      </c>
      <c r="H1680" s="52">
        <v>44683.31099537037</v>
      </c>
      <c r="I1680" s="50"/>
      <c r="J1680" s="50"/>
      <c r="K1680" s="50"/>
      <c r="L1680" s="50"/>
      <c r="M1680" s="50" t="s">
        <v>10615</v>
      </c>
      <c r="N1680" s="50"/>
      <c r="O1680" s="53" t="s">
        <v>92</v>
      </c>
      <c r="P1680" s="55" t="s">
        <v>10616</v>
      </c>
      <c r="Q1680" s="50">
        <v>2941.0</v>
      </c>
      <c r="R1680" s="50">
        <v>2855.0</v>
      </c>
      <c r="S1680" s="50" t="s">
        <v>219</v>
      </c>
      <c r="T1680" s="56" t="s">
        <v>10617</v>
      </c>
      <c r="U1680" s="53" t="s">
        <v>691</v>
      </c>
    </row>
    <row r="1681">
      <c r="A1681" s="54" t="s">
        <v>10618</v>
      </c>
      <c r="B1681" s="50" t="s">
        <v>10619</v>
      </c>
      <c r="C1681" s="51" t="s">
        <v>10620</v>
      </c>
      <c r="D1681" s="51"/>
      <c r="E1681" s="51"/>
      <c r="F1681" s="51"/>
      <c r="G1681" s="50" t="s">
        <v>10621</v>
      </c>
      <c r="H1681" s="52">
        <v>44683.310949074075</v>
      </c>
      <c r="I1681" s="50"/>
      <c r="J1681" s="50"/>
      <c r="K1681" s="50"/>
      <c r="L1681" s="50"/>
      <c r="M1681" s="50" t="s">
        <v>10622</v>
      </c>
      <c r="N1681" s="50"/>
      <c r="O1681" s="53" t="s">
        <v>70</v>
      </c>
      <c r="P1681" s="55" t="s">
        <v>10623</v>
      </c>
      <c r="Q1681" s="50">
        <v>35.0</v>
      </c>
      <c r="R1681" s="50">
        <v>164.0</v>
      </c>
      <c r="S1681" s="50"/>
      <c r="T1681" s="56" t="s">
        <v>10624</v>
      </c>
      <c r="U1681" s="53" t="s">
        <v>10625</v>
      </c>
    </row>
    <row r="1682">
      <c r="A1682" s="54" t="s">
        <v>10626</v>
      </c>
      <c r="B1682" s="50" t="s">
        <v>10627</v>
      </c>
      <c r="C1682" s="51" t="s">
        <v>1307</v>
      </c>
      <c r="D1682" s="51"/>
      <c r="E1682" s="51"/>
      <c r="F1682" s="51"/>
      <c r="G1682" s="50" t="s">
        <v>10628</v>
      </c>
      <c r="H1682" s="52">
        <v>44683.310844907406</v>
      </c>
      <c r="I1682" s="50"/>
      <c r="J1682" s="50"/>
      <c r="K1682" s="50"/>
      <c r="L1682" s="50"/>
      <c r="M1682" s="50" t="s">
        <v>10629</v>
      </c>
      <c r="N1682" s="50"/>
      <c r="O1682" s="53" t="s">
        <v>70</v>
      </c>
      <c r="P1682" s="55" t="s">
        <v>10630</v>
      </c>
      <c r="Q1682" s="50">
        <v>12545.0</v>
      </c>
      <c r="R1682" s="50">
        <v>12854.0</v>
      </c>
      <c r="S1682" s="50" t="s">
        <v>4349</v>
      </c>
      <c r="T1682" s="56" t="s">
        <v>10631</v>
      </c>
      <c r="U1682" s="53" t="s">
        <v>1313</v>
      </c>
    </row>
    <row r="1683">
      <c r="A1683" s="54" t="s">
        <v>10632</v>
      </c>
      <c r="B1683" s="50" t="s">
        <v>10633</v>
      </c>
      <c r="C1683" s="51" t="s">
        <v>316</v>
      </c>
      <c r="D1683" s="51"/>
      <c r="E1683" s="51"/>
      <c r="F1683" s="51"/>
      <c r="G1683" s="50" t="s">
        <v>10634</v>
      </c>
      <c r="H1683" s="52">
        <v>44683.310694444444</v>
      </c>
      <c r="I1683" s="50"/>
      <c r="J1683" s="50"/>
      <c r="K1683" s="50"/>
      <c r="L1683" s="50"/>
      <c r="M1683" s="50" t="s">
        <v>10635</v>
      </c>
      <c r="N1683" s="50"/>
      <c r="O1683" s="53" t="s">
        <v>92</v>
      </c>
      <c r="P1683" s="55" t="s">
        <v>10636</v>
      </c>
      <c r="Q1683" s="50">
        <v>605.0</v>
      </c>
      <c r="R1683" s="50">
        <v>1115.0</v>
      </c>
      <c r="S1683" s="50" t="s">
        <v>10637</v>
      </c>
      <c r="T1683" s="56" t="s">
        <v>10638</v>
      </c>
      <c r="U1683" s="53" t="s">
        <v>322</v>
      </c>
    </row>
    <row r="1684">
      <c r="A1684" s="54" t="s">
        <v>10639</v>
      </c>
      <c r="B1684" s="50" t="s">
        <v>10640</v>
      </c>
      <c r="C1684" s="51" t="s">
        <v>10641</v>
      </c>
      <c r="D1684" s="51"/>
      <c r="E1684" s="51"/>
      <c r="F1684" s="51"/>
      <c r="G1684" s="50" t="s">
        <v>10642</v>
      </c>
      <c r="H1684" s="52">
        <v>44683.31065972222</v>
      </c>
      <c r="I1684" s="50"/>
      <c r="J1684" s="50"/>
      <c r="K1684" s="50" t="s">
        <v>10643</v>
      </c>
      <c r="L1684" s="50" t="s">
        <v>10644</v>
      </c>
      <c r="M1684" s="50" t="s">
        <v>10645</v>
      </c>
      <c r="N1684" s="50" t="s">
        <v>10646</v>
      </c>
      <c r="O1684" s="53" t="s">
        <v>92</v>
      </c>
      <c r="P1684" s="55" t="s">
        <v>10647</v>
      </c>
      <c r="Q1684" s="50">
        <v>468.0</v>
      </c>
      <c r="R1684" s="50">
        <v>1727.0</v>
      </c>
      <c r="S1684" s="50" t="s">
        <v>10648</v>
      </c>
      <c r="T1684" s="56" t="s">
        <v>10649</v>
      </c>
      <c r="U1684" s="53" t="s">
        <v>10650</v>
      </c>
    </row>
    <row r="1685">
      <c r="A1685" s="54" t="s">
        <v>10651</v>
      </c>
      <c r="B1685" s="50" t="s">
        <v>10652</v>
      </c>
      <c r="C1685" s="51" t="s">
        <v>7142</v>
      </c>
      <c r="D1685" s="51"/>
      <c r="E1685" s="51"/>
      <c r="F1685" s="51"/>
      <c r="G1685" s="50" t="s">
        <v>10653</v>
      </c>
      <c r="H1685" s="52">
        <v>44683.31064814815</v>
      </c>
      <c r="I1685" s="50"/>
      <c r="J1685" s="50"/>
      <c r="K1685" s="50"/>
      <c r="L1685" s="50"/>
      <c r="M1685" s="50" t="s">
        <v>10654</v>
      </c>
      <c r="N1685" s="50"/>
      <c r="O1685" s="53" t="s">
        <v>70</v>
      </c>
      <c r="P1685" s="55" t="s">
        <v>10655</v>
      </c>
      <c r="Q1685" s="50">
        <v>404.0</v>
      </c>
      <c r="R1685" s="50">
        <v>720.0</v>
      </c>
      <c r="S1685" s="50" t="s">
        <v>379</v>
      </c>
      <c r="T1685" s="56" t="s">
        <v>10656</v>
      </c>
      <c r="U1685" s="53" t="s">
        <v>7148</v>
      </c>
    </row>
    <row r="1686">
      <c r="A1686" s="54" t="s">
        <v>10657</v>
      </c>
      <c r="B1686" s="50" t="s">
        <v>10658</v>
      </c>
      <c r="C1686" s="51" t="s">
        <v>9487</v>
      </c>
      <c r="D1686" s="51"/>
      <c r="E1686" s="51"/>
      <c r="F1686" s="51"/>
      <c r="G1686" s="50" t="s">
        <v>10659</v>
      </c>
      <c r="H1686" s="52">
        <v>44683.310532407406</v>
      </c>
      <c r="I1686" s="50"/>
      <c r="J1686" s="50"/>
      <c r="K1686" s="50"/>
      <c r="L1686" s="50"/>
      <c r="M1686" s="50" t="s">
        <v>10660</v>
      </c>
      <c r="N1686" s="50"/>
      <c r="O1686" s="53" t="s">
        <v>92</v>
      </c>
      <c r="P1686" s="55" t="s">
        <v>10661</v>
      </c>
      <c r="Q1686" s="50">
        <v>3039.0</v>
      </c>
      <c r="R1686" s="50">
        <v>4546.0</v>
      </c>
      <c r="S1686" s="50"/>
      <c r="T1686" s="56" t="s">
        <v>10662</v>
      </c>
      <c r="U1686" s="53" t="s">
        <v>691</v>
      </c>
    </row>
    <row r="1687">
      <c r="A1687" s="54" t="s">
        <v>10663</v>
      </c>
      <c r="B1687" s="50" t="s">
        <v>10664</v>
      </c>
      <c r="C1687" s="51" t="s">
        <v>7142</v>
      </c>
      <c r="D1687" s="51"/>
      <c r="E1687" s="51"/>
      <c r="F1687" s="51"/>
      <c r="G1687" s="50" t="s">
        <v>10665</v>
      </c>
      <c r="H1687" s="52">
        <v>44683.31039351852</v>
      </c>
      <c r="I1687" s="50"/>
      <c r="J1687" s="50"/>
      <c r="K1687" s="50"/>
      <c r="L1687" s="50"/>
      <c r="M1687" s="50" t="s">
        <v>10666</v>
      </c>
      <c r="N1687" s="50"/>
      <c r="O1687" s="53" t="s">
        <v>217</v>
      </c>
      <c r="P1687" s="55" t="s">
        <v>10667</v>
      </c>
      <c r="Q1687" s="50">
        <v>1811.0</v>
      </c>
      <c r="R1687" s="50">
        <v>2142.0</v>
      </c>
      <c r="S1687" s="50"/>
      <c r="T1687" s="56" t="s">
        <v>10668</v>
      </c>
      <c r="U1687" s="53" t="s">
        <v>7148</v>
      </c>
    </row>
    <row r="1688">
      <c r="A1688" s="54" t="s">
        <v>10669</v>
      </c>
      <c r="B1688" s="50" t="s">
        <v>10658</v>
      </c>
      <c r="C1688" s="51" t="s">
        <v>2630</v>
      </c>
      <c r="D1688" s="51"/>
      <c r="E1688" s="51"/>
      <c r="F1688" s="51"/>
      <c r="G1688" s="50" t="s">
        <v>10670</v>
      </c>
      <c r="H1688" s="52">
        <v>44683.31037037037</v>
      </c>
      <c r="I1688" s="50"/>
      <c r="J1688" s="50"/>
      <c r="K1688" s="50"/>
      <c r="L1688" s="50"/>
      <c r="M1688" s="50" t="s">
        <v>10660</v>
      </c>
      <c r="N1688" s="50"/>
      <c r="O1688" s="53" t="s">
        <v>92</v>
      </c>
      <c r="P1688" s="55" t="s">
        <v>10661</v>
      </c>
      <c r="Q1688" s="50">
        <v>3039.0</v>
      </c>
      <c r="R1688" s="50">
        <v>4546.0</v>
      </c>
      <c r="S1688" s="50"/>
      <c r="T1688" s="56" t="s">
        <v>10671</v>
      </c>
      <c r="U1688" s="53" t="s">
        <v>691</v>
      </c>
    </row>
    <row r="1689">
      <c r="A1689" s="54" t="s">
        <v>10672</v>
      </c>
      <c r="B1689" s="50" t="s">
        <v>10673</v>
      </c>
      <c r="C1689" s="51" t="s">
        <v>367</v>
      </c>
      <c r="D1689" s="51"/>
      <c r="E1689" s="51"/>
      <c r="F1689" s="51"/>
      <c r="G1689" s="50" t="s">
        <v>10674</v>
      </c>
      <c r="H1689" s="52">
        <v>44683.31034722222</v>
      </c>
      <c r="I1689" s="50"/>
      <c r="J1689" s="50"/>
      <c r="K1689" s="50"/>
      <c r="L1689" s="50"/>
      <c r="M1689" s="50" t="s">
        <v>10675</v>
      </c>
      <c r="N1689" s="50"/>
      <c r="O1689" s="53" t="s">
        <v>70</v>
      </c>
      <c r="P1689" s="55" t="s">
        <v>10676</v>
      </c>
      <c r="Q1689" s="50">
        <v>135.0</v>
      </c>
      <c r="R1689" s="50">
        <v>213.0</v>
      </c>
      <c r="S1689" s="50"/>
      <c r="T1689" s="56" t="s">
        <v>10677</v>
      </c>
      <c r="U1689" s="53" t="s">
        <v>370</v>
      </c>
    </row>
    <row r="1690">
      <c r="A1690" s="54" t="s">
        <v>10678</v>
      </c>
      <c r="B1690" s="50" t="s">
        <v>10679</v>
      </c>
      <c r="C1690" s="51" t="s">
        <v>10680</v>
      </c>
      <c r="D1690" s="51"/>
      <c r="E1690" s="51"/>
      <c r="F1690" s="51"/>
      <c r="G1690" s="50" t="s">
        <v>10681</v>
      </c>
      <c r="H1690" s="52">
        <v>44683.310208333336</v>
      </c>
      <c r="I1690" s="50"/>
      <c r="J1690" s="50"/>
      <c r="K1690" s="50" t="s">
        <v>4073</v>
      </c>
      <c r="L1690" s="50" t="s">
        <v>4074</v>
      </c>
      <c r="M1690" s="50" t="s">
        <v>10682</v>
      </c>
      <c r="N1690" s="50" t="s">
        <v>4076</v>
      </c>
      <c r="O1690" s="53" t="s">
        <v>217</v>
      </c>
      <c r="P1690" s="55" t="s">
        <v>10683</v>
      </c>
      <c r="Q1690" s="50">
        <v>1122.0</v>
      </c>
      <c r="R1690" s="50">
        <v>1621.0</v>
      </c>
      <c r="S1690" s="50"/>
      <c r="T1690" s="56" t="s">
        <v>10684</v>
      </c>
      <c r="U1690" s="53" t="s">
        <v>10685</v>
      </c>
    </row>
    <row r="1691">
      <c r="A1691" s="54" t="s">
        <v>10686</v>
      </c>
      <c r="B1691" s="50" t="s">
        <v>10687</v>
      </c>
      <c r="C1691" s="51" t="s">
        <v>687</v>
      </c>
      <c r="D1691" s="51"/>
      <c r="E1691" s="51"/>
      <c r="F1691" s="51"/>
      <c r="G1691" s="50" t="s">
        <v>10688</v>
      </c>
      <c r="H1691" s="52">
        <v>44683.30972222222</v>
      </c>
      <c r="I1691" s="50"/>
      <c r="J1691" s="50"/>
      <c r="K1691" s="50"/>
      <c r="L1691" s="50"/>
      <c r="M1691" s="50" t="s">
        <v>10689</v>
      </c>
      <c r="N1691" s="50"/>
      <c r="O1691" s="53" t="s">
        <v>60</v>
      </c>
      <c r="P1691" s="55" t="s">
        <v>10690</v>
      </c>
      <c r="Q1691" s="50">
        <v>299.0</v>
      </c>
      <c r="R1691" s="50">
        <v>249.0</v>
      </c>
      <c r="S1691" s="50" t="s">
        <v>10691</v>
      </c>
      <c r="T1691" s="56" t="s">
        <v>10692</v>
      </c>
      <c r="U1691" s="53" t="s">
        <v>691</v>
      </c>
    </row>
    <row r="1692">
      <c r="A1692" s="54" t="s">
        <v>10693</v>
      </c>
      <c r="B1692" s="50" t="s">
        <v>10694</v>
      </c>
      <c r="C1692" s="51" t="s">
        <v>8881</v>
      </c>
      <c r="D1692" s="51"/>
      <c r="E1692" s="51"/>
      <c r="F1692" s="51"/>
      <c r="G1692" s="50" t="s">
        <v>10695</v>
      </c>
      <c r="H1692" s="52">
        <v>44683.309687500005</v>
      </c>
      <c r="I1692" s="50"/>
      <c r="J1692" s="50"/>
      <c r="K1692" s="50"/>
      <c r="L1692" s="50"/>
      <c r="M1692" s="50" t="s">
        <v>10696</v>
      </c>
      <c r="N1692" s="50"/>
      <c r="O1692" s="53" t="s">
        <v>70</v>
      </c>
      <c r="P1692" s="55" t="s">
        <v>10697</v>
      </c>
      <c r="Q1692" s="50">
        <v>3925.0</v>
      </c>
      <c r="R1692" s="50">
        <v>4998.0</v>
      </c>
      <c r="S1692" s="50" t="s">
        <v>10698</v>
      </c>
      <c r="T1692" s="56" t="s">
        <v>10699</v>
      </c>
      <c r="U1692" s="53" t="s">
        <v>8886</v>
      </c>
    </row>
    <row r="1693">
      <c r="A1693" s="54" t="s">
        <v>10700</v>
      </c>
      <c r="B1693" s="50" t="s">
        <v>10701</v>
      </c>
      <c r="C1693" s="51" t="s">
        <v>367</v>
      </c>
      <c r="D1693" s="51"/>
      <c r="E1693" s="51"/>
      <c r="F1693" s="51"/>
      <c r="G1693" s="50" t="s">
        <v>10702</v>
      </c>
      <c r="H1693" s="52">
        <v>44683.309537037036</v>
      </c>
      <c r="I1693" s="50"/>
      <c r="J1693" s="50"/>
      <c r="K1693" s="50"/>
      <c r="L1693" s="50"/>
      <c r="M1693" s="50" t="s">
        <v>10703</v>
      </c>
      <c r="N1693" s="50"/>
      <c r="O1693" s="53" t="s">
        <v>60</v>
      </c>
      <c r="P1693" s="55" t="s">
        <v>10704</v>
      </c>
      <c r="Q1693" s="50">
        <v>2385.0</v>
      </c>
      <c r="R1693" s="50">
        <v>3152.0</v>
      </c>
      <c r="S1693" s="50" t="s">
        <v>859</v>
      </c>
      <c r="T1693" s="56" t="s">
        <v>10705</v>
      </c>
      <c r="U1693" s="53" t="s">
        <v>370</v>
      </c>
    </row>
    <row r="1694">
      <c r="A1694" s="54" t="s">
        <v>10706</v>
      </c>
      <c r="B1694" s="50" t="s">
        <v>10707</v>
      </c>
      <c r="C1694" s="51" t="s">
        <v>363</v>
      </c>
      <c r="D1694" s="51"/>
      <c r="E1694" s="51"/>
      <c r="F1694" s="51"/>
      <c r="G1694" s="50" t="s">
        <v>10708</v>
      </c>
      <c r="H1694" s="52">
        <v>44683.30944444444</v>
      </c>
      <c r="I1694" s="50"/>
      <c r="J1694" s="50"/>
      <c r="K1694" s="50"/>
      <c r="L1694" s="50"/>
      <c r="M1694" s="50" t="s">
        <v>10709</v>
      </c>
      <c r="N1694" s="50"/>
      <c r="O1694" s="53" t="s">
        <v>70</v>
      </c>
      <c r="P1694" s="55" t="s">
        <v>354</v>
      </c>
      <c r="Q1694" s="50">
        <v>5.0</v>
      </c>
      <c r="R1694" s="50">
        <v>53.0</v>
      </c>
      <c r="S1694" s="50"/>
      <c r="T1694" s="56" t="s">
        <v>10710</v>
      </c>
      <c r="U1694" s="53" t="s">
        <v>332</v>
      </c>
    </row>
    <row r="1695">
      <c r="A1695" s="54" t="s">
        <v>10711</v>
      </c>
      <c r="B1695" s="50" t="s">
        <v>10707</v>
      </c>
      <c r="C1695" s="51" t="s">
        <v>367</v>
      </c>
      <c r="D1695" s="51"/>
      <c r="E1695" s="51"/>
      <c r="F1695" s="51"/>
      <c r="G1695" s="50" t="s">
        <v>10712</v>
      </c>
      <c r="H1695" s="52">
        <v>44683.30930555555</v>
      </c>
      <c r="I1695" s="50"/>
      <c r="J1695" s="50"/>
      <c r="K1695" s="50"/>
      <c r="L1695" s="50"/>
      <c r="M1695" s="50" t="s">
        <v>10709</v>
      </c>
      <c r="N1695" s="50"/>
      <c r="O1695" s="53" t="s">
        <v>70</v>
      </c>
      <c r="P1695" s="55" t="s">
        <v>354</v>
      </c>
      <c r="Q1695" s="50">
        <v>5.0</v>
      </c>
      <c r="R1695" s="50">
        <v>53.0</v>
      </c>
      <c r="S1695" s="50"/>
      <c r="T1695" s="56" t="s">
        <v>10713</v>
      </c>
      <c r="U1695" s="53" t="s">
        <v>370</v>
      </c>
    </row>
    <row r="1696">
      <c r="A1696" s="54" t="s">
        <v>10714</v>
      </c>
      <c r="B1696" s="50" t="s">
        <v>10715</v>
      </c>
      <c r="C1696" s="51" t="s">
        <v>329</v>
      </c>
      <c r="D1696" s="51"/>
      <c r="E1696" s="51"/>
      <c r="F1696" s="51"/>
      <c r="G1696" s="50" t="s">
        <v>10716</v>
      </c>
      <c r="H1696" s="52">
        <v>44683.30876157407</v>
      </c>
      <c r="I1696" s="50"/>
      <c r="J1696" s="50"/>
      <c r="K1696" s="50"/>
      <c r="L1696" s="50"/>
      <c r="M1696" s="50" t="s">
        <v>10717</v>
      </c>
      <c r="N1696" s="50"/>
      <c r="O1696" s="53" t="s">
        <v>92</v>
      </c>
      <c r="P1696" s="55" t="s">
        <v>10718</v>
      </c>
      <c r="Q1696" s="50">
        <v>6203.0</v>
      </c>
      <c r="R1696" s="50">
        <v>5931.0</v>
      </c>
      <c r="S1696" s="50" t="s">
        <v>129</v>
      </c>
      <c r="T1696" s="56" t="s">
        <v>10719</v>
      </c>
      <c r="U1696" s="53" t="s">
        <v>332</v>
      </c>
    </row>
    <row r="1697">
      <c r="A1697" s="54" t="s">
        <v>10720</v>
      </c>
      <c r="B1697" s="50" t="s">
        <v>10721</v>
      </c>
      <c r="C1697" s="51" t="s">
        <v>1195</v>
      </c>
      <c r="D1697" s="51"/>
      <c r="E1697" s="51"/>
      <c r="F1697" s="51"/>
      <c r="G1697" s="50" t="s">
        <v>10722</v>
      </c>
      <c r="H1697" s="52">
        <v>44683.30872685185</v>
      </c>
      <c r="I1697" s="50"/>
      <c r="J1697" s="50"/>
      <c r="K1697" s="50"/>
      <c r="L1697" s="50"/>
      <c r="M1697" s="50" t="s">
        <v>10723</v>
      </c>
      <c r="N1697" s="50"/>
      <c r="O1697" s="53" t="s">
        <v>70</v>
      </c>
      <c r="P1697" s="55" t="s">
        <v>10724</v>
      </c>
      <c r="Q1697" s="50">
        <v>2287.0</v>
      </c>
      <c r="R1697" s="50">
        <v>2146.0</v>
      </c>
      <c r="S1697" s="50" t="s">
        <v>10725</v>
      </c>
      <c r="T1697" s="56" t="s">
        <v>10726</v>
      </c>
      <c r="U1697" s="53" t="s">
        <v>691</v>
      </c>
    </row>
    <row r="1698">
      <c r="A1698" s="54" t="s">
        <v>10727</v>
      </c>
      <c r="B1698" s="50" t="s">
        <v>8059</v>
      </c>
      <c r="C1698" s="51" t="s">
        <v>8049</v>
      </c>
      <c r="D1698" s="51"/>
      <c r="E1698" s="51"/>
      <c r="F1698" s="51"/>
      <c r="G1698" s="50" t="s">
        <v>10728</v>
      </c>
      <c r="H1698" s="52">
        <v>44683.308703703704</v>
      </c>
      <c r="I1698" s="50"/>
      <c r="J1698" s="50"/>
      <c r="K1698" s="50"/>
      <c r="L1698" s="50"/>
      <c r="M1698" s="50" t="s">
        <v>8064</v>
      </c>
      <c r="N1698" s="50"/>
      <c r="O1698" s="53" t="s">
        <v>92</v>
      </c>
      <c r="P1698" s="55" t="s">
        <v>8066</v>
      </c>
      <c r="Q1698" s="50">
        <v>13535.0</v>
      </c>
      <c r="R1698" s="50">
        <v>14612.0</v>
      </c>
      <c r="S1698" s="50" t="s">
        <v>1311</v>
      </c>
      <c r="T1698" s="56" t="s">
        <v>10729</v>
      </c>
      <c r="U1698" s="53" t="s">
        <v>8054</v>
      </c>
    </row>
    <row r="1699">
      <c r="A1699" s="54" t="s">
        <v>10730</v>
      </c>
      <c r="B1699" s="50" t="s">
        <v>10731</v>
      </c>
      <c r="C1699" s="51" t="s">
        <v>10732</v>
      </c>
      <c r="D1699" s="51"/>
      <c r="E1699" s="51"/>
      <c r="F1699" s="51"/>
      <c r="G1699" s="50" t="s">
        <v>10733</v>
      </c>
      <c r="H1699" s="52">
        <v>44683.308541666665</v>
      </c>
      <c r="I1699" s="50"/>
      <c r="J1699" s="50"/>
      <c r="K1699" s="50"/>
      <c r="L1699" s="50"/>
      <c r="M1699" s="50" t="s">
        <v>10734</v>
      </c>
      <c r="N1699" s="50"/>
      <c r="O1699" s="53" t="s">
        <v>70</v>
      </c>
      <c r="P1699" s="55" t="s">
        <v>10735</v>
      </c>
      <c r="Q1699" s="50">
        <v>1295.0</v>
      </c>
      <c r="R1699" s="50">
        <v>3838.0</v>
      </c>
      <c r="S1699" s="50" t="s">
        <v>10736</v>
      </c>
      <c r="T1699" s="56" t="s">
        <v>10737</v>
      </c>
      <c r="U1699" s="53" t="s">
        <v>10738</v>
      </c>
    </row>
    <row r="1700">
      <c r="A1700" s="54" t="s">
        <v>10739</v>
      </c>
      <c r="B1700" s="50" t="s">
        <v>10740</v>
      </c>
      <c r="C1700" s="51" t="s">
        <v>367</v>
      </c>
      <c r="D1700" s="51"/>
      <c r="E1700" s="51"/>
      <c r="F1700" s="51"/>
      <c r="G1700" s="50" t="s">
        <v>10741</v>
      </c>
      <c r="H1700" s="52">
        <v>44683.308391203704</v>
      </c>
      <c r="I1700" s="50"/>
      <c r="J1700" s="50"/>
      <c r="K1700" s="50"/>
      <c r="L1700" s="50"/>
      <c r="M1700" s="50" t="s">
        <v>10742</v>
      </c>
      <c r="N1700" s="50"/>
      <c r="O1700" s="53" t="s">
        <v>60</v>
      </c>
      <c r="P1700" s="55" t="s">
        <v>10743</v>
      </c>
      <c r="Q1700" s="50">
        <v>267.0</v>
      </c>
      <c r="R1700" s="50">
        <v>77.0</v>
      </c>
      <c r="S1700" s="50" t="s">
        <v>163</v>
      </c>
      <c r="T1700" s="56" t="s">
        <v>10744</v>
      </c>
      <c r="U1700" s="53" t="s">
        <v>370</v>
      </c>
    </row>
    <row r="1701">
      <c r="A1701" s="54" t="s">
        <v>10745</v>
      </c>
      <c r="B1701" s="50" t="s">
        <v>10746</v>
      </c>
      <c r="C1701" s="51" t="s">
        <v>10747</v>
      </c>
      <c r="D1701" s="51"/>
      <c r="E1701" s="51"/>
      <c r="F1701" s="51"/>
      <c r="G1701" s="50" t="s">
        <v>10748</v>
      </c>
      <c r="H1701" s="52">
        <v>44683.30837962963</v>
      </c>
      <c r="I1701" s="50"/>
      <c r="J1701" s="50"/>
      <c r="K1701" s="50" t="s">
        <v>10749</v>
      </c>
      <c r="L1701" s="50" t="s">
        <v>10746</v>
      </c>
      <c r="M1701" s="50" t="s">
        <v>10749</v>
      </c>
      <c r="N1701" s="50" t="s">
        <v>10750</v>
      </c>
      <c r="O1701" s="53" t="s">
        <v>92</v>
      </c>
      <c r="P1701" s="55" t="s">
        <v>10751</v>
      </c>
      <c r="Q1701" s="50">
        <v>6880.0</v>
      </c>
      <c r="R1701" s="50">
        <v>4573.0</v>
      </c>
      <c r="S1701" s="50" t="s">
        <v>1311</v>
      </c>
      <c r="T1701" s="56" t="s">
        <v>10752</v>
      </c>
      <c r="U1701" s="53" t="s">
        <v>10753</v>
      </c>
    </row>
    <row r="1702">
      <c r="A1702" s="54" t="s">
        <v>10750</v>
      </c>
      <c r="B1702" s="50" t="s">
        <v>10746</v>
      </c>
      <c r="C1702" s="51" t="s">
        <v>10754</v>
      </c>
      <c r="D1702" s="51"/>
      <c r="E1702" s="51"/>
      <c r="F1702" s="51"/>
      <c r="G1702" s="50" t="s">
        <v>10755</v>
      </c>
      <c r="H1702" s="52">
        <v>44683.30835648148</v>
      </c>
      <c r="I1702" s="50"/>
      <c r="J1702" s="50"/>
      <c r="K1702" s="50" t="s">
        <v>10749</v>
      </c>
      <c r="L1702" s="50" t="s">
        <v>10746</v>
      </c>
      <c r="M1702" s="50" t="s">
        <v>10749</v>
      </c>
      <c r="N1702" s="50" t="s">
        <v>10756</v>
      </c>
      <c r="O1702" s="53" t="s">
        <v>92</v>
      </c>
      <c r="P1702" s="55" t="s">
        <v>10751</v>
      </c>
      <c r="Q1702" s="50">
        <v>6880.0</v>
      </c>
      <c r="R1702" s="50">
        <v>4573.0</v>
      </c>
      <c r="S1702" s="50" t="s">
        <v>1311</v>
      </c>
      <c r="T1702" s="56" t="s">
        <v>10757</v>
      </c>
      <c r="U1702" s="53" t="s">
        <v>10758</v>
      </c>
    </row>
    <row r="1703">
      <c r="A1703" s="54" t="s">
        <v>10759</v>
      </c>
      <c r="B1703" s="50" t="s">
        <v>10760</v>
      </c>
      <c r="C1703" s="51" t="s">
        <v>363</v>
      </c>
      <c r="D1703" s="51"/>
      <c r="E1703" s="51"/>
      <c r="F1703" s="51"/>
      <c r="G1703" s="50" t="s">
        <v>10761</v>
      </c>
      <c r="H1703" s="52">
        <v>44683.30832175926</v>
      </c>
      <c r="I1703" s="50"/>
      <c r="J1703" s="50"/>
      <c r="K1703" s="50"/>
      <c r="L1703" s="50"/>
      <c r="M1703" s="50" t="s">
        <v>10762</v>
      </c>
      <c r="N1703" s="50"/>
      <c r="O1703" s="53" t="s">
        <v>70</v>
      </c>
      <c r="P1703" s="55" t="s">
        <v>354</v>
      </c>
      <c r="Q1703" s="50">
        <v>16.0</v>
      </c>
      <c r="R1703" s="50">
        <v>62.0</v>
      </c>
      <c r="S1703" s="50"/>
      <c r="T1703" s="56" t="s">
        <v>10763</v>
      </c>
      <c r="U1703" s="53" t="s">
        <v>332</v>
      </c>
    </row>
    <row r="1704">
      <c r="A1704" s="54" t="s">
        <v>10764</v>
      </c>
      <c r="B1704" s="50" t="s">
        <v>10765</v>
      </c>
      <c r="C1704" s="51" t="s">
        <v>1307</v>
      </c>
      <c r="D1704" s="51"/>
      <c r="E1704" s="51"/>
      <c r="F1704" s="51"/>
      <c r="G1704" s="50" t="s">
        <v>10766</v>
      </c>
      <c r="H1704" s="52">
        <v>44683.308171296296</v>
      </c>
      <c r="I1704" s="50"/>
      <c r="J1704" s="50"/>
      <c r="K1704" s="50"/>
      <c r="L1704" s="50"/>
      <c r="M1704" s="50" t="s">
        <v>10767</v>
      </c>
      <c r="N1704" s="50"/>
      <c r="O1704" s="53" t="s">
        <v>60</v>
      </c>
      <c r="P1704" s="55" t="s">
        <v>10768</v>
      </c>
      <c r="Q1704" s="50">
        <v>13342.0</v>
      </c>
      <c r="R1704" s="50">
        <v>12217.0</v>
      </c>
      <c r="S1704" s="50"/>
      <c r="T1704" s="56" t="s">
        <v>10769</v>
      </c>
      <c r="U1704" s="53" t="s">
        <v>1313</v>
      </c>
    </row>
    <row r="1705">
      <c r="A1705" s="54" t="s">
        <v>10770</v>
      </c>
      <c r="B1705" s="50" t="s">
        <v>10771</v>
      </c>
      <c r="C1705" s="51" t="s">
        <v>329</v>
      </c>
      <c r="D1705" s="51"/>
      <c r="E1705" s="51"/>
      <c r="F1705" s="51"/>
      <c r="G1705" s="50" t="s">
        <v>10766</v>
      </c>
      <c r="H1705" s="52">
        <v>44683.308171296296</v>
      </c>
      <c r="I1705" s="50"/>
      <c r="J1705" s="50"/>
      <c r="K1705" s="50"/>
      <c r="L1705" s="50"/>
      <c r="M1705" s="50" t="s">
        <v>10772</v>
      </c>
      <c r="N1705" s="50"/>
      <c r="O1705" s="53" t="s">
        <v>70</v>
      </c>
      <c r="P1705" s="55" t="s">
        <v>10773</v>
      </c>
      <c r="Q1705" s="50">
        <v>590.0</v>
      </c>
      <c r="R1705" s="50">
        <v>1026.0</v>
      </c>
      <c r="S1705" s="50" t="s">
        <v>10774</v>
      </c>
      <c r="T1705" s="56" t="s">
        <v>10775</v>
      </c>
      <c r="U1705" s="53" t="s">
        <v>332</v>
      </c>
    </row>
    <row r="1706">
      <c r="A1706" s="54" t="s">
        <v>10776</v>
      </c>
      <c r="B1706" s="50" t="s">
        <v>10760</v>
      </c>
      <c r="C1706" s="51" t="s">
        <v>367</v>
      </c>
      <c r="D1706" s="51"/>
      <c r="E1706" s="51"/>
      <c r="F1706" s="51"/>
      <c r="G1706" s="50" t="s">
        <v>10777</v>
      </c>
      <c r="H1706" s="52">
        <v>44683.30809027777</v>
      </c>
      <c r="I1706" s="50"/>
      <c r="J1706" s="50"/>
      <c r="K1706" s="50"/>
      <c r="L1706" s="50"/>
      <c r="M1706" s="50" t="s">
        <v>10762</v>
      </c>
      <c r="N1706" s="50"/>
      <c r="O1706" s="53" t="s">
        <v>70</v>
      </c>
      <c r="P1706" s="55" t="s">
        <v>354</v>
      </c>
      <c r="Q1706" s="50">
        <v>16.0</v>
      </c>
      <c r="R1706" s="50">
        <v>62.0</v>
      </c>
      <c r="S1706" s="50"/>
      <c r="T1706" s="56" t="s">
        <v>10778</v>
      </c>
      <c r="U1706" s="53" t="s">
        <v>370</v>
      </c>
    </row>
    <row r="1707">
      <c r="A1707" s="54" t="s">
        <v>10779</v>
      </c>
      <c r="B1707" s="50" t="s">
        <v>10771</v>
      </c>
      <c r="C1707" s="51" t="s">
        <v>335</v>
      </c>
      <c r="D1707" s="51"/>
      <c r="E1707" s="51"/>
      <c r="F1707" s="51"/>
      <c r="G1707" s="50" t="s">
        <v>10780</v>
      </c>
      <c r="H1707" s="52">
        <v>44683.308020833334</v>
      </c>
      <c r="I1707" s="50"/>
      <c r="J1707" s="50"/>
      <c r="K1707" s="50"/>
      <c r="L1707" s="50"/>
      <c r="M1707" s="50" t="s">
        <v>10772</v>
      </c>
      <c r="N1707" s="50"/>
      <c r="O1707" s="53" t="s">
        <v>70</v>
      </c>
      <c r="P1707" s="55" t="s">
        <v>10773</v>
      </c>
      <c r="Q1707" s="50">
        <v>590.0</v>
      </c>
      <c r="R1707" s="50">
        <v>1026.0</v>
      </c>
      <c r="S1707" s="50" t="s">
        <v>10774</v>
      </c>
      <c r="T1707" s="56" t="s">
        <v>10781</v>
      </c>
      <c r="U1707" s="53" t="s">
        <v>339</v>
      </c>
    </row>
    <row r="1708">
      <c r="A1708" s="54" t="s">
        <v>10782</v>
      </c>
      <c r="B1708" s="50" t="s">
        <v>10783</v>
      </c>
      <c r="C1708" s="51" t="s">
        <v>367</v>
      </c>
      <c r="D1708" s="51"/>
      <c r="E1708" s="51"/>
      <c r="F1708" s="51"/>
      <c r="G1708" s="50" t="s">
        <v>10784</v>
      </c>
      <c r="H1708" s="52">
        <v>44683.307962962965</v>
      </c>
      <c r="I1708" s="50"/>
      <c r="J1708" s="50"/>
      <c r="K1708" s="50"/>
      <c r="L1708" s="50"/>
      <c r="M1708" s="50" t="s">
        <v>10785</v>
      </c>
      <c r="N1708" s="50"/>
      <c r="O1708" s="53" t="s">
        <v>92</v>
      </c>
      <c r="P1708" s="55" t="s">
        <v>10786</v>
      </c>
      <c r="Q1708" s="50">
        <v>50.0</v>
      </c>
      <c r="R1708" s="50">
        <v>241.0</v>
      </c>
      <c r="S1708" s="50"/>
      <c r="T1708" s="56" t="s">
        <v>10787</v>
      </c>
      <c r="U1708" s="53" t="s">
        <v>370</v>
      </c>
    </row>
    <row r="1709">
      <c r="A1709" s="54" t="s">
        <v>10788</v>
      </c>
      <c r="B1709" s="50" t="s">
        <v>10604</v>
      </c>
      <c r="C1709" s="51" t="s">
        <v>10789</v>
      </c>
      <c r="D1709" s="51"/>
      <c r="E1709" s="51"/>
      <c r="F1709" s="51"/>
      <c r="G1709" s="50" t="s">
        <v>10790</v>
      </c>
      <c r="H1709" s="52">
        <v>44683.30792824074</v>
      </c>
      <c r="I1709" s="50"/>
      <c r="J1709" s="50"/>
      <c r="K1709" s="50" t="s">
        <v>10791</v>
      </c>
      <c r="L1709" s="50" t="s">
        <v>10792</v>
      </c>
      <c r="M1709" s="50" t="s">
        <v>10607</v>
      </c>
      <c r="N1709" s="50" t="s">
        <v>10793</v>
      </c>
      <c r="O1709" s="53" t="s">
        <v>217</v>
      </c>
      <c r="P1709" s="55" t="s">
        <v>10608</v>
      </c>
      <c r="Q1709" s="50">
        <v>163.0</v>
      </c>
      <c r="R1709" s="50">
        <v>1402.0</v>
      </c>
      <c r="S1709" s="50" t="s">
        <v>10609</v>
      </c>
      <c r="T1709" s="56" t="s">
        <v>10794</v>
      </c>
      <c r="U1709" s="53" t="s">
        <v>10795</v>
      </c>
    </row>
    <row r="1710">
      <c r="A1710" s="54" t="s">
        <v>10796</v>
      </c>
      <c r="B1710" s="50" t="s">
        <v>10771</v>
      </c>
      <c r="C1710" s="51" t="s">
        <v>363</v>
      </c>
      <c r="D1710" s="51"/>
      <c r="E1710" s="51"/>
      <c r="F1710" s="51"/>
      <c r="G1710" s="50" t="s">
        <v>10797</v>
      </c>
      <c r="H1710" s="52">
        <v>44683.30790509259</v>
      </c>
      <c r="I1710" s="50"/>
      <c r="J1710" s="50"/>
      <c r="K1710" s="50"/>
      <c r="L1710" s="50"/>
      <c r="M1710" s="50" t="s">
        <v>10772</v>
      </c>
      <c r="N1710" s="50"/>
      <c r="O1710" s="53" t="s">
        <v>70</v>
      </c>
      <c r="P1710" s="55" t="s">
        <v>10773</v>
      </c>
      <c r="Q1710" s="50">
        <v>590.0</v>
      </c>
      <c r="R1710" s="50">
        <v>1026.0</v>
      </c>
      <c r="S1710" s="50" t="s">
        <v>10774</v>
      </c>
      <c r="T1710" s="56" t="s">
        <v>10798</v>
      </c>
      <c r="U1710" s="53" t="s">
        <v>332</v>
      </c>
    </row>
    <row r="1711">
      <c r="A1711" s="54" t="s">
        <v>10799</v>
      </c>
      <c r="B1711" s="50" t="s">
        <v>10800</v>
      </c>
      <c r="C1711" s="51" t="s">
        <v>1803</v>
      </c>
      <c r="D1711" s="51"/>
      <c r="E1711" s="51"/>
      <c r="F1711" s="51"/>
      <c r="G1711" s="50" t="s">
        <v>10801</v>
      </c>
      <c r="H1711" s="52">
        <v>44683.30789351852</v>
      </c>
      <c r="I1711" s="50"/>
      <c r="J1711" s="50"/>
      <c r="K1711" s="50"/>
      <c r="L1711" s="50"/>
      <c r="M1711" s="50" t="s">
        <v>10802</v>
      </c>
      <c r="N1711" s="50"/>
      <c r="O1711" s="53" t="s">
        <v>92</v>
      </c>
      <c r="P1711" s="55" t="s">
        <v>10803</v>
      </c>
      <c r="Q1711" s="50">
        <v>667.0</v>
      </c>
      <c r="R1711" s="50">
        <v>698.0</v>
      </c>
      <c r="S1711" s="50" t="s">
        <v>10804</v>
      </c>
      <c r="T1711" s="56" t="s">
        <v>10805</v>
      </c>
      <c r="U1711" s="53" t="s">
        <v>1809</v>
      </c>
    </row>
    <row r="1712">
      <c r="A1712" s="54" t="s">
        <v>10806</v>
      </c>
      <c r="B1712" s="50" t="s">
        <v>10807</v>
      </c>
      <c r="C1712" s="51" t="s">
        <v>5847</v>
      </c>
      <c r="D1712" s="51"/>
      <c r="E1712" s="51"/>
      <c r="F1712" s="51"/>
      <c r="G1712" s="50" t="s">
        <v>10808</v>
      </c>
      <c r="H1712" s="52">
        <v>44683.307847222226</v>
      </c>
      <c r="I1712" s="50"/>
      <c r="J1712" s="50"/>
      <c r="K1712" s="50"/>
      <c r="L1712" s="50"/>
      <c r="M1712" s="50" t="s">
        <v>10809</v>
      </c>
      <c r="N1712" s="50"/>
      <c r="O1712" s="53" t="s">
        <v>60</v>
      </c>
      <c r="P1712" s="55" t="s">
        <v>10810</v>
      </c>
      <c r="Q1712" s="50">
        <v>564.0</v>
      </c>
      <c r="R1712" s="50">
        <v>738.0</v>
      </c>
      <c r="S1712" s="50" t="s">
        <v>658</v>
      </c>
      <c r="T1712" s="56" t="s">
        <v>10811</v>
      </c>
      <c r="U1712" s="53" t="s">
        <v>5853</v>
      </c>
    </row>
    <row r="1713">
      <c r="A1713" s="54" t="s">
        <v>10812</v>
      </c>
      <c r="B1713" s="50" t="s">
        <v>10813</v>
      </c>
      <c r="C1713" s="51" t="s">
        <v>363</v>
      </c>
      <c r="D1713" s="51"/>
      <c r="E1713" s="51"/>
      <c r="F1713" s="51"/>
      <c r="G1713" s="50" t="s">
        <v>10814</v>
      </c>
      <c r="H1713" s="52">
        <v>44683.30774305556</v>
      </c>
      <c r="I1713" s="50"/>
      <c r="J1713" s="50"/>
      <c r="K1713" s="50"/>
      <c r="L1713" s="50"/>
      <c r="M1713" s="50" t="s">
        <v>10815</v>
      </c>
      <c r="N1713" s="50"/>
      <c r="O1713" s="53" t="s">
        <v>70</v>
      </c>
      <c r="P1713" s="55" t="s">
        <v>10816</v>
      </c>
      <c r="Q1713" s="50">
        <v>670.0</v>
      </c>
      <c r="R1713" s="50">
        <v>2778.0</v>
      </c>
      <c r="S1713" s="50" t="s">
        <v>10817</v>
      </c>
      <c r="T1713" s="56" t="s">
        <v>10818</v>
      </c>
      <c r="U1713" s="53" t="s">
        <v>332</v>
      </c>
    </row>
    <row r="1714">
      <c r="A1714" s="54" t="s">
        <v>10819</v>
      </c>
      <c r="B1714" s="50" t="s">
        <v>10771</v>
      </c>
      <c r="C1714" s="51" t="s">
        <v>367</v>
      </c>
      <c r="D1714" s="51"/>
      <c r="E1714" s="51"/>
      <c r="F1714" s="51"/>
      <c r="G1714" s="50" t="s">
        <v>10820</v>
      </c>
      <c r="H1714" s="52">
        <v>44683.30767361111</v>
      </c>
      <c r="I1714" s="50"/>
      <c r="J1714" s="50"/>
      <c r="K1714" s="50"/>
      <c r="L1714" s="50"/>
      <c r="M1714" s="50" t="s">
        <v>10772</v>
      </c>
      <c r="N1714" s="50"/>
      <c r="O1714" s="53" t="s">
        <v>70</v>
      </c>
      <c r="P1714" s="55" t="s">
        <v>10773</v>
      </c>
      <c r="Q1714" s="50">
        <v>590.0</v>
      </c>
      <c r="R1714" s="50">
        <v>1026.0</v>
      </c>
      <c r="S1714" s="50" t="s">
        <v>10774</v>
      </c>
      <c r="T1714" s="56" t="s">
        <v>10821</v>
      </c>
      <c r="U1714" s="53" t="s">
        <v>370</v>
      </c>
    </row>
    <row r="1715">
      <c r="A1715" s="54" t="s">
        <v>10822</v>
      </c>
      <c r="B1715" s="50" t="s">
        <v>10823</v>
      </c>
      <c r="C1715" s="51" t="s">
        <v>316</v>
      </c>
      <c r="D1715" s="51"/>
      <c r="E1715" s="51"/>
      <c r="F1715" s="51"/>
      <c r="G1715" s="50" t="s">
        <v>10824</v>
      </c>
      <c r="H1715" s="52">
        <v>44683.307488425926</v>
      </c>
      <c r="I1715" s="50"/>
      <c r="J1715" s="50"/>
      <c r="K1715" s="50"/>
      <c r="L1715" s="50"/>
      <c r="M1715" s="50" t="s">
        <v>10825</v>
      </c>
      <c r="N1715" s="50"/>
      <c r="O1715" s="53" t="s">
        <v>92</v>
      </c>
      <c r="P1715" s="55" t="s">
        <v>10826</v>
      </c>
      <c r="Q1715" s="50">
        <v>607.0</v>
      </c>
      <c r="R1715" s="50">
        <v>949.0</v>
      </c>
      <c r="S1715" s="50" t="s">
        <v>219</v>
      </c>
      <c r="T1715" s="56" t="s">
        <v>10827</v>
      </c>
      <c r="U1715" s="53" t="s">
        <v>322</v>
      </c>
    </row>
    <row r="1716">
      <c r="A1716" s="54" t="s">
        <v>10828</v>
      </c>
      <c r="B1716" s="50" t="s">
        <v>10829</v>
      </c>
      <c r="C1716" s="51" t="s">
        <v>316</v>
      </c>
      <c r="D1716" s="51"/>
      <c r="E1716" s="51"/>
      <c r="F1716" s="51"/>
      <c r="G1716" s="50" t="s">
        <v>10830</v>
      </c>
      <c r="H1716" s="52">
        <v>44683.307222222225</v>
      </c>
      <c r="I1716" s="50"/>
      <c r="J1716" s="50"/>
      <c r="K1716" s="50"/>
      <c r="L1716" s="50"/>
      <c r="M1716" s="50" t="s">
        <v>10831</v>
      </c>
      <c r="N1716" s="50"/>
      <c r="O1716" s="53" t="s">
        <v>70</v>
      </c>
      <c r="P1716" s="55" t="s">
        <v>10832</v>
      </c>
      <c r="Q1716" s="50">
        <v>3208.0</v>
      </c>
      <c r="R1716" s="50">
        <v>3621.0</v>
      </c>
      <c r="S1716" s="50" t="s">
        <v>10833</v>
      </c>
      <c r="T1716" s="56" t="s">
        <v>10834</v>
      </c>
      <c r="U1716" s="53" t="s">
        <v>322</v>
      </c>
    </row>
    <row r="1717">
      <c r="A1717" s="54" t="s">
        <v>10835</v>
      </c>
      <c r="B1717" s="50" t="s">
        <v>10836</v>
      </c>
      <c r="C1717" s="51" t="s">
        <v>367</v>
      </c>
      <c r="D1717" s="51"/>
      <c r="E1717" s="51"/>
      <c r="F1717" s="51"/>
      <c r="G1717" s="50" t="s">
        <v>10837</v>
      </c>
      <c r="H1717" s="52">
        <v>44683.3071875</v>
      </c>
      <c r="I1717" s="50"/>
      <c r="J1717" s="50"/>
      <c r="K1717" s="50"/>
      <c r="L1717" s="50"/>
      <c r="M1717" s="50" t="s">
        <v>10838</v>
      </c>
      <c r="N1717" s="50"/>
      <c r="O1717" s="53" t="s">
        <v>70</v>
      </c>
      <c r="P1717" s="55" t="s">
        <v>10839</v>
      </c>
      <c r="Q1717" s="50">
        <v>54.0</v>
      </c>
      <c r="R1717" s="50">
        <v>221.0</v>
      </c>
      <c r="S1717" s="50"/>
      <c r="T1717" s="56" t="s">
        <v>10840</v>
      </c>
      <c r="U1717" s="53" t="s">
        <v>370</v>
      </c>
    </row>
    <row r="1718">
      <c r="A1718" s="54" t="s">
        <v>10841</v>
      </c>
      <c r="B1718" s="50" t="s">
        <v>10829</v>
      </c>
      <c r="C1718" s="51" t="s">
        <v>335</v>
      </c>
      <c r="D1718" s="51"/>
      <c r="E1718" s="51"/>
      <c r="F1718" s="51"/>
      <c r="G1718" s="50" t="s">
        <v>10842</v>
      </c>
      <c r="H1718" s="52">
        <v>44683.30693287037</v>
      </c>
      <c r="I1718" s="50"/>
      <c r="J1718" s="50"/>
      <c r="K1718" s="50"/>
      <c r="L1718" s="50"/>
      <c r="M1718" s="50" t="s">
        <v>10831</v>
      </c>
      <c r="N1718" s="50"/>
      <c r="O1718" s="53" t="s">
        <v>70</v>
      </c>
      <c r="P1718" s="55" t="s">
        <v>10832</v>
      </c>
      <c r="Q1718" s="50">
        <v>3208.0</v>
      </c>
      <c r="R1718" s="50">
        <v>3621.0</v>
      </c>
      <c r="S1718" s="50" t="s">
        <v>10833</v>
      </c>
      <c r="T1718" s="56" t="s">
        <v>10843</v>
      </c>
      <c r="U1718" s="53" t="s">
        <v>339</v>
      </c>
    </row>
    <row r="1719">
      <c r="A1719" s="54" t="s">
        <v>10844</v>
      </c>
      <c r="B1719" s="50" t="s">
        <v>10845</v>
      </c>
      <c r="C1719" s="51" t="s">
        <v>367</v>
      </c>
      <c r="D1719" s="51"/>
      <c r="E1719" s="51"/>
      <c r="F1719" s="51"/>
      <c r="G1719" s="50" t="s">
        <v>10846</v>
      </c>
      <c r="H1719" s="52">
        <v>44683.306921296295</v>
      </c>
      <c r="I1719" s="50"/>
      <c r="J1719" s="50"/>
      <c r="K1719" s="50"/>
      <c r="L1719" s="50"/>
      <c r="M1719" s="50" t="s">
        <v>10847</v>
      </c>
      <c r="N1719" s="50"/>
      <c r="O1719" s="53" t="s">
        <v>60</v>
      </c>
      <c r="P1719" s="55" t="s">
        <v>10848</v>
      </c>
      <c r="Q1719" s="50">
        <v>532.0</v>
      </c>
      <c r="R1719" s="50">
        <v>516.0</v>
      </c>
      <c r="S1719" s="50" t="s">
        <v>1337</v>
      </c>
      <c r="T1719" s="56" t="s">
        <v>10849</v>
      </c>
      <c r="U1719" s="53" t="s">
        <v>370</v>
      </c>
    </row>
    <row r="1720">
      <c r="A1720" s="54" t="s">
        <v>10850</v>
      </c>
      <c r="B1720" s="50" t="s">
        <v>10851</v>
      </c>
      <c r="C1720" s="51" t="s">
        <v>363</v>
      </c>
      <c r="D1720" s="51"/>
      <c r="E1720" s="51"/>
      <c r="F1720" s="51"/>
      <c r="G1720" s="50" t="s">
        <v>10852</v>
      </c>
      <c r="H1720" s="52">
        <v>44683.30690972222</v>
      </c>
      <c r="I1720" s="50"/>
      <c r="J1720" s="50"/>
      <c r="K1720" s="50"/>
      <c r="L1720" s="50"/>
      <c r="M1720" s="50" t="s">
        <v>10853</v>
      </c>
      <c r="N1720" s="50"/>
      <c r="O1720" s="53" t="s">
        <v>70</v>
      </c>
      <c r="P1720" s="55" t="s">
        <v>10854</v>
      </c>
      <c r="Q1720" s="50">
        <v>265.0</v>
      </c>
      <c r="R1720" s="50">
        <v>633.0</v>
      </c>
      <c r="S1720" s="50"/>
      <c r="T1720" s="56" t="s">
        <v>10855</v>
      </c>
      <c r="U1720" s="53" t="s">
        <v>332</v>
      </c>
    </row>
    <row r="1721">
      <c r="A1721" s="54" t="s">
        <v>10856</v>
      </c>
      <c r="B1721" s="50" t="s">
        <v>10829</v>
      </c>
      <c r="C1721" s="51" t="s">
        <v>363</v>
      </c>
      <c r="D1721" s="51"/>
      <c r="E1721" s="51"/>
      <c r="F1721" s="51"/>
      <c r="G1721" s="50" t="s">
        <v>10857</v>
      </c>
      <c r="H1721" s="52">
        <v>44683.3068287037</v>
      </c>
      <c r="I1721" s="50"/>
      <c r="J1721" s="50"/>
      <c r="K1721" s="50"/>
      <c r="L1721" s="50"/>
      <c r="M1721" s="50" t="s">
        <v>10831</v>
      </c>
      <c r="N1721" s="50"/>
      <c r="O1721" s="53" t="s">
        <v>70</v>
      </c>
      <c r="P1721" s="55" t="s">
        <v>10832</v>
      </c>
      <c r="Q1721" s="50">
        <v>3208.0</v>
      </c>
      <c r="R1721" s="50">
        <v>3621.0</v>
      </c>
      <c r="S1721" s="50" t="s">
        <v>10833</v>
      </c>
      <c r="T1721" s="56" t="s">
        <v>10858</v>
      </c>
      <c r="U1721" s="53" t="s">
        <v>332</v>
      </c>
    </row>
    <row r="1722">
      <c r="A1722" s="54" t="s">
        <v>10859</v>
      </c>
      <c r="B1722" s="50" t="s">
        <v>10860</v>
      </c>
      <c r="C1722" s="51" t="s">
        <v>5847</v>
      </c>
      <c r="D1722" s="51"/>
      <c r="E1722" s="51"/>
      <c r="F1722" s="51"/>
      <c r="G1722" s="50" t="s">
        <v>10861</v>
      </c>
      <c r="H1722" s="52">
        <v>44683.306805555556</v>
      </c>
      <c r="I1722" s="50"/>
      <c r="J1722" s="50"/>
      <c r="K1722" s="50"/>
      <c r="L1722" s="50"/>
      <c r="M1722" s="50" t="s">
        <v>10862</v>
      </c>
      <c r="N1722" s="50"/>
      <c r="O1722" s="53" t="s">
        <v>70</v>
      </c>
      <c r="P1722" s="55" t="s">
        <v>10863</v>
      </c>
      <c r="Q1722" s="50">
        <v>2121.0</v>
      </c>
      <c r="R1722" s="50">
        <v>2302.0</v>
      </c>
      <c r="S1722" s="50"/>
      <c r="T1722" s="56" t="s">
        <v>10864</v>
      </c>
      <c r="U1722" s="53" t="s">
        <v>5853</v>
      </c>
    </row>
    <row r="1723">
      <c r="A1723" s="54" t="s">
        <v>10865</v>
      </c>
      <c r="B1723" s="50" t="s">
        <v>10866</v>
      </c>
      <c r="C1723" s="51" t="s">
        <v>687</v>
      </c>
      <c r="D1723" s="51"/>
      <c r="E1723" s="51"/>
      <c r="F1723" s="51"/>
      <c r="G1723" s="50" t="s">
        <v>10861</v>
      </c>
      <c r="H1723" s="52">
        <v>44683.306805555556</v>
      </c>
      <c r="I1723" s="50"/>
      <c r="J1723" s="50"/>
      <c r="K1723" s="50"/>
      <c r="L1723" s="50"/>
      <c r="M1723" s="50" t="s">
        <v>10867</v>
      </c>
      <c r="N1723" s="50"/>
      <c r="O1723" s="53" t="s">
        <v>60</v>
      </c>
      <c r="P1723" s="55" t="s">
        <v>10868</v>
      </c>
      <c r="Q1723" s="50">
        <v>1017.0</v>
      </c>
      <c r="R1723" s="50">
        <v>74.0</v>
      </c>
      <c r="S1723" s="50" t="s">
        <v>246</v>
      </c>
      <c r="T1723" s="56" t="s">
        <v>10869</v>
      </c>
      <c r="U1723" s="53" t="s">
        <v>691</v>
      </c>
    </row>
    <row r="1724">
      <c r="A1724" s="54" t="s">
        <v>10870</v>
      </c>
      <c r="B1724" s="50" t="s">
        <v>10871</v>
      </c>
      <c r="C1724" s="51" t="s">
        <v>5381</v>
      </c>
      <c r="D1724" s="51"/>
      <c r="E1724" s="51"/>
      <c r="F1724" s="51"/>
      <c r="G1724" s="50" t="s">
        <v>10872</v>
      </c>
      <c r="H1724" s="52">
        <v>44683.30678240741</v>
      </c>
      <c r="I1724" s="50"/>
      <c r="J1724" s="50"/>
      <c r="K1724" s="50"/>
      <c r="L1724" s="50"/>
      <c r="M1724" s="50" t="s">
        <v>10873</v>
      </c>
      <c r="N1724" s="50"/>
      <c r="O1724" s="53" t="s">
        <v>92</v>
      </c>
      <c r="P1724" s="55" t="s">
        <v>10874</v>
      </c>
      <c r="Q1724" s="50">
        <v>118421.0</v>
      </c>
      <c r="R1724" s="50">
        <v>2323.0</v>
      </c>
      <c r="S1724" s="50" t="s">
        <v>1153</v>
      </c>
      <c r="T1724" s="56" t="s">
        <v>10875</v>
      </c>
      <c r="U1724" s="53" t="s">
        <v>5386</v>
      </c>
    </row>
    <row r="1725">
      <c r="A1725" s="54" t="s">
        <v>10876</v>
      </c>
      <c r="B1725" s="50" t="s">
        <v>10823</v>
      </c>
      <c r="C1725" s="51" t="s">
        <v>367</v>
      </c>
      <c r="D1725" s="51"/>
      <c r="E1725" s="51"/>
      <c r="F1725" s="51"/>
      <c r="G1725" s="50" t="s">
        <v>10877</v>
      </c>
      <c r="H1725" s="52">
        <v>44683.30677083333</v>
      </c>
      <c r="I1725" s="50"/>
      <c r="J1725" s="50"/>
      <c r="K1725" s="50"/>
      <c r="L1725" s="50"/>
      <c r="M1725" s="50" t="s">
        <v>10825</v>
      </c>
      <c r="N1725" s="50"/>
      <c r="O1725" s="53" t="s">
        <v>92</v>
      </c>
      <c r="P1725" s="55" t="s">
        <v>10826</v>
      </c>
      <c r="Q1725" s="50">
        <v>607.0</v>
      </c>
      <c r="R1725" s="50">
        <v>949.0</v>
      </c>
      <c r="S1725" s="50" t="s">
        <v>219</v>
      </c>
      <c r="T1725" s="56" t="s">
        <v>10878</v>
      </c>
      <c r="U1725" s="53" t="s">
        <v>370</v>
      </c>
    </row>
    <row r="1726">
      <c r="A1726" s="54" t="s">
        <v>10879</v>
      </c>
      <c r="B1726" s="50" t="s">
        <v>625</v>
      </c>
      <c r="C1726" s="51" t="s">
        <v>10880</v>
      </c>
      <c r="D1726" s="51"/>
      <c r="E1726" s="51"/>
      <c r="F1726" s="51"/>
      <c r="G1726" s="50" t="s">
        <v>10881</v>
      </c>
      <c r="H1726" s="52">
        <v>44683.30673611111</v>
      </c>
      <c r="I1726" s="50"/>
      <c r="J1726" s="50"/>
      <c r="K1726" s="50" t="s">
        <v>10882</v>
      </c>
      <c r="L1726" s="50" t="s">
        <v>10883</v>
      </c>
      <c r="M1726" s="50" t="s">
        <v>630</v>
      </c>
      <c r="N1726" s="50" t="s">
        <v>10884</v>
      </c>
      <c r="O1726" s="53" t="s">
        <v>60</v>
      </c>
      <c r="P1726" s="55" t="s">
        <v>632</v>
      </c>
      <c r="Q1726" s="50">
        <v>5102.0</v>
      </c>
      <c r="R1726" s="50">
        <v>4680.0</v>
      </c>
      <c r="S1726" s="50"/>
      <c r="T1726" s="56" t="s">
        <v>10885</v>
      </c>
      <c r="U1726" s="53" t="s">
        <v>10886</v>
      </c>
    </row>
    <row r="1727">
      <c r="A1727" s="54" t="s">
        <v>10887</v>
      </c>
      <c r="B1727" s="50" t="s">
        <v>10888</v>
      </c>
      <c r="C1727" s="51" t="s">
        <v>367</v>
      </c>
      <c r="D1727" s="51"/>
      <c r="E1727" s="51"/>
      <c r="F1727" s="51"/>
      <c r="G1727" s="50" t="s">
        <v>10889</v>
      </c>
      <c r="H1727" s="52">
        <v>44683.306550925925</v>
      </c>
      <c r="I1727" s="50"/>
      <c r="J1727" s="50"/>
      <c r="K1727" s="50"/>
      <c r="L1727" s="50"/>
      <c r="M1727" s="50" t="s">
        <v>10890</v>
      </c>
      <c r="N1727" s="50"/>
      <c r="O1727" s="53" t="s">
        <v>60</v>
      </c>
      <c r="P1727" s="55" t="s">
        <v>10891</v>
      </c>
      <c r="Q1727" s="50">
        <v>496.0</v>
      </c>
      <c r="R1727" s="50">
        <v>1073.0</v>
      </c>
      <c r="S1727" s="50" t="s">
        <v>7576</v>
      </c>
      <c r="T1727" s="56" t="s">
        <v>10892</v>
      </c>
      <c r="U1727" s="53" t="s">
        <v>370</v>
      </c>
    </row>
    <row r="1728">
      <c r="A1728" s="54" t="s">
        <v>10893</v>
      </c>
      <c r="B1728" s="50" t="s">
        <v>10829</v>
      </c>
      <c r="C1728" s="51" t="s">
        <v>367</v>
      </c>
      <c r="D1728" s="51"/>
      <c r="E1728" s="51"/>
      <c r="F1728" s="51"/>
      <c r="G1728" s="50" t="s">
        <v>10894</v>
      </c>
      <c r="H1728" s="52">
        <v>44683.3065162037</v>
      </c>
      <c r="I1728" s="50"/>
      <c r="J1728" s="50"/>
      <c r="K1728" s="50"/>
      <c r="L1728" s="50"/>
      <c r="M1728" s="50" t="s">
        <v>10831</v>
      </c>
      <c r="N1728" s="50"/>
      <c r="O1728" s="53" t="s">
        <v>70</v>
      </c>
      <c r="P1728" s="55" t="s">
        <v>10832</v>
      </c>
      <c r="Q1728" s="50">
        <v>3208.0</v>
      </c>
      <c r="R1728" s="50">
        <v>3621.0</v>
      </c>
      <c r="S1728" s="50" t="s">
        <v>10833</v>
      </c>
      <c r="T1728" s="56" t="s">
        <v>10895</v>
      </c>
      <c r="U1728" s="53" t="s">
        <v>370</v>
      </c>
    </row>
    <row r="1729">
      <c r="A1729" s="54" t="s">
        <v>10896</v>
      </c>
      <c r="B1729" s="50" t="s">
        <v>10897</v>
      </c>
      <c r="C1729" s="51" t="s">
        <v>367</v>
      </c>
      <c r="D1729" s="51"/>
      <c r="E1729" s="51"/>
      <c r="F1729" s="51"/>
      <c r="G1729" s="50" t="s">
        <v>10898</v>
      </c>
      <c r="H1729" s="52">
        <v>44683.305972222224</v>
      </c>
      <c r="I1729" s="50"/>
      <c r="J1729" s="50"/>
      <c r="K1729" s="50"/>
      <c r="L1729" s="50"/>
      <c r="M1729" s="50" t="s">
        <v>10899</v>
      </c>
      <c r="N1729" s="50"/>
      <c r="O1729" s="53" t="s">
        <v>217</v>
      </c>
      <c r="P1729" s="55" t="s">
        <v>10900</v>
      </c>
      <c r="Q1729" s="50">
        <v>1220.0</v>
      </c>
      <c r="R1729" s="50">
        <v>1398.0</v>
      </c>
      <c r="S1729" s="50"/>
      <c r="T1729" s="56" t="s">
        <v>10901</v>
      </c>
      <c r="U1729" s="53" t="s">
        <v>370</v>
      </c>
    </row>
    <row r="1730">
      <c r="A1730" s="54" t="s">
        <v>10902</v>
      </c>
      <c r="B1730" s="50" t="s">
        <v>10903</v>
      </c>
      <c r="C1730" s="51" t="s">
        <v>8182</v>
      </c>
      <c r="D1730" s="51"/>
      <c r="E1730" s="51"/>
      <c r="F1730" s="51"/>
      <c r="G1730" s="50" t="s">
        <v>10904</v>
      </c>
      <c r="H1730" s="52">
        <v>44683.30594907407</v>
      </c>
      <c r="I1730" s="50"/>
      <c r="J1730" s="50"/>
      <c r="K1730" s="50"/>
      <c r="L1730" s="50"/>
      <c r="M1730" s="50" t="s">
        <v>10905</v>
      </c>
      <c r="N1730" s="50"/>
      <c r="O1730" s="53" t="s">
        <v>70</v>
      </c>
      <c r="P1730" s="55" t="s">
        <v>10906</v>
      </c>
      <c r="Q1730" s="50">
        <v>5657.0</v>
      </c>
      <c r="R1730" s="50">
        <v>5594.0</v>
      </c>
      <c r="S1730" s="50" t="s">
        <v>5517</v>
      </c>
      <c r="T1730" s="56" t="s">
        <v>10907</v>
      </c>
      <c r="U1730" s="53" t="s">
        <v>8187</v>
      </c>
    </row>
    <row r="1731">
      <c r="A1731" s="54" t="s">
        <v>10908</v>
      </c>
      <c r="B1731" s="50" t="s">
        <v>10547</v>
      </c>
      <c r="C1731" s="51" t="s">
        <v>367</v>
      </c>
      <c r="D1731" s="51"/>
      <c r="E1731" s="51"/>
      <c r="F1731" s="51"/>
      <c r="G1731" s="50" t="s">
        <v>10909</v>
      </c>
      <c r="H1731" s="52">
        <v>44683.30590277778</v>
      </c>
      <c r="I1731" s="50"/>
      <c r="J1731" s="50"/>
      <c r="K1731" s="50"/>
      <c r="L1731" s="50"/>
      <c r="M1731" s="50" t="s">
        <v>10549</v>
      </c>
      <c r="N1731" s="50"/>
      <c r="O1731" s="53" t="s">
        <v>70</v>
      </c>
      <c r="P1731" s="55" t="s">
        <v>354</v>
      </c>
      <c r="Q1731" s="50">
        <v>71.0</v>
      </c>
      <c r="R1731" s="50">
        <v>991.0</v>
      </c>
      <c r="S1731" s="50"/>
      <c r="T1731" s="56" t="s">
        <v>10910</v>
      </c>
      <c r="U1731" s="53" t="s">
        <v>370</v>
      </c>
    </row>
    <row r="1732">
      <c r="A1732" s="54" t="s">
        <v>10911</v>
      </c>
      <c r="B1732" s="50" t="s">
        <v>10912</v>
      </c>
      <c r="C1732" s="51" t="s">
        <v>316</v>
      </c>
      <c r="D1732" s="51"/>
      <c r="E1732" s="51"/>
      <c r="F1732" s="51"/>
      <c r="G1732" s="50" t="s">
        <v>10913</v>
      </c>
      <c r="H1732" s="52">
        <v>44683.305810185186</v>
      </c>
      <c r="I1732" s="50"/>
      <c r="J1732" s="50"/>
      <c r="K1732" s="50"/>
      <c r="L1732" s="50"/>
      <c r="M1732" s="50" t="s">
        <v>10914</v>
      </c>
      <c r="N1732" s="50"/>
      <c r="O1732" s="53" t="s">
        <v>70</v>
      </c>
      <c r="P1732" s="55" t="s">
        <v>10915</v>
      </c>
      <c r="Q1732" s="50">
        <v>1250.0</v>
      </c>
      <c r="R1732" s="50">
        <v>5003.0</v>
      </c>
      <c r="S1732" s="50" t="s">
        <v>129</v>
      </c>
      <c r="T1732" s="56" t="s">
        <v>10916</v>
      </c>
      <c r="U1732" s="53" t="s">
        <v>322</v>
      </c>
    </row>
    <row r="1733">
      <c r="A1733" s="54" t="s">
        <v>10917</v>
      </c>
      <c r="B1733" s="50" t="s">
        <v>10918</v>
      </c>
      <c r="C1733" s="51" t="s">
        <v>7142</v>
      </c>
      <c r="D1733" s="51"/>
      <c r="E1733" s="51"/>
      <c r="F1733" s="51"/>
      <c r="G1733" s="50" t="s">
        <v>10919</v>
      </c>
      <c r="H1733" s="52">
        <v>44683.305763888886</v>
      </c>
      <c r="I1733" s="50"/>
      <c r="J1733" s="50"/>
      <c r="K1733" s="50"/>
      <c r="L1733" s="50"/>
      <c r="M1733" s="50" t="s">
        <v>10920</v>
      </c>
      <c r="N1733" s="50"/>
      <c r="O1733" s="53" t="s">
        <v>217</v>
      </c>
      <c r="P1733" s="55" t="s">
        <v>10921</v>
      </c>
      <c r="Q1733" s="50">
        <v>514.0</v>
      </c>
      <c r="R1733" s="50">
        <v>567.0</v>
      </c>
      <c r="S1733" s="50" t="s">
        <v>10922</v>
      </c>
      <c r="T1733" s="56" t="s">
        <v>10923</v>
      </c>
      <c r="U1733" s="53" t="s">
        <v>7148</v>
      </c>
    </row>
    <row r="1734">
      <c r="A1734" s="54" t="s">
        <v>10924</v>
      </c>
      <c r="B1734" s="50" t="s">
        <v>10912</v>
      </c>
      <c r="C1734" s="51" t="s">
        <v>329</v>
      </c>
      <c r="D1734" s="51"/>
      <c r="E1734" s="51"/>
      <c r="F1734" s="51"/>
      <c r="G1734" s="50" t="s">
        <v>10925</v>
      </c>
      <c r="H1734" s="52">
        <v>44683.305752314816</v>
      </c>
      <c r="I1734" s="50"/>
      <c r="J1734" s="50"/>
      <c r="K1734" s="50"/>
      <c r="L1734" s="50"/>
      <c r="M1734" s="50" t="s">
        <v>10914</v>
      </c>
      <c r="N1734" s="50"/>
      <c r="O1734" s="53" t="s">
        <v>70</v>
      </c>
      <c r="P1734" s="55" t="s">
        <v>10915</v>
      </c>
      <c r="Q1734" s="50">
        <v>1250.0</v>
      </c>
      <c r="R1734" s="50">
        <v>5003.0</v>
      </c>
      <c r="S1734" s="50" t="s">
        <v>129</v>
      </c>
      <c r="T1734" s="56" t="s">
        <v>10926</v>
      </c>
      <c r="U1734" s="53" t="s">
        <v>332</v>
      </c>
    </row>
    <row r="1735">
      <c r="A1735" s="54" t="s">
        <v>10927</v>
      </c>
      <c r="B1735" s="50" t="s">
        <v>10912</v>
      </c>
      <c r="C1735" s="51" t="s">
        <v>335</v>
      </c>
      <c r="D1735" s="51"/>
      <c r="E1735" s="51"/>
      <c r="F1735" s="51"/>
      <c r="G1735" s="50" t="s">
        <v>10928</v>
      </c>
      <c r="H1735" s="52">
        <v>44683.30571759259</v>
      </c>
      <c r="I1735" s="50"/>
      <c r="J1735" s="50"/>
      <c r="K1735" s="50"/>
      <c r="L1735" s="50"/>
      <c r="M1735" s="50" t="s">
        <v>10914</v>
      </c>
      <c r="N1735" s="50"/>
      <c r="O1735" s="53" t="s">
        <v>70</v>
      </c>
      <c r="P1735" s="55" t="s">
        <v>10915</v>
      </c>
      <c r="Q1735" s="50">
        <v>1250.0</v>
      </c>
      <c r="R1735" s="50">
        <v>5003.0</v>
      </c>
      <c r="S1735" s="50" t="s">
        <v>129</v>
      </c>
      <c r="T1735" s="56" t="s">
        <v>10929</v>
      </c>
      <c r="U1735" s="53" t="s">
        <v>339</v>
      </c>
    </row>
    <row r="1736">
      <c r="A1736" s="54" t="s">
        <v>10930</v>
      </c>
      <c r="B1736" s="50" t="s">
        <v>10931</v>
      </c>
      <c r="C1736" s="51" t="s">
        <v>10932</v>
      </c>
      <c r="D1736" s="51"/>
      <c r="E1736" s="51"/>
      <c r="F1736" s="51"/>
      <c r="G1736" s="50" t="s">
        <v>10933</v>
      </c>
      <c r="H1736" s="52">
        <v>44683.305555555555</v>
      </c>
      <c r="I1736" s="50"/>
      <c r="J1736" s="50"/>
      <c r="K1736" s="50"/>
      <c r="L1736" s="50"/>
      <c r="M1736" s="50" t="s">
        <v>10934</v>
      </c>
      <c r="N1736" s="50"/>
      <c r="O1736" s="53" t="s">
        <v>60</v>
      </c>
      <c r="P1736" s="55" t="s">
        <v>10935</v>
      </c>
      <c r="Q1736" s="50">
        <v>1957.0</v>
      </c>
      <c r="R1736" s="50">
        <v>2249.0</v>
      </c>
      <c r="S1736" s="50" t="s">
        <v>10936</v>
      </c>
      <c r="T1736" s="56" t="s">
        <v>10937</v>
      </c>
      <c r="U1736" s="53" t="s">
        <v>10938</v>
      </c>
    </row>
    <row r="1737">
      <c r="A1737" s="54" t="s">
        <v>10939</v>
      </c>
      <c r="B1737" s="50" t="s">
        <v>10912</v>
      </c>
      <c r="C1737" s="51" t="s">
        <v>363</v>
      </c>
      <c r="D1737" s="51"/>
      <c r="E1737" s="51"/>
      <c r="F1737" s="51"/>
      <c r="G1737" s="50" t="s">
        <v>10940</v>
      </c>
      <c r="H1737" s="52">
        <v>44683.305486111116</v>
      </c>
      <c r="I1737" s="50"/>
      <c r="J1737" s="50"/>
      <c r="K1737" s="50"/>
      <c r="L1737" s="50"/>
      <c r="M1737" s="50" t="s">
        <v>10914</v>
      </c>
      <c r="N1737" s="50"/>
      <c r="O1737" s="53" t="s">
        <v>70</v>
      </c>
      <c r="P1737" s="55" t="s">
        <v>10915</v>
      </c>
      <c r="Q1737" s="50">
        <v>1250.0</v>
      </c>
      <c r="R1737" s="50">
        <v>5003.0</v>
      </c>
      <c r="S1737" s="50" t="s">
        <v>129</v>
      </c>
      <c r="T1737" s="56" t="s">
        <v>10941</v>
      </c>
      <c r="U1737" s="53" t="s">
        <v>332</v>
      </c>
    </row>
    <row r="1738">
      <c r="A1738" s="54" t="s">
        <v>10942</v>
      </c>
      <c r="B1738" s="50" t="s">
        <v>10943</v>
      </c>
      <c r="C1738" s="51" t="s">
        <v>367</v>
      </c>
      <c r="D1738" s="51"/>
      <c r="E1738" s="51"/>
      <c r="F1738" s="51"/>
      <c r="G1738" s="50" t="s">
        <v>10944</v>
      </c>
      <c r="H1738" s="52">
        <v>44683.30541666667</v>
      </c>
      <c r="I1738" s="50"/>
      <c r="J1738" s="50"/>
      <c r="K1738" s="50"/>
      <c r="L1738" s="50"/>
      <c r="M1738" s="50" t="s">
        <v>10945</v>
      </c>
      <c r="N1738" s="50"/>
      <c r="O1738" s="53" t="s">
        <v>70</v>
      </c>
      <c r="P1738" s="55" t="s">
        <v>10946</v>
      </c>
      <c r="Q1738" s="50">
        <v>1174.0</v>
      </c>
      <c r="R1738" s="50">
        <v>4996.0</v>
      </c>
      <c r="S1738" s="50" t="s">
        <v>129</v>
      </c>
      <c r="T1738" s="56" t="s">
        <v>10947</v>
      </c>
      <c r="U1738" s="53" t="s">
        <v>370</v>
      </c>
    </row>
    <row r="1739">
      <c r="A1739" s="54" t="s">
        <v>10948</v>
      </c>
      <c r="B1739" s="50" t="s">
        <v>10949</v>
      </c>
      <c r="C1739" s="51" t="s">
        <v>367</v>
      </c>
      <c r="D1739" s="51"/>
      <c r="E1739" s="51"/>
      <c r="F1739" s="51"/>
      <c r="G1739" s="50" t="s">
        <v>10950</v>
      </c>
      <c r="H1739" s="52">
        <v>44683.30540509259</v>
      </c>
      <c r="I1739" s="50"/>
      <c r="J1739" s="50"/>
      <c r="K1739" s="50"/>
      <c r="L1739" s="50"/>
      <c r="M1739" s="50" t="s">
        <v>10951</v>
      </c>
      <c r="N1739" s="50"/>
      <c r="O1739" s="53" t="s">
        <v>70</v>
      </c>
      <c r="P1739" s="55" t="s">
        <v>10952</v>
      </c>
      <c r="Q1739" s="50">
        <v>108.0</v>
      </c>
      <c r="R1739" s="50">
        <v>413.0</v>
      </c>
      <c r="S1739" s="50"/>
      <c r="T1739" s="56" t="s">
        <v>10953</v>
      </c>
      <c r="U1739" s="53" t="s">
        <v>370</v>
      </c>
    </row>
    <row r="1740">
      <c r="A1740" s="54" t="s">
        <v>10954</v>
      </c>
      <c r="B1740" s="50" t="s">
        <v>10912</v>
      </c>
      <c r="C1740" s="51" t="s">
        <v>367</v>
      </c>
      <c r="D1740" s="51"/>
      <c r="E1740" s="51"/>
      <c r="F1740" s="51"/>
      <c r="G1740" s="50" t="s">
        <v>10955</v>
      </c>
      <c r="H1740" s="52">
        <v>44683.30535879629</v>
      </c>
      <c r="I1740" s="50"/>
      <c r="J1740" s="50"/>
      <c r="K1740" s="50"/>
      <c r="L1740" s="50"/>
      <c r="M1740" s="50" t="s">
        <v>10914</v>
      </c>
      <c r="N1740" s="50"/>
      <c r="O1740" s="53" t="s">
        <v>70</v>
      </c>
      <c r="P1740" s="55" t="s">
        <v>10915</v>
      </c>
      <c r="Q1740" s="50">
        <v>1250.0</v>
      </c>
      <c r="R1740" s="50">
        <v>5003.0</v>
      </c>
      <c r="S1740" s="50" t="s">
        <v>129</v>
      </c>
      <c r="T1740" s="56" t="s">
        <v>10956</v>
      </c>
      <c r="U1740" s="53" t="s">
        <v>370</v>
      </c>
    </row>
    <row r="1741">
      <c r="A1741" s="54" t="s">
        <v>10957</v>
      </c>
      <c r="B1741" s="50" t="s">
        <v>10958</v>
      </c>
      <c r="C1741" s="51" t="s">
        <v>316</v>
      </c>
      <c r="D1741" s="51"/>
      <c r="E1741" s="51"/>
      <c r="F1741" s="51"/>
      <c r="G1741" s="50" t="s">
        <v>10959</v>
      </c>
      <c r="H1741" s="52">
        <v>44683.305347222224</v>
      </c>
      <c r="I1741" s="50"/>
      <c r="J1741" s="50"/>
      <c r="K1741" s="50"/>
      <c r="L1741" s="50"/>
      <c r="M1741" s="50" t="s">
        <v>10960</v>
      </c>
      <c r="N1741" s="50"/>
      <c r="O1741" s="53" t="s">
        <v>70</v>
      </c>
      <c r="P1741" s="55" t="s">
        <v>10961</v>
      </c>
      <c r="Q1741" s="50">
        <v>6039.0</v>
      </c>
      <c r="R1741" s="50">
        <v>6641.0</v>
      </c>
      <c r="S1741" s="50" t="s">
        <v>10962</v>
      </c>
      <c r="T1741" s="56" t="s">
        <v>10963</v>
      </c>
      <c r="U1741" s="53" t="s">
        <v>322</v>
      </c>
    </row>
    <row r="1742">
      <c r="A1742" s="54" t="s">
        <v>10964</v>
      </c>
      <c r="B1742" s="50" t="s">
        <v>10965</v>
      </c>
      <c r="C1742" s="51" t="s">
        <v>10966</v>
      </c>
      <c r="D1742" s="51"/>
      <c r="E1742" s="51"/>
      <c r="F1742" s="51"/>
      <c r="G1742" s="50" t="s">
        <v>10967</v>
      </c>
      <c r="H1742" s="52">
        <v>44683.304976851854</v>
      </c>
      <c r="I1742" s="50"/>
      <c r="J1742" s="50"/>
      <c r="K1742" s="50"/>
      <c r="L1742" s="50"/>
      <c r="M1742" s="50" t="s">
        <v>10968</v>
      </c>
      <c r="N1742" s="50"/>
      <c r="O1742" s="53" t="s">
        <v>92</v>
      </c>
      <c r="P1742" s="55" t="s">
        <v>10969</v>
      </c>
      <c r="Q1742" s="50">
        <v>462.0</v>
      </c>
      <c r="R1742" s="50">
        <v>1862.0</v>
      </c>
      <c r="S1742" s="50" t="s">
        <v>10970</v>
      </c>
      <c r="T1742" s="56" t="s">
        <v>10971</v>
      </c>
      <c r="U1742" s="53" t="s">
        <v>10972</v>
      </c>
    </row>
    <row r="1743">
      <c r="A1743" s="54" t="s">
        <v>10973</v>
      </c>
      <c r="B1743" s="50" t="s">
        <v>10974</v>
      </c>
      <c r="C1743" s="51" t="s">
        <v>367</v>
      </c>
      <c r="D1743" s="51"/>
      <c r="E1743" s="51"/>
      <c r="F1743" s="51"/>
      <c r="G1743" s="50" t="s">
        <v>10975</v>
      </c>
      <c r="H1743" s="52">
        <v>44683.304861111115</v>
      </c>
      <c r="I1743" s="50"/>
      <c r="J1743" s="50"/>
      <c r="K1743" s="50"/>
      <c r="L1743" s="50"/>
      <c r="M1743" s="50" t="s">
        <v>10976</v>
      </c>
      <c r="N1743" s="50"/>
      <c r="O1743" s="53" t="s">
        <v>92</v>
      </c>
      <c r="P1743" s="55" t="s">
        <v>354</v>
      </c>
      <c r="Q1743" s="50">
        <v>17.0</v>
      </c>
      <c r="R1743" s="50">
        <v>29.0</v>
      </c>
      <c r="S1743" s="50"/>
      <c r="T1743" s="56" t="s">
        <v>10977</v>
      </c>
      <c r="U1743" s="53" t="s">
        <v>370</v>
      </c>
    </row>
    <row r="1744">
      <c r="A1744" s="54" t="s">
        <v>10978</v>
      </c>
      <c r="B1744" s="50" t="s">
        <v>10979</v>
      </c>
      <c r="C1744" s="51" t="s">
        <v>10980</v>
      </c>
      <c r="D1744" s="51"/>
      <c r="E1744" s="51"/>
      <c r="F1744" s="51"/>
      <c r="G1744" s="50" t="s">
        <v>10981</v>
      </c>
      <c r="H1744" s="52">
        <v>44683.304768518516</v>
      </c>
      <c r="I1744" s="50"/>
      <c r="J1744" s="50"/>
      <c r="K1744" s="50"/>
      <c r="L1744" s="50"/>
      <c r="M1744" s="50" t="s">
        <v>10982</v>
      </c>
      <c r="N1744" s="50"/>
      <c r="O1744" s="53" t="s">
        <v>70</v>
      </c>
      <c r="P1744" s="55" t="s">
        <v>10983</v>
      </c>
      <c r="Q1744" s="50">
        <v>2501.0</v>
      </c>
      <c r="R1744" s="50">
        <v>3858.0</v>
      </c>
      <c r="S1744" s="50" t="s">
        <v>10984</v>
      </c>
      <c r="T1744" s="56" t="s">
        <v>10985</v>
      </c>
      <c r="U1744" s="53" t="s">
        <v>10986</v>
      </c>
    </row>
    <row r="1745">
      <c r="A1745" s="54" t="s">
        <v>10987</v>
      </c>
      <c r="B1745" s="50" t="s">
        <v>10988</v>
      </c>
      <c r="C1745" s="51" t="s">
        <v>10989</v>
      </c>
      <c r="D1745" s="51"/>
      <c r="E1745" s="51"/>
      <c r="F1745" s="51"/>
      <c r="G1745" s="50" t="s">
        <v>10990</v>
      </c>
      <c r="H1745" s="52">
        <v>44683.304560185185</v>
      </c>
      <c r="I1745" s="50"/>
      <c r="J1745" s="50"/>
      <c r="K1745" s="50"/>
      <c r="L1745" s="50"/>
      <c r="M1745" s="50" t="s">
        <v>10991</v>
      </c>
      <c r="N1745" s="50"/>
      <c r="O1745" s="53" t="s">
        <v>60</v>
      </c>
      <c r="P1745" s="55" t="s">
        <v>10992</v>
      </c>
      <c r="Q1745" s="50">
        <v>458.0</v>
      </c>
      <c r="R1745" s="50">
        <v>538.0</v>
      </c>
      <c r="S1745" s="50"/>
      <c r="T1745" s="56" t="s">
        <v>10993</v>
      </c>
      <c r="U1745" s="53" t="s">
        <v>10994</v>
      </c>
    </row>
    <row r="1746">
      <c r="A1746" s="54" t="s">
        <v>10995</v>
      </c>
      <c r="B1746" s="50" t="s">
        <v>10996</v>
      </c>
      <c r="C1746" s="51" t="s">
        <v>316</v>
      </c>
      <c r="D1746" s="51"/>
      <c r="E1746" s="51"/>
      <c r="F1746" s="51"/>
      <c r="G1746" s="50" t="s">
        <v>10997</v>
      </c>
      <c r="H1746" s="52">
        <v>44683.304513888885</v>
      </c>
      <c r="I1746" s="50"/>
      <c r="J1746" s="50"/>
      <c r="K1746" s="50"/>
      <c r="L1746" s="50"/>
      <c r="M1746" s="50" t="s">
        <v>10998</v>
      </c>
      <c r="N1746" s="50"/>
      <c r="O1746" s="53" t="s">
        <v>92</v>
      </c>
      <c r="P1746" s="55" t="s">
        <v>10999</v>
      </c>
      <c r="Q1746" s="50">
        <v>2866.0</v>
      </c>
      <c r="R1746" s="50">
        <v>3716.0</v>
      </c>
      <c r="S1746" s="50" t="s">
        <v>1311</v>
      </c>
      <c r="T1746" s="56" t="s">
        <v>11000</v>
      </c>
      <c r="U1746" s="53" t="s">
        <v>322</v>
      </c>
    </row>
    <row r="1747">
      <c r="A1747" s="54" t="s">
        <v>11001</v>
      </c>
      <c r="B1747" s="50" t="s">
        <v>11002</v>
      </c>
      <c r="C1747" s="51" t="s">
        <v>367</v>
      </c>
      <c r="D1747" s="51"/>
      <c r="E1747" s="51"/>
      <c r="F1747" s="51"/>
      <c r="G1747" s="50" t="s">
        <v>10997</v>
      </c>
      <c r="H1747" s="52">
        <v>44683.304513888885</v>
      </c>
      <c r="I1747" s="50"/>
      <c r="J1747" s="50"/>
      <c r="K1747" s="50"/>
      <c r="L1747" s="50"/>
      <c r="M1747" s="50" t="s">
        <v>11003</v>
      </c>
      <c r="N1747" s="50"/>
      <c r="O1747" s="53" t="s">
        <v>60</v>
      </c>
      <c r="P1747" s="55" t="s">
        <v>11004</v>
      </c>
      <c r="Q1747" s="50">
        <v>6691.0</v>
      </c>
      <c r="R1747" s="50">
        <v>6919.0</v>
      </c>
      <c r="S1747" s="50" t="s">
        <v>4349</v>
      </c>
      <c r="T1747" s="56" t="s">
        <v>11005</v>
      </c>
      <c r="U1747" s="53" t="s">
        <v>370</v>
      </c>
    </row>
    <row r="1748">
      <c r="A1748" s="54" t="s">
        <v>11006</v>
      </c>
      <c r="B1748" s="50" t="s">
        <v>11007</v>
      </c>
      <c r="C1748" s="51" t="s">
        <v>363</v>
      </c>
      <c r="D1748" s="51"/>
      <c r="E1748" s="51"/>
      <c r="F1748" s="51"/>
      <c r="G1748" s="50" t="s">
        <v>11008</v>
      </c>
      <c r="H1748" s="52">
        <v>44683.30447916666</v>
      </c>
      <c r="I1748" s="50"/>
      <c r="J1748" s="50"/>
      <c r="K1748" s="50"/>
      <c r="L1748" s="50"/>
      <c r="M1748" s="50" t="s">
        <v>11009</v>
      </c>
      <c r="N1748" s="50"/>
      <c r="O1748" s="53" t="s">
        <v>70</v>
      </c>
      <c r="P1748" s="55" t="s">
        <v>11010</v>
      </c>
      <c r="Q1748" s="50">
        <v>4742.0</v>
      </c>
      <c r="R1748" s="50">
        <v>5210.0</v>
      </c>
      <c r="S1748" s="50" t="s">
        <v>1311</v>
      </c>
      <c r="T1748" s="56" t="s">
        <v>11011</v>
      </c>
      <c r="U1748" s="53" t="s">
        <v>332</v>
      </c>
    </row>
    <row r="1749">
      <c r="A1749" s="54" t="s">
        <v>11012</v>
      </c>
      <c r="B1749" s="50" t="s">
        <v>11013</v>
      </c>
      <c r="C1749" s="51" t="s">
        <v>367</v>
      </c>
      <c r="D1749" s="51"/>
      <c r="E1749" s="51"/>
      <c r="F1749" s="51"/>
      <c r="G1749" s="50" t="s">
        <v>11014</v>
      </c>
      <c r="H1749" s="52">
        <v>44683.304444444446</v>
      </c>
      <c r="I1749" s="50"/>
      <c r="J1749" s="50"/>
      <c r="K1749" s="50"/>
      <c r="L1749" s="50"/>
      <c r="M1749" s="50" t="s">
        <v>11015</v>
      </c>
      <c r="N1749" s="50"/>
      <c r="O1749" s="53" t="s">
        <v>217</v>
      </c>
      <c r="P1749" s="55" t="s">
        <v>11016</v>
      </c>
      <c r="Q1749" s="50">
        <v>1314.0</v>
      </c>
      <c r="R1749" s="50">
        <v>2462.0</v>
      </c>
      <c r="S1749" s="50" t="s">
        <v>4456</v>
      </c>
      <c r="T1749" s="56" t="s">
        <v>11017</v>
      </c>
      <c r="U1749" s="53" t="s">
        <v>370</v>
      </c>
    </row>
    <row r="1750">
      <c r="A1750" s="54" t="s">
        <v>11018</v>
      </c>
      <c r="B1750" s="50" t="s">
        <v>11019</v>
      </c>
      <c r="C1750" s="51" t="s">
        <v>367</v>
      </c>
      <c r="D1750" s="51"/>
      <c r="E1750" s="51"/>
      <c r="F1750" s="51"/>
      <c r="G1750" s="50" t="s">
        <v>11020</v>
      </c>
      <c r="H1750" s="52">
        <v>44683.30440972222</v>
      </c>
      <c r="I1750" s="50"/>
      <c r="J1750" s="50"/>
      <c r="K1750" s="50"/>
      <c r="L1750" s="50"/>
      <c r="M1750" s="50" t="s">
        <v>11021</v>
      </c>
      <c r="N1750" s="50"/>
      <c r="O1750" s="53" t="s">
        <v>92</v>
      </c>
      <c r="P1750" s="55" t="s">
        <v>11022</v>
      </c>
      <c r="Q1750" s="50">
        <v>134.0</v>
      </c>
      <c r="R1750" s="50">
        <v>177.0</v>
      </c>
      <c r="S1750" s="50" t="s">
        <v>7576</v>
      </c>
      <c r="T1750" s="56" t="s">
        <v>11023</v>
      </c>
      <c r="U1750" s="53" t="s">
        <v>370</v>
      </c>
    </row>
    <row r="1751">
      <c r="A1751" s="54" t="s">
        <v>11024</v>
      </c>
      <c r="B1751" s="50" t="s">
        <v>10996</v>
      </c>
      <c r="C1751" s="51" t="s">
        <v>329</v>
      </c>
      <c r="D1751" s="51"/>
      <c r="E1751" s="51"/>
      <c r="F1751" s="51"/>
      <c r="G1751" s="50" t="s">
        <v>11025</v>
      </c>
      <c r="H1751" s="52">
        <v>44683.30436342592</v>
      </c>
      <c r="I1751" s="50"/>
      <c r="J1751" s="50"/>
      <c r="K1751" s="50"/>
      <c r="L1751" s="50"/>
      <c r="M1751" s="50" t="s">
        <v>10998</v>
      </c>
      <c r="N1751" s="50"/>
      <c r="O1751" s="53" t="s">
        <v>92</v>
      </c>
      <c r="P1751" s="55" t="s">
        <v>10999</v>
      </c>
      <c r="Q1751" s="50">
        <v>2866.0</v>
      </c>
      <c r="R1751" s="50">
        <v>3716.0</v>
      </c>
      <c r="S1751" s="50" t="s">
        <v>1311</v>
      </c>
      <c r="T1751" s="56" t="s">
        <v>11026</v>
      </c>
      <c r="U1751" s="53" t="s">
        <v>332</v>
      </c>
    </row>
    <row r="1752">
      <c r="A1752" s="54" t="s">
        <v>11027</v>
      </c>
      <c r="B1752" s="50" t="s">
        <v>11028</v>
      </c>
      <c r="C1752" s="51" t="s">
        <v>7142</v>
      </c>
      <c r="D1752" s="51"/>
      <c r="E1752" s="51"/>
      <c r="F1752" s="51"/>
      <c r="G1752" s="50" t="s">
        <v>11029</v>
      </c>
      <c r="H1752" s="52">
        <v>44683.30430555556</v>
      </c>
      <c r="I1752" s="50"/>
      <c r="J1752" s="50"/>
      <c r="K1752" s="50"/>
      <c r="L1752" s="50"/>
      <c r="M1752" s="50" t="s">
        <v>11030</v>
      </c>
      <c r="N1752" s="50"/>
      <c r="O1752" s="53" t="s">
        <v>92</v>
      </c>
      <c r="P1752" s="55" t="s">
        <v>11031</v>
      </c>
      <c r="Q1752" s="50">
        <v>1507.0</v>
      </c>
      <c r="R1752" s="50">
        <v>1056.0</v>
      </c>
      <c r="S1752" s="50"/>
      <c r="T1752" s="56" t="s">
        <v>11032</v>
      </c>
      <c r="U1752" s="53" t="s">
        <v>7148</v>
      </c>
    </row>
    <row r="1753">
      <c r="A1753" s="54" t="s">
        <v>11033</v>
      </c>
      <c r="B1753" s="50" t="s">
        <v>11034</v>
      </c>
      <c r="C1753" s="51" t="s">
        <v>367</v>
      </c>
      <c r="D1753" s="51"/>
      <c r="E1753" s="51"/>
      <c r="F1753" s="51"/>
      <c r="G1753" s="50" t="s">
        <v>11035</v>
      </c>
      <c r="H1753" s="52">
        <v>44683.30391203704</v>
      </c>
      <c r="I1753" s="50"/>
      <c r="J1753" s="50"/>
      <c r="K1753" s="50"/>
      <c r="L1753" s="50"/>
      <c r="M1753" s="50" t="s">
        <v>11036</v>
      </c>
      <c r="N1753" s="50"/>
      <c r="O1753" s="53" t="s">
        <v>92</v>
      </c>
      <c r="P1753" s="55" t="s">
        <v>354</v>
      </c>
      <c r="Q1753" s="50">
        <v>5.0</v>
      </c>
      <c r="R1753" s="50">
        <v>21.0</v>
      </c>
      <c r="S1753" s="50"/>
      <c r="T1753" s="56" t="s">
        <v>11037</v>
      </c>
      <c r="U1753" s="53" t="s">
        <v>370</v>
      </c>
    </row>
    <row r="1754">
      <c r="A1754" s="54" t="s">
        <v>11038</v>
      </c>
      <c r="B1754" s="50" t="s">
        <v>11039</v>
      </c>
      <c r="C1754" s="51" t="s">
        <v>1307</v>
      </c>
      <c r="D1754" s="51"/>
      <c r="E1754" s="51"/>
      <c r="F1754" s="51"/>
      <c r="G1754" s="50" t="s">
        <v>11040</v>
      </c>
      <c r="H1754" s="52">
        <v>44683.303865740745</v>
      </c>
      <c r="I1754" s="50"/>
      <c r="J1754" s="50"/>
      <c r="K1754" s="50"/>
      <c r="L1754" s="50"/>
      <c r="M1754" s="50" t="s">
        <v>11041</v>
      </c>
      <c r="N1754" s="50"/>
      <c r="O1754" s="53" t="s">
        <v>70</v>
      </c>
      <c r="P1754" s="55" t="s">
        <v>354</v>
      </c>
      <c r="Q1754" s="50">
        <v>1.0</v>
      </c>
      <c r="R1754" s="50">
        <v>73.0</v>
      </c>
      <c r="S1754" s="50"/>
      <c r="T1754" s="56" t="s">
        <v>11042</v>
      </c>
      <c r="U1754" s="53" t="s">
        <v>1313</v>
      </c>
    </row>
    <row r="1755">
      <c r="A1755" s="54" t="s">
        <v>11043</v>
      </c>
      <c r="B1755" s="50" t="s">
        <v>10996</v>
      </c>
      <c r="C1755" s="51" t="s">
        <v>367</v>
      </c>
      <c r="D1755" s="51"/>
      <c r="E1755" s="51"/>
      <c r="F1755" s="51"/>
      <c r="G1755" s="50" t="s">
        <v>11040</v>
      </c>
      <c r="H1755" s="52">
        <v>44683.303865740745</v>
      </c>
      <c r="I1755" s="50"/>
      <c r="J1755" s="50"/>
      <c r="K1755" s="50"/>
      <c r="L1755" s="50"/>
      <c r="M1755" s="50" t="s">
        <v>10998</v>
      </c>
      <c r="N1755" s="50"/>
      <c r="O1755" s="53" t="s">
        <v>92</v>
      </c>
      <c r="P1755" s="55" t="s">
        <v>10999</v>
      </c>
      <c r="Q1755" s="50">
        <v>2866.0</v>
      </c>
      <c r="R1755" s="50">
        <v>3716.0</v>
      </c>
      <c r="S1755" s="50" t="s">
        <v>1311</v>
      </c>
      <c r="T1755" s="56" t="s">
        <v>11044</v>
      </c>
      <c r="U1755" s="53" t="s">
        <v>370</v>
      </c>
    </row>
    <row r="1756">
      <c r="A1756" s="54" t="s">
        <v>11045</v>
      </c>
      <c r="B1756" s="50" t="s">
        <v>11046</v>
      </c>
      <c r="C1756" s="51" t="s">
        <v>7142</v>
      </c>
      <c r="D1756" s="51"/>
      <c r="E1756" s="51"/>
      <c r="F1756" s="51"/>
      <c r="G1756" s="50" t="s">
        <v>11047</v>
      </c>
      <c r="H1756" s="52">
        <v>44683.30358796296</v>
      </c>
      <c r="I1756" s="50"/>
      <c r="J1756" s="50"/>
      <c r="K1756" s="50"/>
      <c r="L1756" s="50"/>
      <c r="M1756" s="50" t="s">
        <v>11048</v>
      </c>
      <c r="N1756" s="50"/>
      <c r="O1756" s="53" t="s">
        <v>92</v>
      </c>
      <c r="P1756" s="55" t="s">
        <v>11049</v>
      </c>
      <c r="Q1756" s="50">
        <v>625.0</v>
      </c>
      <c r="R1756" s="50">
        <v>1201.0</v>
      </c>
      <c r="S1756" s="50" t="s">
        <v>1007</v>
      </c>
      <c r="T1756" s="56" t="s">
        <v>11050</v>
      </c>
      <c r="U1756" s="53" t="s">
        <v>7148</v>
      </c>
    </row>
    <row r="1757">
      <c r="A1757" s="54" t="s">
        <v>11051</v>
      </c>
      <c r="B1757" s="50" t="s">
        <v>11052</v>
      </c>
      <c r="C1757" s="51" t="s">
        <v>316</v>
      </c>
      <c r="D1757" s="51"/>
      <c r="E1757" s="51"/>
      <c r="F1757" s="51"/>
      <c r="G1757" s="50" t="s">
        <v>11053</v>
      </c>
      <c r="H1757" s="52">
        <v>44683.303506944445</v>
      </c>
      <c r="I1757" s="50"/>
      <c r="J1757" s="50"/>
      <c r="K1757" s="50"/>
      <c r="L1757" s="50"/>
      <c r="M1757" s="50" t="s">
        <v>11054</v>
      </c>
      <c r="N1757" s="50"/>
      <c r="O1757" s="53" t="s">
        <v>92</v>
      </c>
      <c r="P1757" s="55" t="s">
        <v>11055</v>
      </c>
      <c r="Q1757" s="50">
        <v>2125.0</v>
      </c>
      <c r="R1757" s="50">
        <v>2724.0</v>
      </c>
      <c r="S1757" s="50" t="s">
        <v>11056</v>
      </c>
      <c r="T1757" s="56" t="s">
        <v>11057</v>
      </c>
      <c r="U1757" s="53" t="s">
        <v>322</v>
      </c>
    </row>
    <row r="1758">
      <c r="A1758" s="54" t="s">
        <v>11058</v>
      </c>
      <c r="B1758" s="50" t="s">
        <v>11059</v>
      </c>
      <c r="C1758" s="51" t="s">
        <v>367</v>
      </c>
      <c r="D1758" s="51"/>
      <c r="E1758" s="51"/>
      <c r="F1758" s="51"/>
      <c r="G1758" s="50" t="s">
        <v>11060</v>
      </c>
      <c r="H1758" s="52">
        <v>44683.303449074076</v>
      </c>
      <c r="I1758" s="50"/>
      <c r="J1758" s="50"/>
      <c r="K1758" s="50"/>
      <c r="L1758" s="50"/>
      <c r="M1758" s="50" t="s">
        <v>11061</v>
      </c>
      <c r="N1758" s="50"/>
      <c r="O1758" s="53" t="s">
        <v>92</v>
      </c>
      <c r="P1758" s="55" t="s">
        <v>11062</v>
      </c>
      <c r="Q1758" s="50">
        <v>3846.0</v>
      </c>
      <c r="R1758" s="50">
        <v>2468.0</v>
      </c>
      <c r="S1758" s="50" t="s">
        <v>10269</v>
      </c>
      <c r="T1758" s="56" t="s">
        <v>11063</v>
      </c>
      <c r="U1758" s="53" t="s">
        <v>370</v>
      </c>
    </row>
    <row r="1759">
      <c r="A1759" s="54" t="s">
        <v>11064</v>
      </c>
      <c r="B1759" s="50" t="s">
        <v>11065</v>
      </c>
      <c r="C1759" s="51" t="s">
        <v>2869</v>
      </c>
      <c r="D1759" s="51"/>
      <c r="E1759" s="51"/>
      <c r="F1759" s="51"/>
      <c r="G1759" s="50" t="s">
        <v>11066</v>
      </c>
      <c r="H1759" s="52">
        <v>44683.303391203706</v>
      </c>
      <c r="I1759" s="50"/>
      <c r="J1759" s="50"/>
      <c r="K1759" s="50"/>
      <c r="L1759" s="50"/>
      <c r="M1759" s="50" t="s">
        <v>11067</v>
      </c>
      <c r="N1759" s="50"/>
      <c r="O1759" s="53" t="s">
        <v>217</v>
      </c>
      <c r="P1759" s="55" t="s">
        <v>11068</v>
      </c>
      <c r="Q1759" s="50">
        <v>5932.0</v>
      </c>
      <c r="R1759" s="50">
        <v>4950.0</v>
      </c>
      <c r="S1759" s="50" t="s">
        <v>11069</v>
      </c>
      <c r="T1759" s="56" t="s">
        <v>11070</v>
      </c>
      <c r="U1759" s="53" t="s">
        <v>2874</v>
      </c>
    </row>
    <row r="1760">
      <c r="A1760" s="54" t="s">
        <v>11071</v>
      </c>
      <c r="B1760" s="50" t="s">
        <v>3497</v>
      </c>
      <c r="C1760" s="51" t="s">
        <v>363</v>
      </c>
      <c r="D1760" s="51"/>
      <c r="E1760" s="51"/>
      <c r="F1760" s="51"/>
      <c r="G1760" s="50" t="s">
        <v>11072</v>
      </c>
      <c r="H1760" s="52">
        <v>44683.30333333333</v>
      </c>
      <c r="I1760" s="50"/>
      <c r="J1760" s="50"/>
      <c r="K1760" s="50"/>
      <c r="L1760" s="50"/>
      <c r="M1760" s="50" t="s">
        <v>3500</v>
      </c>
      <c r="N1760" s="50"/>
      <c r="O1760" s="53" t="s">
        <v>92</v>
      </c>
      <c r="P1760" s="55" t="s">
        <v>3501</v>
      </c>
      <c r="Q1760" s="50">
        <v>60.0</v>
      </c>
      <c r="R1760" s="50">
        <v>125.0</v>
      </c>
      <c r="S1760" s="50"/>
      <c r="T1760" s="56" t="s">
        <v>11073</v>
      </c>
      <c r="U1760" s="53" t="s">
        <v>332</v>
      </c>
    </row>
    <row r="1761">
      <c r="A1761" s="54" t="s">
        <v>11074</v>
      </c>
      <c r="B1761" s="50" t="s">
        <v>11052</v>
      </c>
      <c r="C1761" s="51" t="s">
        <v>329</v>
      </c>
      <c r="D1761" s="51"/>
      <c r="E1761" s="51"/>
      <c r="F1761" s="51"/>
      <c r="G1761" s="50" t="s">
        <v>11075</v>
      </c>
      <c r="H1761" s="52">
        <v>44683.30331018519</v>
      </c>
      <c r="I1761" s="50"/>
      <c r="J1761" s="50"/>
      <c r="K1761" s="50"/>
      <c r="L1761" s="50"/>
      <c r="M1761" s="50" t="s">
        <v>11054</v>
      </c>
      <c r="N1761" s="50"/>
      <c r="O1761" s="53" t="s">
        <v>92</v>
      </c>
      <c r="P1761" s="55" t="s">
        <v>11055</v>
      </c>
      <c r="Q1761" s="50">
        <v>2125.0</v>
      </c>
      <c r="R1761" s="50">
        <v>2724.0</v>
      </c>
      <c r="S1761" s="50" t="s">
        <v>11056</v>
      </c>
      <c r="T1761" s="56" t="s">
        <v>11076</v>
      </c>
      <c r="U1761" s="53" t="s">
        <v>332</v>
      </c>
    </row>
    <row r="1762">
      <c r="A1762" s="54" t="s">
        <v>11077</v>
      </c>
      <c r="B1762" s="50" t="s">
        <v>11078</v>
      </c>
      <c r="C1762" s="51" t="s">
        <v>367</v>
      </c>
      <c r="D1762" s="51"/>
      <c r="E1762" s="51"/>
      <c r="F1762" s="51"/>
      <c r="G1762" s="50" t="s">
        <v>11079</v>
      </c>
      <c r="H1762" s="52">
        <v>44683.30327546297</v>
      </c>
      <c r="I1762" s="50"/>
      <c r="J1762" s="50"/>
      <c r="K1762" s="50"/>
      <c r="L1762" s="50"/>
      <c r="M1762" s="50" t="s">
        <v>11080</v>
      </c>
      <c r="N1762" s="50"/>
      <c r="O1762" s="53" t="s">
        <v>92</v>
      </c>
      <c r="P1762" s="55" t="s">
        <v>11081</v>
      </c>
      <c r="Q1762" s="50">
        <v>19.0</v>
      </c>
      <c r="R1762" s="50">
        <v>39.0</v>
      </c>
      <c r="S1762" s="50"/>
      <c r="T1762" s="56" t="s">
        <v>11082</v>
      </c>
      <c r="U1762" s="53" t="s">
        <v>370</v>
      </c>
    </row>
    <row r="1763">
      <c r="A1763" s="54" t="s">
        <v>11083</v>
      </c>
      <c r="B1763" s="50" t="s">
        <v>11084</v>
      </c>
      <c r="C1763" s="51" t="s">
        <v>367</v>
      </c>
      <c r="D1763" s="51"/>
      <c r="E1763" s="51"/>
      <c r="F1763" s="51"/>
      <c r="G1763" s="50" t="s">
        <v>11085</v>
      </c>
      <c r="H1763" s="52">
        <v>44683.30320601852</v>
      </c>
      <c r="I1763" s="50"/>
      <c r="J1763" s="50"/>
      <c r="K1763" s="50"/>
      <c r="L1763" s="50"/>
      <c r="M1763" s="50" t="s">
        <v>11086</v>
      </c>
      <c r="N1763" s="50"/>
      <c r="O1763" s="53" t="s">
        <v>92</v>
      </c>
      <c r="P1763" s="55" t="s">
        <v>11087</v>
      </c>
      <c r="Q1763" s="50">
        <v>56.0</v>
      </c>
      <c r="R1763" s="50">
        <v>152.0</v>
      </c>
      <c r="S1763" s="50"/>
      <c r="T1763" s="56" t="s">
        <v>11088</v>
      </c>
      <c r="U1763" s="53" t="s">
        <v>370</v>
      </c>
    </row>
    <row r="1764">
      <c r="A1764" s="54" t="s">
        <v>11089</v>
      </c>
      <c r="B1764" s="50" t="s">
        <v>11052</v>
      </c>
      <c r="C1764" s="51" t="s">
        <v>335</v>
      </c>
      <c r="D1764" s="51"/>
      <c r="E1764" s="51"/>
      <c r="F1764" s="51"/>
      <c r="G1764" s="50" t="s">
        <v>11090</v>
      </c>
      <c r="H1764" s="52">
        <v>44683.303148148145</v>
      </c>
      <c r="I1764" s="50"/>
      <c r="J1764" s="50"/>
      <c r="K1764" s="50"/>
      <c r="L1764" s="50"/>
      <c r="M1764" s="50" t="s">
        <v>11054</v>
      </c>
      <c r="N1764" s="50"/>
      <c r="O1764" s="53" t="s">
        <v>92</v>
      </c>
      <c r="P1764" s="55" t="s">
        <v>11055</v>
      </c>
      <c r="Q1764" s="50">
        <v>2125.0</v>
      </c>
      <c r="R1764" s="50">
        <v>2724.0</v>
      </c>
      <c r="S1764" s="50" t="s">
        <v>11056</v>
      </c>
      <c r="T1764" s="56" t="s">
        <v>11091</v>
      </c>
      <c r="U1764" s="53" t="s">
        <v>339</v>
      </c>
    </row>
    <row r="1765">
      <c r="A1765" s="54" t="s">
        <v>11092</v>
      </c>
      <c r="B1765" s="50" t="s">
        <v>11093</v>
      </c>
      <c r="C1765" s="51" t="s">
        <v>363</v>
      </c>
      <c r="D1765" s="51"/>
      <c r="E1765" s="51"/>
      <c r="F1765" s="51"/>
      <c r="G1765" s="50" t="s">
        <v>11094</v>
      </c>
      <c r="H1765" s="52">
        <v>44683.30309027778</v>
      </c>
      <c r="I1765" s="50"/>
      <c r="J1765" s="50"/>
      <c r="K1765" s="50"/>
      <c r="L1765" s="50"/>
      <c r="M1765" s="50" t="s">
        <v>11095</v>
      </c>
      <c r="N1765" s="50"/>
      <c r="O1765" s="53" t="s">
        <v>217</v>
      </c>
      <c r="P1765" s="55" t="s">
        <v>11096</v>
      </c>
      <c r="Q1765" s="50">
        <v>256.0</v>
      </c>
      <c r="R1765" s="50">
        <v>1281.0</v>
      </c>
      <c r="S1765" s="50"/>
      <c r="T1765" s="56" t="s">
        <v>11097</v>
      </c>
      <c r="U1765" s="53" t="s">
        <v>332</v>
      </c>
    </row>
    <row r="1766">
      <c r="A1766" s="54" t="s">
        <v>11098</v>
      </c>
      <c r="B1766" s="50" t="s">
        <v>11099</v>
      </c>
      <c r="C1766" s="51" t="s">
        <v>11100</v>
      </c>
      <c r="D1766" s="51"/>
      <c r="E1766" s="51"/>
      <c r="F1766" s="51"/>
      <c r="G1766" s="50" t="s">
        <v>11101</v>
      </c>
      <c r="H1766" s="52">
        <v>44683.30306712963</v>
      </c>
      <c r="I1766" s="50"/>
      <c r="J1766" s="50"/>
      <c r="K1766" s="50"/>
      <c r="L1766" s="50"/>
      <c r="M1766" s="50" t="s">
        <v>11102</v>
      </c>
      <c r="N1766" s="50"/>
      <c r="O1766" s="53" t="s">
        <v>11103</v>
      </c>
      <c r="P1766" s="55" t="s">
        <v>11104</v>
      </c>
      <c r="Q1766" s="50">
        <v>1585.0</v>
      </c>
      <c r="R1766" s="50">
        <v>12.0</v>
      </c>
      <c r="S1766" s="50"/>
      <c r="T1766" s="56" t="s">
        <v>11105</v>
      </c>
      <c r="U1766" s="53" t="s">
        <v>11106</v>
      </c>
    </row>
    <row r="1767">
      <c r="A1767" s="54" t="s">
        <v>11107</v>
      </c>
      <c r="B1767" s="50" t="s">
        <v>11108</v>
      </c>
      <c r="C1767" s="51" t="s">
        <v>367</v>
      </c>
      <c r="D1767" s="51"/>
      <c r="E1767" s="51"/>
      <c r="F1767" s="51"/>
      <c r="G1767" s="50" t="s">
        <v>11109</v>
      </c>
      <c r="H1767" s="52">
        <v>44683.30304398148</v>
      </c>
      <c r="I1767" s="50"/>
      <c r="J1767" s="50"/>
      <c r="K1767" s="50"/>
      <c r="L1767" s="50"/>
      <c r="M1767" s="50" t="s">
        <v>11110</v>
      </c>
      <c r="N1767" s="50"/>
      <c r="O1767" s="53" t="s">
        <v>60</v>
      </c>
      <c r="P1767" s="55" t="s">
        <v>11111</v>
      </c>
      <c r="Q1767" s="50">
        <v>2257.0</v>
      </c>
      <c r="R1767" s="50">
        <v>2934.0</v>
      </c>
      <c r="S1767" s="50" t="s">
        <v>5183</v>
      </c>
      <c r="T1767" s="56" t="s">
        <v>11112</v>
      </c>
      <c r="U1767" s="53" t="s">
        <v>370</v>
      </c>
    </row>
    <row r="1768">
      <c r="A1768" s="54" t="s">
        <v>11113</v>
      </c>
      <c r="B1768" s="50" t="s">
        <v>11093</v>
      </c>
      <c r="C1768" s="51" t="s">
        <v>329</v>
      </c>
      <c r="D1768" s="51"/>
      <c r="E1768" s="51"/>
      <c r="F1768" s="51"/>
      <c r="G1768" s="50" t="s">
        <v>11114</v>
      </c>
      <c r="H1768" s="52">
        <v>44683.30296296296</v>
      </c>
      <c r="I1768" s="50"/>
      <c r="J1768" s="50"/>
      <c r="K1768" s="50"/>
      <c r="L1768" s="50"/>
      <c r="M1768" s="50" t="s">
        <v>11095</v>
      </c>
      <c r="N1768" s="50"/>
      <c r="O1768" s="53" t="s">
        <v>217</v>
      </c>
      <c r="P1768" s="55" t="s">
        <v>11096</v>
      </c>
      <c r="Q1768" s="50">
        <v>256.0</v>
      </c>
      <c r="R1768" s="50">
        <v>1281.0</v>
      </c>
      <c r="S1768" s="50"/>
      <c r="T1768" s="56" t="s">
        <v>11115</v>
      </c>
      <c r="U1768" s="53" t="s">
        <v>332</v>
      </c>
    </row>
    <row r="1769">
      <c r="A1769" s="54" t="s">
        <v>11116</v>
      </c>
      <c r="B1769" s="50" t="s">
        <v>11117</v>
      </c>
      <c r="C1769" s="51" t="s">
        <v>363</v>
      </c>
      <c r="D1769" s="51"/>
      <c r="E1769" s="51"/>
      <c r="F1769" s="51"/>
      <c r="G1769" s="50" t="s">
        <v>11118</v>
      </c>
      <c r="H1769" s="52">
        <v>44683.302939814814</v>
      </c>
      <c r="I1769" s="50"/>
      <c r="J1769" s="50"/>
      <c r="K1769" s="50"/>
      <c r="L1769" s="50"/>
      <c r="M1769" s="50" t="s">
        <v>11119</v>
      </c>
      <c r="N1769" s="50"/>
      <c r="O1769" s="53" t="s">
        <v>70</v>
      </c>
      <c r="P1769" s="55" t="s">
        <v>11120</v>
      </c>
      <c r="Q1769" s="50">
        <v>3153.0</v>
      </c>
      <c r="R1769" s="50">
        <v>3873.0</v>
      </c>
      <c r="S1769" s="50"/>
      <c r="T1769" s="56" t="s">
        <v>11121</v>
      </c>
      <c r="U1769" s="53" t="s">
        <v>332</v>
      </c>
    </row>
    <row r="1770">
      <c r="A1770" s="54" t="s">
        <v>11122</v>
      </c>
      <c r="B1770" s="50" t="s">
        <v>10721</v>
      </c>
      <c r="C1770" s="51" t="s">
        <v>11123</v>
      </c>
      <c r="D1770" s="51"/>
      <c r="E1770" s="51"/>
      <c r="F1770" s="51"/>
      <c r="G1770" s="50" t="s">
        <v>11124</v>
      </c>
      <c r="H1770" s="52">
        <v>44683.30262731481</v>
      </c>
      <c r="I1770" s="50"/>
      <c r="J1770" s="50"/>
      <c r="K1770" s="50"/>
      <c r="L1770" s="50"/>
      <c r="M1770" s="50" t="s">
        <v>10723</v>
      </c>
      <c r="N1770" s="50"/>
      <c r="O1770" s="53" t="s">
        <v>70</v>
      </c>
      <c r="P1770" s="55" t="s">
        <v>10724</v>
      </c>
      <c r="Q1770" s="50">
        <v>2287.0</v>
      </c>
      <c r="R1770" s="50">
        <v>2146.0</v>
      </c>
      <c r="S1770" s="50" t="s">
        <v>10725</v>
      </c>
      <c r="T1770" s="56" t="s">
        <v>11125</v>
      </c>
      <c r="U1770" s="53" t="s">
        <v>11126</v>
      </c>
    </row>
    <row r="1771">
      <c r="A1771" s="54" t="s">
        <v>11127</v>
      </c>
      <c r="B1771" s="50" t="s">
        <v>11128</v>
      </c>
      <c r="C1771" s="51" t="s">
        <v>367</v>
      </c>
      <c r="D1771" s="51"/>
      <c r="E1771" s="51"/>
      <c r="F1771" s="51"/>
      <c r="G1771" s="50" t="s">
        <v>11129</v>
      </c>
      <c r="H1771" s="52">
        <v>44683.3022337963</v>
      </c>
      <c r="I1771" s="50"/>
      <c r="J1771" s="50"/>
      <c r="K1771" s="50"/>
      <c r="L1771" s="50"/>
      <c r="M1771" s="50" t="s">
        <v>11130</v>
      </c>
      <c r="N1771" s="50"/>
      <c r="O1771" s="53" t="s">
        <v>70</v>
      </c>
      <c r="P1771" s="55" t="s">
        <v>11131</v>
      </c>
      <c r="Q1771" s="50">
        <v>48.0</v>
      </c>
      <c r="R1771" s="50">
        <v>71.0</v>
      </c>
      <c r="S1771" s="50" t="s">
        <v>11132</v>
      </c>
      <c r="T1771" s="56" t="s">
        <v>11133</v>
      </c>
      <c r="U1771" s="53" t="s">
        <v>370</v>
      </c>
    </row>
    <row r="1772">
      <c r="A1772" s="54" t="s">
        <v>11134</v>
      </c>
      <c r="B1772" s="50" t="s">
        <v>11135</v>
      </c>
      <c r="C1772" s="51" t="s">
        <v>367</v>
      </c>
      <c r="D1772" s="51"/>
      <c r="E1772" s="51"/>
      <c r="F1772" s="51"/>
      <c r="G1772" s="50" t="s">
        <v>11136</v>
      </c>
      <c r="H1772" s="52">
        <v>44683.30212962963</v>
      </c>
      <c r="I1772" s="50"/>
      <c r="J1772" s="50"/>
      <c r="K1772" s="50"/>
      <c r="L1772" s="50"/>
      <c r="M1772" s="50" t="s">
        <v>11137</v>
      </c>
      <c r="N1772" s="50"/>
      <c r="O1772" s="53" t="s">
        <v>70</v>
      </c>
      <c r="P1772" s="55" t="s">
        <v>11138</v>
      </c>
      <c r="Q1772" s="50">
        <v>1489.0</v>
      </c>
      <c r="R1772" s="50">
        <v>1780.0</v>
      </c>
      <c r="S1772" s="50"/>
      <c r="T1772" s="56" t="s">
        <v>11139</v>
      </c>
      <c r="U1772" s="53" t="s">
        <v>370</v>
      </c>
    </row>
    <row r="1773">
      <c r="A1773" s="54" t="s">
        <v>11140</v>
      </c>
      <c r="B1773" s="50" t="s">
        <v>11141</v>
      </c>
      <c r="C1773" s="51" t="s">
        <v>687</v>
      </c>
      <c r="D1773" s="51"/>
      <c r="E1773" s="51"/>
      <c r="F1773" s="51"/>
      <c r="G1773" s="50" t="s">
        <v>11142</v>
      </c>
      <c r="H1773" s="52">
        <v>44683.30195601852</v>
      </c>
      <c r="I1773" s="50"/>
      <c r="J1773" s="50"/>
      <c r="K1773" s="50"/>
      <c r="L1773" s="50"/>
      <c r="M1773" s="50" t="s">
        <v>11143</v>
      </c>
      <c r="N1773" s="50"/>
      <c r="O1773" s="53" t="s">
        <v>60</v>
      </c>
      <c r="P1773" s="55" t="s">
        <v>11144</v>
      </c>
      <c r="Q1773" s="50">
        <v>6223.0</v>
      </c>
      <c r="R1773" s="50">
        <v>6216.0</v>
      </c>
      <c r="S1773" s="50" t="s">
        <v>11145</v>
      </c>
      <c r="T1773" s="56" t="s">
        <v>11146</v>
      </c>
      <c r="U1773" s="53" t="s">
        <v>691</v>
      </c>
    </row>
    <row r="1774">
      <c r="A1774" s="54" t="s">
        <v>11147</v>
      </c>
      <c r="B1774" s="50" t="s">
        <v>11148</v>
      </c>
      <c r="C1774" s="51" t="s">
        <v>335</v>
      </c>
      <c r="D1774" s="51"/>
      <c r="E1774" s="51"/>
      <c r="F1774" s="51"/>
      <c r="G1774" s="50" t="s">
        <v>11149</v>
      </c>
      <c r="H1774" s="52">
        <v>44683.30190972222</v>
      </c>
      <c r="I1774" s="50"/>
      <c r="J1774" s="50"/>
      <c r="K1774" s="50"/>
      <c r="L1774" s="50"/>
      <c r="M1774" s="50" t="s">
        <v>11150</v>
      </c>
      <c r="N1774" s="50"/>
      <c r="O1774" s="53" t="s">
        <v>92</v>
      </c>
      <c r="P1774" s="55" t="s">
        <v>11151</v>
      </c>
      <c r="Q1774" s="50">
        <v>3273.0</v>
      </c>
      <c r="R1774" s="50">
        <v>4107.0</v>
      </c>
      <c r="S1774" s="50" t="s">
        <v>11152</v>
      </c>
      <c r="T1774" s="56" t="s">
        <v>11153</v>
      </c>
      <c r="U1774" s="53" t="s">
        <v>339</v>
      </c>
    </row>
    <row r="1775">
      <c r="A1775" s="54" t="s">
        <v>11154</v>
      </c>
      <c r="B1775" s="50" t="s">
        <v>11155</v>
      </c>
      <c r="C1775" s="51" t="s">
        <v>316</v>
      </c>
      <c r="D1775" s="51"/>
      <c r="E1775" s="51"/>
      <c r="F1775" s="51"/>
      <c r="G1775" s="50" t="s">
        <v>11156</v>
      </c>
      <c r="H1775" s="52">
        <v>44683.301898148144</v>
      </c>
      <c r="I1775" s="50"/>
      <c r="J1775" s="50"/>
      <c r="K1775" s="50"/>
      <c r="L1775" s="50"/>
      <c r="M1775" s="50" t="s">
        <v>11157</v>
      </c>
      <c r="N1775" s="50"/>
      <c r="O1775" s="53" t="s">
        <v>60</v>
      </c>
      <c r="P1775" s="55" t="s">
        <v>11158</v>
      </c>
      <c r="Q1775" s="50">
        <v>1582.0</v>
      </c>
      <c r="R1775" s="50">
        <v>2683.0</v>
      </c>
      <c r="S1775" s="50" t="s">
        <v>11159</v>
      </c>
      <c r="T1775" s="56" t="s">
        <v>11160</v>
      </c>
      <c r="U1775" s="53" t="s">
        <v>322</v>
      </c>
    </row>
    <row r="1776">
      <c r="A1776" s="54" t="s">
        <v>11161</v>
      </c>
      <c r="B1776" s="50" t="s">
        <v>11162</v>
      </c>
      <c r="C1776" s="51" t="s">
        <v>5847</v>
      </c>
      <c r="D1776" s="51"/>
      <c r="E1776" s="51"/>
      <c r="F1776" s="51"/>
      <c r="G1776" s="50" t="s">
        <v>11163</v>
      </c>
      <c r="H1776" s="52">
        <v>44683.30175925926</v>
      </c>
      <c r="I1776" s="50"/>
      <c r="J1776" s="50"/>
      <c r="K1776" s="50"/>
      <c r="L1776" s="50"/>
      <c r="M1776" s="50" t="s">
        <v>11164</v>
      </c>
      <c r="N1776" s="50"/>
      <c r="O1776" s="53" t="s">
        <v>92</v>
      </c>
      <c r="P1776" s="55" t="s">
        <v>11165</v>
      </c>
      <c r="Q1776" s="50">
        <v>12196.0</v>
      </c>
      <c r="R1776" s="50">
        <v>3666.0</v>
      </c>
      <c r="S1776" s="50" t="s">
        <v>129</v>
      </c>
      <c r="T1776" s="56" t="s">
        <v>11166</v>
      </c>
      <c r="U1776" s="53" t="s">
        <v>5853</v>
      </c>
    </row>
    <row r="1777">
      <c r="A1777" s="54" t="s">
        <v>11167</v>
      </c>
      <c r="B1777" s="50" t="s">
        <v>11148</v>
      </c>
      <c r="C1777" s="51" t="s">
        <v>363</v>
      </c>
      <c r="D1777" s="51"/>
      <c r="E1777" s="51"/>
      <c r="F1777" s="51"/>
      <c r="G1777" s="50" t="s">
        <v>11168</v>
      </c>
      <c r="H1777" s="52">
        <v>44683.30171296296</v>
      </c>
      <c r="I1777" s="50"/>
      <c r="J1777" s="50"/>
      <c r="K1777" s="50"/>
      <c r="L1777" s="50"/>
      <c r="M1777" s="50" t="s">
        <v>11150</v>
      </c>
      <c r="N1777" s="50"/>
      <c r="O1777" s="53" t="s">
        <v>92</v>
      </c>
      <c r="P1777" s="55" t="s">
        <v>11151</v>
      </c>
      <c r="Q1777" s="50">
        <v>3273.0</v>
      </c>
      <c r="R1777" s="50">
        <v>4107.0</v>
      </c>
      <c r="S1777" s="50" t="s">
        <v>11152</v>
      </c>
      <c r="T1777" s="56" t="s">
        <v>11169</v>
      </c>
      <c r="U1777" s="53" t="s">
        <v>332</v>
      </c>
    </row>
    <row r="1778">
      <c r="A1778" s="54" t="s">
        <v>11170</v>
      </c>
      <c r="B1778" s="50" t="s">
        <v>11171</v>
      </c>
      <c r="C1778" s="51" t="s">
        <v>335</v>
      </c>
      <c r="D1778" s="51"/>
      <c r="E1778" s="51"/>
      <c r="F1778" s="51"/>
      <c r="G1778" s="50" t="s">
        <v>11172</v>
      </c>
      <c r="H1778" s="52">
        <v>44683.301620370374</v>
      </c>
      <c r="I1778" s="50"/>
      <c r="J1778" s="50"/>
      <c r="K1778" s="50"/>
      <c r="L1778" s="50"/>
      <c r="M1778" s="50" t="s">
        <v>11173</v>
      </c>
      <c r="N1778" s="50"/>
      <c r="O1778" s="53" t="s">
        <v>92</v>
      </c>
      <c r="P1778" s="55" t="s">
        <v>11174</v>
      </c>
      <c r="Q1778" s="50">
        <v>4100.0</v>
      </c>
      <c r="R1778" s="50">
        <v>4114.0</v>
      </c>
      <c r="S1778" s="50" t="s">
        <v>7784</v>
      </c>
      <c r="T1778" s="56" t="s">
        <v>11175</v>
      </c>
      <c r="U1778" s="53" t="s">
        <v>339</v>
      </c>
    </row>
    <row r="1779">
      <c r="A1779" s="54" t="s">
        <v>11176</v>
      </c>
      <c r="B1779" s="50" t="s">
        <v>11177</v>
      </c>
      <c r="C1779" s="51" t="s">
        <v>11178</v>
      </c>
      <c r="D1779" s="51"/>
      <c r="E1779" s="51"/>
      <c r="F1779" s="51"/>
      <c r="G1779" s="50" t="s">
        <v>11179</v>
      </c>
      <c r="H1779" s="52">
        <v>44683.301574074074</v>
      </c>
      <c r="I1779" s="50"/>
      <c r="J1779" s="50"/>
      <c r="K1779" s="50" t="s">
        <v>11180</v>
      </c>
      <c r="L1779" s="50" t="s">
        <v>11181</v>
      </c>
      <c r="M1779" s="50" t="s">
        <v>11182</v>
      </c>
      <c r="N1779" s="50" t="s">
        <v>11183</v>
      </c>
      <c r="O1779" s="53" t="s">
        <v>92</v>
      </c>
      <c r="P1779" s="55" t="s">
        <v>11184</v>
      </c>
      <c r="Q1779" s="50">
        <v>8277.0</v>
      </c>
      <c r="R1779" s="50">
        <v>5159.0</v>
      </c>
      <c r="S1779" s="50" t="s">
        <v>1153</v>
      </c>
      <c r="T1779" s="56" t="s">
        <v>11185</v>
      </c>
      <c r="U1779" s="53" t="s">
        <v>11186</v>
      </c>
    </row>
    <row r="1780">
      <c r="A1780" s="54" t="s">
        <v>11187</v>
      </c>
      <c r="B1780" s="50" t="s">
        <v>11188</v>
      </c>
      <c r="C1780" s="51" t="s">
        <v>11189</v>
      </c>
      <c r="D1780" s="51"/>
      <c r="E1780" s="51"/>
      <c r="F1780" s="51"/>
      <c r="G1780" s="50" t="s">
        <v>11190</v>
      </c>
      <c r="H1780" s="52">
        <v>44683.30149305555</v>
      </c>
      <c r="I1780" s="50"/>
      <c r="J1780" s="50"/>
      <c r="K1780" s="50"/>
      <c r="L1780" s="50"/>
      <c r="M1780" s="50" t="s">
        <v>11191</v>
      </c>
      <c r="N1780" s="50"/>
      <c r="O1780" s="53" t="s">
        <v>60</v>
      </c>
      <c r="P1780" s="55" t="s">
        <v>11192</v>
      </c>
      <c r="Q1780" s="50">
        <v>3436.0</v>
      </c>
      <c r="R1780" s="50">
        <v>4014.0</v>
      </c>
      <c r="S1780" s="50"/>
      <c r="T1780" s="56" t="s">
        <v>11193</v>
      </c>
      <c r="U1780" s="53" t="s">
        <v>11194</v>
      </c>
    </row>
    <row r="1781">
      <c r="A1781" s="54" t="s">
        <v>11195</v>
      </c>
      <c r="B1781" s="50" t="s">
        <v>11148</v>
      </c>
      <c r="C1781" s="51" t="s">
        <v>367</v>
      </c>
      <c r="D1781" s="51"/>
      <c r="E1781" s="51"/>
      <c r="F1781" s="51"/>
      <c r="G1781" s="50" t="s">
        <v>11196</v>
      </c>
      <c r="H1781" s="52">
        <v>44683.30146990741</v>
      </c>
      <c r="I1781" s="50"/>
      <c r="J1781" s="50"/>
      <c r="K1781" s="50"/>
      <c r="L1781" s="50"/>
      <c r="M1781" s="50" t="s">
        <v>11150</v>
      </c>
      <c r="N1781" s="50"/>
      <c r="O1781" s="53" t="s">
        <v>92</v>
      </c>
      <c r="P1781" s="55" t="s">
        <v>11151</v>
      </c>
      <c r="Q1781" s="50">
        <v>3273.0</v>
      </c>
      <c r="R1781" s="50">
        <v>4107.0</v>
      </c>
      <c r="S1781" s="50" t="s">
        <v>11152</v>
      </c>
      <c r="T1781" s="56" t="s">
        <v>11197</v>
      </c>
      <c r="U1781" s="53" t="s">
        <v>370</v>
      </c>
    </row>
    <row r="1782">
      <c r="A1782" s="54" t="s">
        <v>11198</v>
      </c>
      <c r="B1782" s="50" t="s">
        <v>11199</v>
      </c>
      <c r="C1782" s="51" t="s">
        <v>7142</v>
      </c>
      <c r="D1782" s="51"/>
      <c r="E1782" s="51"/>
      <c r="F1782" s="51"/>
      <c r="G1782" s="50" t="s">
        <v>11200</v>
      </c>
      <c r="H1782" s="52">
        <v>44683.30113425926</v>
      </c>
      <c r="I1782" s="50"/>
      <c r="J1782" s="50"/>
      <c r="K1782" s="50"/>
      <c r="L1782" s="50"/>
      <c r="M1782" s="50" t="s">
        <v>11201</v>
      </c>
      <c r="N1782" s="50"/>
      <c r="O1782" s="53" t="s">
        <v>217</v>
      </c>
      <c r="P1782" s="55" t="s">
        <v>11202</v>
      </c>
      <c r="Q1782" s="50">
        <v>1367.0</v>
      </c>
      <c r="R1782" s="50">
        <v>1518.0</v>
      </c>
      <c r="S1782" s="50" t="s">
        <v>805</v>
      </c>
      <c r="T1782" s="56" t="s">
        <v>11203</v>
      </c>
      <c r="U1782" s="53" t="s">
        <v>7148</v>
      </c>
    </row>
    <row r="1783">
      <c r="A1783" s="54" t="s">
        <v>11204</v>
      </c>
      <c r="B1783" s="50" t="s">
        <v>11205</v>
      </c>
      <c r="C1783" s="51" t="s">
        <v>363</v>
      </c>
      <c r="D1783" s="51"/>
      <c r="E1783" s="51"/>
      <c r="F1783" s="51"/>
      <c r="G1783" s="50" t="s">
        <v>11206</v>
      </c>
      <c r="H1783" s="52">
        <v>44683.30111111111</v>
      </c>
      <c r="I1783" s="50"/>
      <c r="J1783" s="50"/>
      <c r="K1783" s="50"/>
      <c r="L1783" s="50"/>
      <c r="M1783" s="50" t="s">
        <v>11207</v>
      </c>
      <c r="N1783" s="50"/>
      <c r="O1783" s="53" t="s">
        <v>70</v>
      </c>
      <c r="P1783" s="55" t="s">
        <v>11208</v>
      </c>
      <c r="Q1783" s="50">
        <v>213.0</v>
      </c>
      <c r="R1783" s="50">
        <v>1402.0</v>
      </c>
      <c r="S1783" s="50"/>
      <c r="T1783" s="56" t="s">
        <v>11209</v>
      </c>
      <c r="U1783" s="53" t="s">
        <v>332</v>
      </c>
    </row>
    <row r="1784">
      <c r="A1784" s="54" t="s">
        <v>11210</v>
      </c>
      <c r="B1784" s="50" t="s">
        <v>11211</v>
      </c>
      <c r="C1784" s="51" t="s">
        <v>367</v>
      </c>
      <c r="D1784" s="51"/>
      <c r="E1784" s="51"/>
      <c r="F1784" s="51"/>
      <c r="G1784" s="50" t="s">
        <v>11212</v>
      </c>
      <c r="H1784" s="52">
        <v>44683.30099537037</v>
      </c>
      <c r="I1784" s="50"/>
      <c r="J1784" s="50"/>
      <c r="K1784" s="50"/>
      <c r="L1784" s="50"/>
      <c r="M1784" s="50" t="s">
        <v>11213</v>
      </c>
      <c r="N1784" s="50"/>
      <c r="O1784" s="53" t="s">
        <v>70</v>
      </c>
      <c r="P1784" s="55" t="s">
        <v>11214</v>
      </c>
      <c r="Q1784" s="50">
        <v>5796.0</v>
      </c>
      <c r="R1784" s="50">
        <v>6350.0</v>
      </c>
      <c r="S1784" s="50" t="s">
        <v>11215</v>
      </c>
      <c r="T1784" s="56" t="s">
        <v>11216</v>
      </c>
      <c r="U1784" s="53" t="s">
        <v>370</v>
      </c>
    </row>
    <row r="1785">
      <c r="A1785" s="54" t="s">
        <v>11217</v>
      </c>
      <c r="B1785" s="50" t="s">
        <v>11218</v>
      </c>
      <c r="C1785" s="51" t="s">
        <v>316</v>
      </c>
      <c r="D1785" s="51"/>
      <c r="E1785" s="51"/>
      <c r="F1785" s="51"/>
      <c r="G1785" s="50" t="s">
        <v>11219</v>
      </c>
      <c r="H1785" s="52">
        <v>44683.30084490741</v>
      </c>
      <c r="I1785" s="50"/>
      <c r="J1785" s="50"/>
      <c r="K1785" s="50"/>
      <c r="L1785" s="50"/>
      <c r="M1785" s="50" t="s">
        <v>11220</v>
      </c>
      <c r="N1785" s="50"/>
      <c r="O1785" s="53" t="s">
        <v>92</v>
      </c>
      <c r="P1785" s="55" t="s">
        <v>11221</v>
      </c>
      <c r="Q1785" s="50">
        <v>100.0</v>
      </c>
      <c r="R1785" s="50">
        <v>742.0</v>
      </c>
      <c r="S1785" s="50" t="s">
        <v>1064</v>
      </c>
      <c r="T1785" s="56" t="s">
        <v>11222</v>
      </c>
      <c r="U1785" s="53" t="s">
        <v>322</v>
      </c>
    </row>
    <row r="1786">
      <c r="A1786" s="54" t="s">
        <v>11223</v>
      </c>
      <c r="B1786" s="50" t="s">
        <v>11162</v>
      </c>
      <c r="C1786" s="51" t="s">
        <v>7142</v>
      </c>
      <c r="D1786" s="51"/>
      <c r="E1786" s="51"/>
      <c r="F1786" s="51"/>
      <c r="G1786" s="50" t="s">
        <v>11224</v>
      </c>
      <c r="H1786" s="52">
        <v>44683.30081018519</v>
      </c>
      <c r="I1786" s="50"/>
      <c r="J1786" s="50"/>
      <c r="K1786" s="50"/>
      <c r="L1786" s="50"/>
      <c r="M1786" s="50" t="s">
        <v>11164</v>
      </c>
      <c r="N1786" s="50"/>
      <c r="O1786" s="53" t="s">
        <v>92</v>
      </c>
      <c r="P1786" s="55" t="s">
        <v>11165</v>
      </c>
      <c r="Q1786" s="50">
        <v>12196.0</v>
      </c>
      <c r="R1786" s="50">
        <v>3666.0</v>
      </c>
      <c r="S1786" s="50" t="s">
        <v>129</v>
      </c>
      <c r="T1786" s="56" t="s">
        <v>11225</v>
      </c>
      <c r="U1786" s="53" t="s">
        <v>7148</v>
      </c>
    </row>
    <row r="1787">
      <c r="A1787" s="54" t="s">
        <v>11226</v>
      </c>
      <c r="B1787" s="50" t="s">
        <v>11227</v>
      </c>
      <c r="C1787" s="51" t="s">
        <v>11228</v>
      </c>
      <c r="D1787" s="51"/>
      <c r="E1787" s="51"/>
      <c r="F1787" s="51"/>
      <c r="G1787" s="50" t="s">
        <v>11229</v>
      </c>
      <c r="H1787" s="52">
        <v>44683.30079861111</v>
      </c>
      <c r="I1787" s="50"/>
      <c r="J1787" s="50"/>
      <c r="K1787" s="50"/>
      <c r="L1787" s="50"/>
      <c r="M1787" s="50" t="s">
        <v>11230</v>
      </c>
      <c r="N1787" s="50"/>
      <c r="O1787" s="53" t="s">
        <v>92</v>
      </c>
      <c r="P1787" s="55" t="s">
        <v>11231</v>
      </c>
      <c r="Q1787" s="50">
        <v>2807.0</v>
      </c>
      <c r="R1787" s="50">
        <v>4998.0</v>
      </c>
      <c r="S1787" s="50" t="s">
        <v>1064</v>
      </c>
      <c r="T1787" s="56" t="s">
        <v>11232</v>
      </c>
      <c r="U1787" s="53" t="s">
        <v>11233</v>
      </c>
    </row>
    <row r="1788">
      <c r="A1788" s="54" t="s">
        <v>11234</v>
      </c>
      <c r="B1788" s="50" t="s">
        <v>11218</v>
      </c>
      <c r="C1788" s="51" t="s">
        <v>329</v>
      </c>
      <c r="D1788" s="51"/>
      <c r="E1788" s="51"/>
      <c r="F1788" s="51"/>
      <c r="G1788" s="50" t="s">
        <v>11235</v>
      </c>
      <c r="H1788" s="52">
        <v>44683.30074074074</v>
      </c>
      <c r="I1788" s="50"/>
      <c r="J1788" s="50"/>
      <c r="K1788" s="50"/>
      <c r="L1788" s="50"/>
      <c r="M1788" s="50" t="s">
        <v>11220</v>
      </c>
      <c r="N1788" s="50"/>
      <c r="O1788" s="53" t="s">
        <v>92</v>
      </c>
      <c r="P1788" s="55" t="s">
        <v>11221</v>
      </c>
      <c r="Q1788" s="50">
        <v>100.0</v>
      </c>
      <c r="R1788" s="50">
        <v>742.0</v>
      </c>
      <c r="S1788" s="50" t="s">
        <v>1064</v>
      </c>
      <c r="T1788" s="56" t="s">
        <v>11236</v>
      </c>
      <c r="U1788" s="53" t="s">
        <v>332</v>
      </c>
    </row>
    <row r="1789">
      <c r="A1789" s="54" t="s">
        <v>11237</v>
      </c>
      <c r="B1789" s="50" t="s">
        <v>11218</v>
      </c>
      <c r="C1789" s="51" t="s">
        <v>335</v>
      </c>
      <c r="D1789" s="51"/>
      <c r="E1789" s="51"/>
      <c r="F1789" s="51"/>
      <c r="G1789" s="50" t="s">
        <v>11238</v>
      </c>
      <c r="H1789" s="52">
        <v>44683.300671296296</v>
      </c>
      <c r="I1789" s="50"/>
      <c r="J1789" s="50"/>
      <c r="K1789" s="50"/>
      <c r="L1789" s="50"/>
      <c r="M1789" s="50" t="s">
        <v>11220</v>
      </c>
      <c r="N1789" s="50"/>
      <c r="O1789" s="53" t="s">
        <v>92</v>
      </c>
      <c r="P1789" s="55" t="s">
        <v>11221</v>
      </c>
      <c r="Q1789" s="50">
        <v>100.0</v>
      </c>
      <c r="R1789" s="50">
        <v>742.0</v>
      </c>
      <c r="S1789" s="50" t="s">
        <v>1064</v>
      </c>
      <c r="T1789" s="56" t="s">
        <v>11239</v>
      </c>
      <c r="U1789" s="53" t="s">
        <v>339</v>
      </c>
    </row>
    <row r="1790">
      <c r="A1790" s="54" t="s">
        <v>11240</v>
      </c>
      <c r="B1790" s="50" t="s">
        <v>11241</v>
      </c>
      <c r="C1790" s="51" t="s">
        <v>5847</v>
      </c>
      <c r="D1790" s="51"/>
      <c r="E1790" s="51"/>
      <c r="F1790" s="51"/>
      <c r="G1790" s="50" t="s">
        <v>11242</v>
      </c>
      <c r="H1790" s="52">
        <v>44683.30061342593</v>
      </c>
      <c r="I1790" s="50"/>
      <c r="J1790" s="50"/>
      <c r="K1790" s="50"/>
      <c r="L1790" s="50"/>
      <c r="M1790" s="50" t="s">
        <v>11243</v>
      </c>
      <c r="N1790" s="50"/>
      <c r="O1790" s="53" t="s">
        <v>217</v>
      </c>
      <c r="P1790" s="55" t="s">
        <v>11244</v>
      </c>
      <c r="Q1790" s="50">
        <v>3554.0</v>
      </c>
      <c r="R1790" s="50">
        <v>4242.0</v>
      </c>
      <c r="S1790" s="50" t="s">
        <v>3389</v>
      </c>
      <c r="T1790" s="56" t="s">
        <v>11245</v>
      </c>
      <c r="U1790" s="53" t="s">
        <v>5853</v>
      </c>
    </row>
    <row r="1791">
      <c r="A1791" s="54" t="s">
        <v>11246</v>
      </c>
      <c r="B1791" s="50" t="s">
        <v>11247</v>
      </c>
      <c r="C1791" s="51" t="s">
        <v>335</v>
      </c>
      <c r="D1791" s="51"/>
      <c r="E1791" s="51"/>
      <c r="F1791" s="51"/>
      <c r="G1791" s="50" t="s">
        <v>11248</v>
      </c>
      <c r="H1791" s="52">
        <v>44683.300532407404</v>
      </c>
      <c r="I1791" s="50"/>
      <c r="J1791" s="50"/>
      <c r="K1791" s="50"/>
      <c r="L1791" s="50"/>
      <c r="M1791" s="50" t="s">
        <v>11249</v>
      </c>
      <c r="N1791" s="50"/>
      <c r="O1791" s="53" t="s">
        <v>217</v>
      </c>
      <c r="P1791" s="55" t="s">
        <v>11250</v>
      </c>
      <c r="Q1791" s="50">
        <v>852.0</v>
      </c>
      <c r="R1791" s="50">
        <v>1358.0</v>
      </c>
      <c r="S1791" s="50" t="s">
        <v>379</v>
      </c>
      <c r="T1791" s="56" t="s">
        <v>11251</v>
      </c>
      <c r="U1791" s="53" t="s">
        <v>339</v>
      </c>
    </row>
    <row r="1792">
      <c r="A1792" s="54" t="s">
        <v>11252</v>
      </c>
      <c r="B1792" s="50" t="s">
        <v>11253</v>
      </c>
      <c r="C1792" s="51" t="s">
        <v>367</v>
      </c>
      <c r="D1792" s="51"/>
      <c r="E1792" s="51"/>
      <c r="F1792" s="51"/>
      <c r="G1792" s="50" t="s">
        <v>11254</v>
      </c>
      <c r="H1792" s="52">
        <v>44683.30049768518</v>
      </c>
      <c r="I1792" s="50"/>
      <c r="J1792" s="50"/>
      <c r="K1792" s="50"/>
      <c r="L1792" s="50"/>
      <c r="M1792" s="50" t="s">
        <v>11255</v>
      </c>
      <c r="N1792" s="50"/>
      <c r="O1792" s="53" t="s">
        <v>92</v>
      </c>
      <c r="P1792" s="55" t="s">
        <v>11256</v>
      </c>
      <c r="Q1792" s="50">
        <v>1730.0</v>
      </c>
      <c r="R1792" s="50">
        <v>2932.0</v>
      </c>
      <c r="S1792" s="50" t="s">
        <v>163</v>
      </c>
      <c r="T1792" s="56" t="s">
        <v>11257</v>
      </c>
      <c r="U1792" s="53" t="s">
        <v>370</v>
      </c>
    </row>
    <row r="1793">
      <c r="A1793" s="54" t="s">
        <v>11258</v>
      </c>
      <c r="B1793" s="50" t="s">
        <v>11259</v>
      </c>
      <c r="C1793" s="51" t="s">
        <v>687</v>
      </c>
      <c r="D1793" s="51"/>
      <c r="E1793" s="51"/>
      <c r="F1793" s="51"/>
      <c r="G1793" s="50" t="s">
        <v>11260</v>
      </c>
      <c r="H1793" s="52">
        <v>44683.300416666665</v>
      </c>
      <c r="I1793" s="50"/>
      <c r="J1793" s="50"/>
      <c r="K1793" s="50"/>
      <c r="L1793" s="50"/>
      <c r="M1793" s="50" t="s">
        <v>11261</v>
      </c>
      <c r="N1793" s="50"/>
      <c r="O1793" s="53" t="s">
        <v>70</v>
      </c>
      <c r="P1793" s="55" t="s">
        <v>11262</v>
      </c>
      <c r="Q1793" s="50">
        <v>1363.0</v>
      </c>
      <c r="R1793" s="50">
        <v>1456.0</v>
      </c>
      <c r="S1793" s="50" t="s">
        <v>11263</v>
      </c>
      <c r="T1793" s="56" t="s">
        <v>11264</v>
      </c>
      <c r="U1793" s="53" t="s">
        <v>691</v>
      </c>
    </row>
    <row r="1794">
      <c r="A1794" s="54" t="s">
        <v>11265</v>
      </c>
      <c r="B1794" s="50" t="s">
        <v>11218</v>
      </c>
      <c r="C1794" s="51" t="s">
        <v>367</v>
      </c>
      <c r="D1794" s="51"/>
      <c r="E1794" s="51"/>
      <c r="F1794" s="51"/>
      <c r="G1794" s="50" t="s">
        <v>11260</v>
      </c>
      <c r="H1794" s="52">
        <v>44683.300416666665</v>
      </c>
      <c r="I1794" s="50"/>
      <c r="J1794" s="50"/>
      <c r="K1794" s="50"/>
      <c r="L1794" s="50"/>
      <c r="M1794" s="50" t="s">
        <v>11220</v>
      </c>
      <c r="N1794" s="50"/>
      <c r="O1794" s="53" t="s">
        <v>92</v>
      </c>
      <c r="P1794" s="55" t="s">
        <v>11221</v>
      </c>
      <c r="Q1794" s="50">
        <v>100.0</v>
      </c>
      <c r="R1794" s="50">
        <v>742.0</v>
      </c>
      <c r="S1794" s="50" t="s">
        <v>1064</v>
      </c>
      <c r="T1794" s="56" t="s">
        <v>11266</v>
      </c>
      <c r="U1794" s="53" t="s">
        <v>370</v>
      </c>
    </row>
    <row r="1795">
      <c r="A1795" s="54" t="s">
        <v>11267</v>
      </c>
      <c r="B1795" s="50" t="s">
        <v>9125</v>
      </c>
      <c r="C1795" s="51" t="s">
        <v>367</v>
      </c>
      <c r="D1795" s="51"/>
      <c r="E1795" s="51"/>
      <c r="F1795" s="51"/>
      <c r="G1795" s="50" t="s">
        <v>11268</v>
      </c>
      <c r="H1795" s="52">
        <v>44683.30034722222</v>
      </c>
      <c r="I1795" s="50"/>
      <c r="J1795" s="50"/>
      <c r="K1795" s="50"/>
      <c r="L1795" s="50"/>
      <c r="M1795" s="50" t="s">
        <v>9127</v>
      </c>
      <c r="N1795" s="50"/>
      <c r="O1795" s="53" t="s">
        <v>70</v>
      </c>
      <c r="P1795" s="55" t="s">
        <v>9128</v>
      </c>
      <c r="Q1795" s="50">
        <v>2314.0</v>
      </c>
      <c r="R1795" s="50">
        <v>2347.0</v>
      </c>
      <c r="S1795" s="50" t="s">
        <v>379</v>
      </c>
      <c r="T1795" s="56" t="s">
        <v>11269</v>
      </c>
      <c r="U1795" s="53" t="s">
        <v>370</v>
      </c>
    </row>
    <row r="1796">
      <c r="A1796" s="54" t="s">
        <v>11270</v>
      </c>
      <c r="B1796" s="50" t="s">
        <v>11271</v>
      </c>
      <c r="C1796" s="51" t="s">
        <v>363</v>
      </c>
      <c r="D1796" s="51"/>
      <c r="E1796" s="51"/>
      <c r="F1796" s="51"/>
      <c r="G1796" s="50" t="s">
        <v>11272</v>
      </c>
      <c r="H1796" s="52">
        <v>44683.300312499996</v>
      </c>
      <c r="I1796" s="50"/>
      <c r="J1796" s="50"/>
      <c r="K1796" s="50"/>
      <c r="L1796" s="50"/>
      <c r="M1796" s="50" t="s">
        <v>11273</v>
      </c>
      <c r="N1796" s="50"/>
      <c r="O1796" s="53" t="s">
        <v>70</v>
      </c>
      <c r="P1796" s="55" t="s">
        <v>11274</v>
      </c>
      <c r="Q1796" s="50">
        <v>439.0</v>
      </c>
      <c r="R1796" s="50">
        <v>994.0</v>
      </c>
      <c r="S1796" s="50" t="s">
        <v>246</v>
      </c>
      <c r="T1796" s="56" t="s">
        <v>11275</v>
      </c>
      <c r="U1796" s="53" t="s">
        <v>332</v>
      </c>
    </row>
    <row r="1797">
      <c r="A1797" s="54" t="s">
        <v>11276</v>
      </c>
      <c r="B1797" s="50" t="s">
        <v>11277</v>
      </c>
      <c r="C1797" s="51" t="s">
        <v>8182</v>
      </c>
      <c r="D1797" s="51"/>
      <c r="E1797" s="51"/>
      <c r="F1797" s="51"/>
      <c r="G1797" s="50" t="s">
        <v>11278</v>
      </c>
      <c r="H1797" s="52">
        <v>44683.30021990741</v>
      </c>
      <c r="I1797" s="50"/>
      <c r="J1797" s="50"/>
      <c r="K1797" s="50"/>
      <c r="L1797" s="50"/>
      <c r="M1797" s="50" t="s">
        <v>11279</v>
      </c>
      <c r="N1797" s="50"/>
      <c r="O1797" s="53" t="s">
        <v>60</v>
      </c>
      <c r="P1797" s="55" t="s">
        <v>354</v>
      </c>
      <c r="Q1797" s="50">
        <v>1482.0</v>
      </c>
      <c r="R1797" s="50">
        <v>1666.0</v>
      </c>
      <c r="S1797" s="50"/>
      <c r="T1797" s="56" t="s">
        <v>11280</v>
      </c>
      <c r="U1797" s="53" t="s">
        <v>8187</v>
      </c>
    </row>
    <row r="1798">
      <c r="A1798" s="54" t="s">
        <v>11281</v>
      </c>
      <c r="B1798" s="50" t="s">
        <v>11282</v>
      </c>
      <c r="C1798" s="51" t="s">
        <v>11283</v>
      </c>
      <c r="D1798" s="51"/>
      <c r="E1798" s="51"/>
      <c r="F1798" s="51"/>
      <c r="G1798" s="50" t="s">
        <v>11284</v>
      </c>
      <c r="H1798" s="52">
        <v>44683.300208333334</v>
      </c>
      <c r="I1798" s="50"/>
      <c r="J1798" s="50"/>
      <c r="K1798" s="50"/>
      <c r="L1798" s="50"/>
      <c r="M1798" s="50" t="s">
        <v>11285</v>
      </c>
      <c r="N1798" s="50"/>
      <c r="O1798" s="53" t="s">
        <v>217</v>
      </c>
      <c r="P1798" s="55" t="s">
        <v>11286</v>
      </c>
      <c r="Q1798" s="50">
        <v>6787.0</v>
      </c>
      <c r="R1798" s="50">
        <v>7046.0</v>
      </c>
      <c r="S1798" s="50" t="s">
        <v>11287</v>
      </c>
      <c r="T1798" s="56" t="s">
        <v>11288</v>
      </c>
      <c r="U1798" s="53" t="s">
        <v>11289</v>
      </c>
    </row>
    <row r="1799">
      <c r="A1799" s="54" t="s">
        <v>11290</v>
      </c>
      <c r="B1799" s="50" t="s">
        <v>11291</v>
      </c>
      <c r="C1799" s="51" t="s">
        <v>4233</v>
      </c>
      <c r="D1799" s="51"/>
      <c r="E1799" s="51"/>
      <c r="F1799" s="51"/>
      <c r="G1799" s="50" t="s">
        <v>11292</v>
      </c>
      <c r="H1799" s="52">
        <v>44683.30018518519</v>
      </c>
      <c r="I1799" s="50"/>
      <c r="J1799" s="50"/>
      <c r="K1799" s="50"/>
      <c r="L1799" s="50"/>
      <c r="M1799" s="50" t="s">
        <v>11293</v>
      </c>
      <c r="N1799" s="50"/>
      <c r="O1799" s="53" t="s">
        <v>92</v>
      </c>
      <c r="P1799" s="55" t="s">
        <v>11294</v>
      </c>
      <c r="Q1799" s="50">
        <v>2069.0</v>
      </c>
      <c r="R1799" s="50">
        <v>224.0</v>
      </c>
      <c r="S1799" s="50"/>
      <c r="T1799" s="56" t="s">
        <v>11295</v>
      </c>
      <c r="U1799" s="53" t="s">
        <v>4237</v>
      </c>
    </row>
    <row r="1800">
      <c r="A1800" s="54" t="s">
        <v>11296</v>
      </c>
      <c r="B1800" s="50" t="s">
        <v>10531</v>
      </c>
      <c r="C1800" s="51" t="s">
        <v>367</v>
      </c>
      <c r="D1800" s="51"/>
      <c r="E1800" s="51"/>
      <c r="F1800" s="51"/>
      <c r="G1800" s="50" t="s">
        <v>11297</v>
      </c>
      <c r="H1800" s="52">
        <v>44683.30013888889</v>
      </c>
      <c r="I1800" s="50"/>
      <c r="J1800" s="50"/>
      <c r="K1800" s="50"/>
      <c r="L1800" s="50"/>
      <c r="M1800" s="50" t="s">
        <v>10533</v>
      </c>
      <c r="N1800" s="50"/>
      <c r="O1800" s="53" t="s">
        <v>70</v>
      </c>
      <c r="P1800" s="55" t="s">
        <v>10534</v>
      </c>
      <c r="Q1800" s="50">
        <v>5664.0</v>
      </c>
      <c r="R1800" s="50">
        <v>6191.0</v>
      </c>
      <c r="S1800" s="50" t="s">
        <v>8460</v>
      </c>
      <c r="T1800" s="56" t="s">
        <v>11298</v>
      </c>
      <c r="U1800" s="53" t="s">
        <v>370</v>
      </c>
    </row>
    <row r="1801">
      <c r="A1801" s="54" t="s">
        <v>11299</v>
      </c>
      <c r="B1801" s="50" t="s">
        <v>11300</v>
      </c>
      <c r="C1801" s="51" t="s">
        <v>367</v>
      </c>
      <c r="D1801" s="51"/>
      <c r="E1801" s="51"/>
      <c r="F1801" s="51"/>
      <c r="G1801" s="50" t="s">
        <v>11301</v>
      </c>
      <c r="H1801" s="52">
        <v>44683.30012731481</v>
      </c>
      <c r="I1801" s="50"/>
      <c r="J1801" s="50"/>
      <c r="K1801" s="50"/>
      <c r="L1801" s="50"/>
      <c r="M1801" s="50" t="s">
        <v>11302</v>
      </c>
      <c r="N1801" s="50"/>
      <c r="O1801" s="53" t="s">
        <v>217</v>
      </c>
      <c r="P1801" s="55" t="s">
        <v>11303</v>
      </c>
      <c r="Q1801" s="50">
        <v>274.0</v>
      </c>
      <c r="R1801" s="50">
        <v>1135.0</v>
      </c>
      <c r="S1801" s="50" t="s">
        <v>11304</v>
      </c>
      <c r="T1801" s="56" t="s">
        <v>11305</v>
      </c>
      <c r="U1801" s="53" t="s">
        <v>370</v>
      </c>
    </row>
    <row r="1802">
      <c r="A1802" s="54" t="s">
        <v>11306</v>
      </c>
      <c r="B1802" s="50" t="s">
        <v>11148</v>
      </c>
      <c r="C1802" s="51" t="s">
        <v>316</v>
      </c>
      <c r="D1802" s="51"/>
      <c r="E1802" s="51"/>
      <c r="F1802" s="51"/>
      <c r="G1802" s="50" t="s">
        <v>11307</v>
      </c>
      <c r="H1802" s="52">
        <v>44683.299837962964</v>
      </c>
      <c r="I1802" s="50"/>
      <c r="J1802" s="50"/>
      <c r="K1802" s="50"/>
      <c r="L1802" s="50"/>
      <c r="M1802" s="50" t="s">
        <v>11150</v>
      </c>
      <c r="N1802" s="50"/>
      <c r="O1802" s="53" t="s">
        <v>92</v>
      </c>
      <c r="P1802" s="55" t="s">
        <v>11151</v>
      </c>
      <c r="Q1802" s="50">
        <v>3273.0</v>
      </c>
      <c r="R1802" s="50">
        <v>4107.0</v>
      </c>
      <c r="S1802" s="50" t="s">
        <v>11152</v>
      </c>
      <c r="T1802" s="56" t="s">
        <v>11308</v>
      </c>
      <c r="U1802" s="53" t="s">
        <v>322</v>
      </c>
    </row>
    <row r="1803">
      <c r="A1803" s="54" t="s">
        <v>11309</v>
      </c>
      <c r="B1803" s="50" t="s">
        <v>11310</v>
      </c>
      <c r="C1803" s="51" t="s">
        <v>316</v>
      </c>
      <c r="D1803" s="51"/>
      <c r="E1803" s="51"/>
      <c r="F1803" s="51"/>
      <c r="G1803" s="50" t="s">
        <v>11311</v>
      </c>
      <c r="H1803" s="52">
        <v>44683.29975694444</v>
      </c>
      <c r="I1803" s="50"/>
      <c r="J1803" s="50"/>
      <c r="K1803" s="50"/>
      <c r="L1803" s="50"/>
      <c r="M1803" s="50" t="s">
        <v>11312</v>
      </c>
      <c r="N1803" s="50"/>
      <c r="O1803" s="53" t="s">
        <v>217</v>
      </c>
      <c r="P1803" s="55" t="s">
        <v>11313</v>
      </c>
      <c r="Q1803" s="50">
        <v>7905.0</v>
      </c>
      <c r="R1803" s="50">
        <v>1347.0</v>
      </c>
      <c r="S1803" s="50" t="s">
        <v>11314</v>
      </c>
      <c r="T1803" s="56" t="s">
        <v>11315</v>
      </c>
      <c r="U1803" s="53" t="s">
        <v>322</v>
      </c>
    </row>
    <row r="1804">
      <c r="A1804" s="54" t="s">
        <v>11316</v>
      </c>
      <c r="B1804" s="50" t="s">
        <v>11148</v>
      </c>
      <c r="C1804" s="51" t="s">
        <v>329</v>
      </c>
      <c r="D1804" s="51"/>
      <c r="E1804" s="51"/>
      <c r="F1804" s="51"/>
      <c r="G1804" s="50" t="s">
        <v>11317</v>
      </c>
      <c r="H1804" s="52">
        <v>44683.299687499995</v>
      </c>
      <c r="I1804" s="50"/>
      <c r="J1804" s="50"/>
      <c r="K1804" s="50"/>
      <c r="L1804" s="50"/>
      <c r="M1804" s="50" t="s">
        <v>11150</v>
      </c>
      <c r="N1804" s="50"/>
      <c r="O1804" s="53" t="s">
        <v>92</v>
      </c>
      <c r="P1804" s="55" t="s">
        <v>11151</v>
      </c>
      <c r="Q1804" s="50">
        <v>3273.0</v>
      </c>
      <c r="R1804" s="50">
        <v>4107.0</v>
      </c>
      <c r="S1804" s="50" t="s">
        <v>11152</v>
      </c>
      <c r="T1804" s="56" t="s">
        <v>11318</v>
      </c>
      <c r="U1804" s="53" t="s">
        <v>332</v>
      </c>
    </row>
    <row r="1805">
      <c r="A1805" s="54" t="s">
        <v>11319</v>
      </c>
      <c r="B1805" s="50" t="s">
        <v>11320</v>
      </c>
      <c r="C1805" s="51" t="s">
        <v>2869</v>
      </c>
      <c r="D1805" s="51"/>
      <c r="E1805" s="51"/>
      <c r="F1805" s="51"/>
      <c r="G1805" s="50" t="s">
        <v>11321</v>
      </c>
      <c r="H1805" s="52">
        <v>44683.29962962963</v>
      </c>
      <c r="I1805" s="50"/>
      <c r="J1805" s="50"/>
      <c r="K1805" s="50"/>
      <c r="L1805" s="50"/>
      <c r="M1805" s="50" t="s">
        <v>11322</v>
      </c>
      <c r="N1805" s="50"/>
      <c r="O1805" s="53" t="s">
        <v>217</v>
      </c>
      <c r="P1805" s="55" t="s">
        <v>11323</v>
      </c>
      <c r="Q1805" s="50">
        <v>4206.0</v>
      </c>
      <c r="R1805" s="50">
        <v>3614.0</v>
      </c>
      <c r="S1805" s="50"/>
      <c r="T1805" s="56" t="s">
        <v>11324</v>
      </c>
      <c r="U1805" s="53" t="s">
        <v>2874</v>
      </c>
    </row>
    <row r="1806">
      <c r="A1806" s="54" t="s">
        <v>11325</v>
      </c>
      <c r="B1806" s="50" t="s">
        <v>11326</v>
      </c>
      <c r="C1806" s="51" t="s">
        <v>363</v>
      </c>
      <c r="D1806" s="51"/>
      <c r="E1806" s="51"/>
      <c r="F1806" s="51"/>
      <c r="G1806" s="50" t="s">
        <v>11327</v>
      </c>
      <c r="H1806" s="52">
        <v>44683.29935185185</v>
      </c>
      <c r="I1806" s="50"/>
      <c r="J1806" s="50"/>
      <c r="K1806" s="50"/>
      <c r="L1806" s="50"/>
      <c r="M1806" s="50" t="s">
        <v>11328</v>
      </c>
      <c r="N1806" s="50"/>
      <c r="O1806" s="53" t="s">
        <v>70</v>
      </c>
      <c r="P1806" s="55" t="s">
        <v>11329</v>
      </c>
      <c r="Q1806" s="50">
        <v>2957.0</v>
      </c>
      <c r="R1806" s="50">
        <v>3369.0</v>
      </c>
      <c r="S1806" s="50" t="s">
        <v>11330</v>
      </c>
      <c r="T1806" s="56" t="s">
        <v>11331</v>
      </c>
      <c r="U1806" s="53" t="s">
        <v>332</v>
      </c>
    </row>
    <row r="1807">
      <c r="A1807" s="54" t="s">
        <v>11332</v>
      </c>
      <c r="B1807" s="50" t="s">
        <v>11333</v>
      </c>
      <c r="C1807" s="51" t="s">
        <v>367</v>
      </c>
      <c r="D1807" s="51"/>
      <c r="E1807" s="51"/>
      <c r="F1807" s="51"/>
      <c r="G1807" s="50" t="s">
        <v>11334</v>
      </c>
      <c r="H1807" s="52">
        <v>44683.299166666664</v>
      </c>
      <c r="I1807" s="50"/>
      <c r="J1807" s="50"/>
      <c r="K1807" s="50"/>
      <c r="L1807" s="50"/>
      <c r="M1807" s="50" t="s">
        <v>11335</v>
      </c>
      <c r="N1807" s="50"/>
      <c r="O1807" s="53" t="s">
        <v>70</v>
      </c>
      <c r="P1807" s="55" t="s">
        <v>11336</v>
      </c>
      <c r="Q1807" s="50">
        <v>318.0</v>
      </c>
      <c r="R1807" s="50">
        <v>262.0</v>
      </c>
      <c r="S1807" s="50"/>
      <c r="T1807" s="56" t="s">
        <v>11337</v>
      </c>
      <c r="U1807" s="53" t="s">
        <v>370</v>
      </c>
    </row>
    <row r="1808">
      <c r="A1808" s="54" t="s">
        <v>11338</v>
      </c>
      <c r="B1808" s="50" t="s">
        <v>11339</v>
      </c>
      <c r="C1808" s="51" t="s">
        <v>11340</v>
      </c>
      <c r="D1808" s="51"/>
      <c r="E1808" s="51"/>
      <c r="F1808" s="51"/>
      <c r="G1808" s="50" t="s">
        <v>11341</v>
      </c>
      <c r="H1808" s="52">
        <v>44683.299062499995</v>
      </c>
      <c r="I1808" s="50"/>
      <c r="J1808" s="50"/>
      <c r="K1808" s="50"/>
      <c r="L1808" s="50"/>
      <c r="M1808" s="50" t="s">
        <v>11342</v>
      </c>
      <c r="N1808" s="50"/>
      <c r="O1808" s="53" t="s">
        <v>70</v>
      </c>
      <c r="P1808" s="55" t="s">
        <v>354</v>
      </c>
      <c r="Q1808" s="50">
        <v>3826.0</v>
      </c>
      <c r="R1808" s="50">
        <v>4996.0</v>
      </c>
      <c r="S1808" s="50"/>
      <c r="T1808" s="56" t="s">
        <v>11343</v>
      </c>
      <c r="U1808" s="53" t="s">
        <v>11344</v>
      </c>
    </row>
    <row r="1809">
      <c r="A1809" s="54" t="s">
        <v>11345</v>
      </c>
      <c r="B1809" s="50" t="s">
        <v>11346</v>
      </c>
      <c r="C1809" s="51" t="s">
        <v>687</v>
      </c>
      <c r="D1809" s="51"/>
      <c r="E1809" s="51"/>
      <c r="F1809" s="51"/>
      <c r="G1809" s="50" t="s">
        <v>11347</v>
      </c>
      <c r="H1809" s="52">
        <v>44683.299050925925</v>
      </c>
      <c r="I1809" s="50"/>
      <c r="J1809" s="50"/>
      <c r="K1809" s="50"/>
      <c r="L1809" s="50"/>
      <c r="M1809" s="50" t="s">
        <v>11348</v>
      </c>
      <c r="N1809" s="50"/>
      <c r="O1809" s="53" t="s">
        <v>70</v>
      </c>
      <c r="P1809" s="55" t="s">
        <v>354</v>
      </c>
      <c r="Q1809" s="50">
        <v>62.0</v>
      </c>
      <c r="R1809" s="50">
        <v>288.0</v>
      </c>
      <c r="S1809" s="50"/>
      <c r="T1809" s="56" t="s">
        <v>11349</v>
      </c>
      <c r="U1809" s="53" t="s">
        <v>691</v>
      </c>
    </row>
    <row r="1810">
      <c r="A1810" s="54" t="s">
        <v>11350</v>
      </c>
      <c r="B1810" s="50" t="s">
        <v>395</v>
      </c>
      <c r="C1810" s="51" t="s">
        <v>5847</v>
      </c>
      <c r="D1810" s="51"/>
      <c r="E1810" s="51"/>
      <c r="F1810" s="51"/>
      <c r="G1810" s="50" t="s">
        <v>11351</v>
      </c>
      <c r="H1810" s="52">
        <v>44683.29880787037</v>
      </c>
      <c r="I1810" s="50"/>
      <c r="J1810" s="50"/>
      <c r="K1810" s="50"/>
      <c r="L1810" s="50"/>
      <c r="M1810" s="50" t="s">
        <v>398</v>
      </c>
      <c r="N1810" s="50"/>
      <c r="O1810" s="53" t="s">
        <v>399</v>
      </c>
      <c r="P1810" s="55" t="s">
        <v>400</v>
      </c>
      <c r="Q1810" s="50">
        <v>780.0</v>
      </c>
      <c r="R1810" s="50">
        <v>36.0</v>
      </c>
      <c r="S1810" s="50" t="s">
        <v>219</v>
      </c>
      <c r="T1810" s="56" t="s">
        <v>11352</v>
      </c>
      <c r="U1810" s="53" t="s">
        <v>5853</v>
      </c>
    </row>
    <row r="1811">
      <c r="A1811" s="54" t="s">
        <v>11353</v>
      </c>
      <c r="B1811" s="50" t="s">
        <v>11354</v>
      </c>
      <c r="C1811" s="51" t="s">
        <v>367</v>
      </c>
      <c r="D1811" s="51"/>
      <c r="E1811" s="51"/>
      <c r="F1811" s="51"/>
      <c r="G1811" s="50" t="s">
        <v>11355</v>
      </c>
      <c r="H1811" s="52">
        <v>44683.29864583333</v>
      </c>
      <c r="I1811" s="50"/>
      <c r="J1811" s="50"/>
      <c r="K1811" s="50"/>
      <c r="L1811" s="50"/>
      <c r="M1811" s="50" t="s">
        <v>11356</v>
      </c>
      <c r="N1811" s="50"/>
      <c r="O1811" s="53" t="s">
        <v>217</v>
      </c>
      <c r="P1811" s="55" t="s">
        <v>11357</v>
      </c>
      <c r="Q1811" s="50">
        <v>6710.0</v>
      </c>
      <c r="R1811" s="50">
        <v>5924.0</v>
      </c>
      <c r="S1811" s="50" t="s">
        <v>11358</v>
      </c>
      <c r="T1811" s="56" t="s">
        <v>11359</v>
      </c>
      <c r="U1811" s="53" t="s">
        <v>370</v>
      </c>
    </row>
    <row r="1812">
      <c r="A1812" s="54" t="s">
        <v>11360</v>
      </c>
      <c r="B1812" s="50" t="s">
        <v>11361</v>
      </c>
      <c r="C1812" s="51" t="s">
        <v>7142</v>
      </c>
      <c r="D1812" s="51"/>
      <c r="E1812" s="51"/>
      <c r="F1812" s="51"/>
      <c r="G1812" s="50" t="s">
        <v>11362</v>
      </c>
      <c r="H1812" s="52">
        <v>44683.29859953704</v>
      </c>
      <c r="I1812" s="50"/>
      <c r="J1812" s="50"/>
      <c r="K1812" s="50"/>
      <c r="L1812" s="50"/>
      <c r="M1812" s="50" t="s">
        <v>11363</v>
      </c>
      <c r="N1812" s="50"/>
      <c r="O1812" s="53" t="s">
        <v>60</v>
      </c>
      <c r="P1812" s="55" t="s">
        <v>11364</v>
      </c>
      <c r="Q1812" s="50">
        <v>825.0</v>
      </c>
      <c r="R1812" s="50">
        <v>696.0</v>
      </c>
      <c r="S1812" s="50"/>
      <c r="T1812" s="56" t="s">
        <v>11365</v>
      </c>
      <c r="U1812" s="53" t="s">
        <v>7148</v>
      </c>
    </row>
    <row r="1813">
      <c r="A1813" s="54" t="s">
        <v>11366</v>
      </c>
      <c r="B1813" s="50" t="s">
        <v>11367</v>
      </c>
      <c r="C1813" s="51" t="s">
        <v>367</v>
      </c>
      <c r="D1813" s="51"/>
      <c r="E1813" s="51"/>
      <c r="F1813" s="51"/>
      <c r="G1813" s="50" t="s">
        <v>11368</v>
      </c>
      <c r="H1813" s="52">
        <v>44683.29833333333</v>
      </c>
      <c r="I1813" s="50"/>
      <c r="J1813" s="50"/>
      <c r="K1813" s="50"/>
      <c r="L1813" s="50"/>
      <c r="M1813" s="50" t="s">
        <v>11369</v>
      </c>
      <c r="N1813" s="50"/>
      <c r="O1813" s="53" t="s">
        <v>92</v>
      </c>
      <c r="P1813" s="55" t="s">
        <v>11370</v>
      </c>
      <c r="Q1813" s="50">
        <v>47.0</v>
      </c>
      <c r="R1813" s="50">
        <v>61.0</v>
      </c>
      <c r="S1813" s="50"/>
      <c r="T1813" s="56" t="s">
        <v>11371</v>
      </c>
      <c r="U1813" s="53" t="s">
        <v>370</v>
      </c>
    </row>
    <row r="1814">
      <c r="A1814" s="54" t="s">
        <v>11372</v>
      </c>
      <c r="B1814" s="50" t="s">
        <v>10746</v>
      </c>
      <c r="C1814" s="51" t="s">
        <v>11373</v>
      </c>
      <c r="D1814" s="51"/>
      <c r="E1814" s="51"/>
      <c r="F1814" s="51"/>
      <c r="G1814" s="50" t="s">
        <v>11374</v>
      </c>
      <c r="H1814" s="52">
        <v>44683.298171296294</v>
      </c>
      <c r="I1814" s="50"/>
      <c r="J1814" s="50"/>
      <c r="K1814" s="50"/>
      <c r="L1814" s="50"/>
      <c r="M1814" s="50" t="s">
        <v>10749</v>
      </c>
      <c r="N1814" s="50"/>
      <c r="O1814" s="53" t="s">
        <v>92</v>
      </c>
      <c r="P1814" s="55" t="s">
        <v>10751</v>
      </c>
      <c r="Q1814" s="50">
        <v>6880.0</v>
      </c>
      <c r="R1814" s="50">
        <v>4573.0</v>
      </c>
      <c r="S1814" s="50" t="s">
        <v>1311</v>
      </c>
      <c r="T1814" s="56" t="s">
        <v>11375</v>
      </c>
      <c r="U1814" s="53" t="s">
        <v>11376</v>
      </c>
    </row>
    <row r="1815">
      <c r="A1815" s="54" t="s">
        <v>11377</v>
      </c>
      <c r="B1815" s="50" t="s">
        <v>11378</v>
      </c>
      <c r="C1815" s="51" t="s">
        <v>11379</v>
      </c>
      <c r="D1815" s="51"/>
      <c r="E1815" s="51"/>
      <c r="F1815" s="51"/>
      <c r="G1815" s="50" t="s">
        <v>11380</v>
      </c>
      <c r="H1815" s="52">
        <v>44683.29810185185</v>
      </c>
      <c r="I1815" s="50"/>
      <c r="J1815" s="50"/>
      <c r="K1815" s="50" t="s">
        <v>11381</v>
      </c>
      <c r="L1815" s="50" t="s">
        <v>11382</v>
      </c>
      <c r="M1815" s="50" t="s">
        <v>11383</v>
      </c>
      <c r="N1815" s="50" t="s">
        <v>11384</v>
      </c>
      <c r="O1815" s="53" t="s">
        <v>70</v>
      </c>
      <c r="P1815" s="55" t="s">
        <v>11385</v>
      </c>
      <c r="Q1815" s="50">
        <v>3.0</v>
      </c>
      <c r="R1815" s="50">
        <v>86.0</v>
      </c>
      <c r="S1815" s="50"/>
      <c r="T1815" s="56" t="s">
        <v>11386</v>
      </c>
      <c r="U1815" s="53" t="s">
        <v>11387</v>
      </c>
    </row>
    <row r="1816">
      <c r="A1816" s="54" t="s">
        <v>11388</v>
      </c>
      <c r="B1816" s="50" t="s">
        <v>11389</v>
      </c>
      <c r="C1816" s="51" t="s">
        <v>367</v>
      </c>
      <c r="D1816" s="51"/>
      <c r="E1816" s="51"/>
      <c r="F1816" s="51"/>
      <c r="G1816" s="50" t="s">
        <v>11390</v>
      </c>
      <c r="H1816" s="52">
        <v>44683.29803240741</v>
      </c>
      <c r="I1816" s="50"/>
      <c r="J1816" s="50"/>
      <c r="K1816" s="50"/>
      <c r="L1816" s="50"/>
      <c r="M1816" s="50" t="s">
        <v>11391</v>
      </c>
      <c r="N1816" s="50"/>
      <c r="O1816" s="53" t="s">
        <v>92</v>
      </c>
      <c r="P1816" s="55" t="s">
        <v>11392</v>
      </c>
      <c r="Q1816" s="50">
        <v>935.0</v>
      </c>
      <c r="R1816" s="50">
        <v>753.0</v>
      </c>
      <c r="S1816" s="50" t="s">
        <v>11393</v>
      </c>
      <c r="T1816" s="56" t="s">
        <v>11394</v>
      </c>
      <c r="U1816" s="53" t="s">
        <v>370</v>
      </c>
    </row>
    <row r="1817">
      <c r="A1817" s="54" t="s">
        <v>11395</v>
      </c>
      <c r="B1817" s="50" t="s">
        <v>11396</v>
      </c>
      <c r="C1817" s="51" t="s">
        <v>8921</v>
      </c>
      <c r="D1817" s="51"/>
      <c r="E1817" s="51"/>
      <c r="F1817" s="51"/>
      <c r="G1817" s="50" t="s">
        <v>11397</v>
      </c>
      <c r="H1817" s="52">
        <v>44683.297997685186</v>
      </c>
      <c r="I1817" s="50"/>
      <c r="J1817" s="50"/>
      <c r="K1817" s="50"/>
      <c r="L1817" s="50"/>
      <c r="M1817" s="50" t="s">
        <v>11398</v>
      </c>
      <c r="N1817" s="50"/>
      <c r="O1817" s="53" t="s">
        <v>92</v>
      </c>
      <c r="P1817" s="55" t="s">
        <v>11399</v>
      </c>
      <c r="Q1817" s="50">
        <v>612.0</v>
      </c>
      <c r="R1817" s="50">
        <v>1665.0</v>
      </c>
      <c r="S1817" s="50" t="s">
        <v>219</v>
      </c>
      <c r="T1817" s="56" t="s">
        <v>11400</v>
      </c>
      <c r="U1817" s="53" t="s">
        <v>8927</v>
      </c>
    </row>
    <row r="1818">
      <c r="A1818" s="54" t="s">
        <v>11401</v>
      </c>
      <c r="B1818" s="50" t="s">
        <v>11402</v>
      </c>
      <c r="C1818" s="51" t="s">
        <v>367</v>
      </c>
      <c r="D1818" s="51"/>
      <c r="E1818" s="51"/>
      <c r="F1818" s="51"/>
      <c r="G1818" s="50" t="s">
        <v>11397</v>
      </c>
      <c r="H1818" s="52">
        <v>44683.297997685186</v>
      </c>
      <c r="I1818" s="50"/>
      <c r="J1818" s="50"/>
      <c r="K1818" s="50"/>
      <c r="L1818" s="50"/>
      <c r="M1818" s="50" t="s">
        <v>11403</v>
      </c>
      <c r="N1818" s="50"/>
      <c r="O1818" s="53" t="s">
        <v>92</v>
      </c>
      <c r="P1818" s="55" t="s">
        <v>11404</v>
      </c>
      <c r="Q1818" s="50">
        <v>2452.0</v>
      </c>
      <c r="R1818" s="50">
        <v>4997.0</v>
      </c>
      <c r="S1818" s="50" t="s">
        <v>379</v>
      </c>
      <c r="T1818" s="56" t="s">
        <v>11405</v>
      </c>
      <c r="U1818" s="53" t="s">
        <v>370</v>
      </c>
    </row>
    <row r="1819">
      <c r="A1819" s="54" t="s">
        <v>11406</v>
      </c>
      <c r="B1819" s="50" t="s">
        <v>11407</v>
      </c>
      <c r="C1819" s="51" t="s">
        <v>363</v>
      </c>
      <c r="D1819" s="51"/>
      <c r="E1819" s="51"/>
      <c r="F1819" s="51"/>
      <c r="G1819" s="50" t="s">
        <v>11408</v>
      </c>
      <c r="H1819" s="52">
        <v>44683.297789351855</v>
      </c>
      <c r="I1819" s="50"/>
      <c r="J1819" s="50"/>
      <c r="K1819" s="50"/>
      <c r="L1819" s="50"/>
      <c r="M1819" s="50" t="s">
        <v>11409</v>
      </c>
      <c r="N1819" s="50"/>
      <c r="O1819" s="53" t="s">
        <v>92</v>
      </c>
      <c r="P1819" s="55" t="s">
        <v>11410</v>
      </c>
      <c r="Q1819" s="50">
        <v>37.0</v>
      </c>
      <c r="R1819" s="50">
        <v>112.0</v>
      </c>
      <c r="S1819" s="50"/>
      <c r="T1819" s="56" t="s">
        <v>11411</v>
      </c>
      <c r="U1819" s="53" t="s">
        <v>332</v>
      </c>
    </row>
    <row r="1820">
      <c r="A1820" s="54" t="s">
        <v>11412</v>
      </c>
      <c r="B1820" s="50" t="s">
        <v>11413</v>
      </c>
      <c r="C1820" s="51" t="s">
        <v>7142</v>
      </c>
      <c r="D1820" s="51"/>
      <c r="E1820" s="51"/>
      <c r="F1820" s="51"/>
      <c r="G1820" s="50" t="s">
        <v>11414</v>
      </c>
      <c r="H1820" s="52">
        <v>44683.2977662037</v>
      </c>
      <c r="I1820" s="50"/>
      <c r="J1820" s="50"/>
      <c r="K1820" s="50"/>
      <c r="L1820" s="50"/>
      <c r="M1820" s="50" t="s">
        <v>11415</v>
      </c>
      <c r="N1820" s="50"/>
      <c r="O1820" s="53" t="s">
        <v>92</v>
      </c>
      <c r="P1820" s="55" t="s">
        <v>11416</v>
      </c>
      <c r="Q1820" s="50">
        <v>1541.0</v>
      </c>
      <c r="R1820" s="50">
        <v>1718.0</v>
      </c>
      <c r="S1820" s="50"/>
      <c r="T1820" s="56" t="s">
        <v>11417</v>
      </c>
      <c r="U1820" s="53" t="s">
        <v>7148</v>
      </c>
    </row>
    <row r="1821">
      <c r="A1821" s="54" t="s">
        <v>11418</v>
      </c>
      <c r="B1821" s="50" t="s">
        <v>11419</v>
      </c>
      <c r="C1821" s="51" t="s">
        <v>8921</v>
      </c>
      <c r="D1821" s="51"/>
      <c r="E1821" s="51"/>
      <c r="F1821" s="51"/>
      <c r="G1821" s="50" t="s">
        <v>11420</v>
      </c>
      <c r="H1821" s="52">
        <v>44683.29770833333</v>
      </c>
      <c r="I1821" s="50"/>
      <c r="J1821" s="50"/>
      <c r="K1821" s="50"/>
      <c r="L1821" s="50"/>
      <c r="M1821" s="50" t="s">
        <v>11421</v>
      </c>
      <c r="N1821" s="50"/>
      <c r="O1821" s="53" t="s">
        <v>70</v>
      </c>
      <c r="P1821" s="55" t="s">
        <v>11422</v>
      </c>
      <c r="Q1821" s="50">
        <v>3731.0</v>
      </c>
      <c r="R1821" s="50">
        <v>4997.0</v>
      </c>
      <c r="S1821" s="50" t="s">
        <v>11423</v>
      </c>
      <c r="T1821" s="56" t="s">
        <v>11424</v>
      </c>
      <c r="U1821" s="53" t="s">
        <v>8927</v>
      </c>
    </row>
    <row r="1822">
      <c r="A1822" s="54" t="s">
        <v>11425</v>
      </c>
      <c r="B1822" s="50" t="s">
        <v>11426</v>
      </c>
      <c r="C1822" s="51" t="s">
        <v>367</v>
      </c>
      <c r="D1822" s="51"/>
      <c r="E1822" s="51"/>
      <c r="F1822" s="51"/>
      <c r="G1822" s="50" t="s">
        <v>11427</v>
      </c>
      <c r="H1822" s="52">
        <v>44683.29766203703</v>
      </c>
      <c r="I1822" s="50"/>
      <c r="J1822" s="50"/>
      <c r="K1822" s="50"/>
      <c r="L1822" s="50"/>
      <c r="M1822" s="50" t="s">
        <v>11428</v>
      </c>
      <c r="N1822" s="50"/>
      <c r="O1822" s="53" t="s">
        <v>92</v>
      </c>
      <c r="P1822" s="55" t="s">
        <v>11429</v>
      </c>
      <c r="Q1822" s="50">
        <v>500.0</v>
      </c>
      <c r="R1822" s="50">
        <v>524.0</v>
      </c>
      <c r="S1822" s="50" t="s">
        <v>11430</v>
      </c>
      <c r="T1822" s="56" t="s">
        <v>11431</v>
      </c>
      <c r="U1822" s="53" t="s">
        <v>370</v>
      </c>
    </row>
    <row r="1823">
      <c r="A1823" s="54" t="s">
        <v>11432</v>
      </c>
      <c r="B1823" s="50" t="s">
        <v>11419</v>
      </c>
      <c r="C1823" s="51" t="s">
        <v>316</v>
      </c>
      <c r="D1823" s="51"/>
      <c r="E1823" s="51"/>
      <c r="F1823" s="51"/>
      <c r="G1823" s="50" t="s">
        <v>11433</v>
      </c>
      <c r="H1823" s="52">
        <v>44683.29746527778</v>
      </c>
      <c r="I1823" s="50"/>
      <c r="J1823" s="50"/>
      <c r="K1823" s="50"/>
      <c r="L1823" s="50"/>
      <c r="M1823" s="50" t="s">
        <v>11421</v>
      </c>
      <c r="N1823" s="50"/>
      <c r="O1823" s="53" t="s">
        <v>70</v>
      </c>
      <c r="P1823" s="55" t="s">
        <v>11422</v>
      </c>
      <c r="Q1823" s="50">
        <v>3731.0</v>
      </c>
      <c r="R1823" s="50">
        <v>4997.0</v>
      </c>
      <c r="S1823" s="50" t="s">
        <v>11423</v>
      </c>
      <c r="T1823" s="56" t="s">
        <v>11434</v>
      </c>
      <c r="U1823" s="53" t="s">
        <v>322</v>
      </c>
    </row>
    <row r="1824">
      <c r="A1824" s="54" t="s">
        <v>11435</v>
      </c>
      <c r="B1824" s="50" t="s">
        <v>11436</v>
      </c>
      <c r="C1824" s="51" t="s">
        <v>2630</v>
      </c>
      <c r="D1824" s="51"/>
      <c r="E1824" s="51"/>
      <c r="F1824" s="51"/>
      <c r="G1824" s="50" t="s">
        <v>11437</v>
      </c>
      <c r="H1824" s="52">
        <v>44683.29726851852</v>
      </c>
      <c r="I1824" s="50"/>
      <c r="J1824" s="50"/>
      <c r="K1824" s="50"/>
      <c r="L1824" s="50"/>
      <c r="M1824" s="50" t="s">
        <v>11438</v>
      </c>
      <c r="N1824" s="50"/>
      <c r="O1824" s="53" t="s">
        <v>60</v>
      </c>
      <c r="P1824" s="55" t="s">
        <v>11439</v>
      </c>
      <c r="Q1824" s="50">
        <v>1466.0</v>
      </c>
      <c r="R1824" s="50">
        <v>2518.0</v>
      </c>
      <c r="S1824" s="50" t="s">
        <v>11440</v>
      </c>
      <c r="T1824" s="56" t="s">
        <v>11441</v>
      </c>
      <c r="U1824" s="53" t="s">
        <v>691</v>
      </c>
    </row>
    <row r="1825">
      <c r="A1825" s="54" t="s">
        <v>11442</v>
      </c>
      <c r="B1825" s="50" t="s">
        <v>11443</v>
      </c>
      <c r="C1825" s="51" t="s">
        <v>11444</v>
      </c>
      <c r="D1825" s="51"/>
      <c r="E1825" s="51"/>
      <c r="F1825" s="51"/>
      <c r="G1825" s="50" t="s">
        <v>11445</v>
      </c>
      <c r="H1825" s="52">
        <v>44683.2971875</v>
      </c>
      <c r="I1825" s="50"/>
      <c r="J1825" s="50"/>
      <c r="K1825" s="50"/>
      <c r="L1825" s="50"/>
      <c r="M1825" s="50" t="s">
        <v>11446</v>
      </c>
      <c r="N1825" s="50"/>
      <c r="O1825" s="53" t="s">
        <v>92</v>
      </c>
      <c r="P1825" s="55" t="s">
        <v>11447</v>
      </c>
      <c r="Q1825" s="50">
        <v>110.0</v>
      </c>
      <c r="R1825" s="50">
        <v>794.0</v>
      </c>
      <c r="S1825" s="50"/>
      <c r="T1825" s="56" t="s">
        <v>11448</v>
      </c>
      <c r="U1825" s="53" t="s">
        <v>11449</v>
      </c>
    </row>
    <row r="1826">
      <c r="A1826" s="54" t="s">
        <v>11450</v>
      </c>
      <c r="B1826" s="50" t="s">
        <v>11451</v>
      </c>
      <c r="C1826" s="51" t="s">
        <v>335</v>
      </c>
      <c r="D1826" s="51"/>
      <c r="E1826" s="51"/>
      <c r="F1826" s="51"/>
      <c r="G1826" s="50" t="s">
        <v>11452</v>
      </c>
      <c r="H1826" s="52">
        <v>44683.29712962963</v>
      </c>
      <c r="I1826" s="50"/>
      <c r="J1826" s="50"/>
      <c r="K1826" s="50"/>
      <c r="L1826" s="50"/>
      <c r="M1826" s="50" t="s">
        <v>11453</v>
      </c>
      <c r="N1826" s="50"/>
      <c r="O1826" s="53" t="s">
        <v>60</v>
      </c>
      <c r="P1826" s="55" t="s">
        <v>11454</v>
      </c>
      <c r="Q1826" s="50">
        <v>76.0</v>
      </c>
      <c r="R1826" s="50">
        <v>344.0</v>
      </c>
      <c r="S1826" s="50" t="s">
        <v>129</v>
      </c>
      <c r="T1826" s="56" t="s">
        <v>11455</v>
      </c>
      <c r="U1826" s="53" t="s">
        <v>339</v>
      </c>
    </row>
    <row r="1827">
      <c r="A1827" s="54" t="s">
        <v>11456</v>
      </c>
      <c r="B1827" s="50" t="s">
        <v>11457</v>
      </c>
      <c r="C1827" s="51" t="s">
        <v>367</v>
      </c>
      <c r="D1827" s="51"/>
      <c r="E1827" s="51"/>
      <c r="F1827" s="51"/>
      <c r="G1827" s="50" t="s">
        <v>11458</v>
      </c>
      <c r="H1827" s="52">
        <v>44683.297002314815</v>
      </c>
      <c r="I1827" s="50"/>
      <c r="J1827" s="50"/>
      <c r="K1827" s="50"/>
      <c r="L1827" s="50"/>
      <c r="M1827" s="50" t="s">
        <v>11459</v>
      </c>
      <c r="N1827" s="50"/>
      <c r="O1827" s="53" t="s">
        <v>60</v>
      </c>
      <c r="P1827" s="55" t="s">
        <v>11460</v>
      </c>
      <c r="Q1827" s="50">
        <v>1817.0</v>
      </c>
      <c r="R1827" s="50">
        <v>1934.0</v>
      </c>
      <c r="S1827" s="50" t="s">
        <v>473</v>
      </c>
      <c r="T1827" s="56" t="s">
        <v>11461</v>
      </c>
      <c r="U1827" s="53" t="s">
        <v>370</v>
      </c>
    </row>
    <row r="1828">
      <c r="A1828" s="54" t="s">
        <v>11462</v>
      </c>
      <c r="B1828" s="50" t="s">
        <v>11463</v>
      </c>
      <c r="C1828" s="51" t="s">
        <v>11464</v>
      </c>
      <c r="D1828" s="51"/>
      <c r="E1828" s="51"/>
      <c r="F1828" s="51"/>
      <c r="G1828" s="50" t="s">
        <v>11465</v>
      </c>
      <c r="H1828" s="52">
        <v>44683.29699074074</v>
      </c>
      <c r="I1828" s="50"/>
      <c r="J1828" s="50"/>
      <c r="K1828" s="50" t="s">
        <v>11466</v>
      </c>
      <c r="L1828" s="50" t="s">
        <v>11467</v>
      </c>
      <c r="M1828" s="50" t="s">
        <v>11468</v>
      </c>
      <c r="N1828" s="50" t="s">
        <v>11469</v>
      </c>
      <c r="O1828" s="53" t="s">
        <v>60</v>
      </c>
      <c r="P1828" s="55" t="s">
        <v>11470</v>
      </c>
      <c r="Q1828" s="50">
        <v>1129.0</v>
      </c>
      <c r="R1828" s="50">
        <v>1126.0</v>
      </c>
      <c r="S1828" s="50" t="s">
        <v>11471</v>
      </c>
      <c r="T1828" s="56" t="s">
        <v>11472</v>
      </c>
      <c r="U1828" s="53" t="s">
        <v>11473</v>
      </c>
    </row>
    <row r="1829">
      <c r="A1829" s="54" t="s">
        <v>11474</v>
      </c>
      <c r="B1829" s="50" t="s">
        <v>11475</v>
      </c>
      <c r="C1829" s="51" t="s">
        <v>367</v>
      </c>
      <c r="D1829" s="51"/>
      <c r="E1829" s="51"/>
      <c r="F1829" s="51"/>
      <c r="G1829" s="50" t="s">
        <v>11476</v>
      </c>
      <c r="H1829" s="52">
        <v>44683.29666666666</v>
      </c>
      <c r="I1829" s="50"/>
      <c r="J1829" s="50"/>
      <c r="K1829" s="50"/>
      <c r="L1829" s="50"/>
      <c r="M1829" s="50" t="s">
        <v>11477</v>
      </c>
      <c r="N1829" s="50"/>
      <c r="O1829" s="53" t="s">
        <v>70</v>
      </c>
      <c r="P1829" s="55" t="s">
        <v>11478</v>
      </c>
      <c r="Q1829" s="50">
        <v>5885.0</v>
      </c>
      <c r="R1829" s="50">
        <v>5509.0</v>
      </c>
      <c r="S1829" s="50" t="s">
        <v>8990</v>
      </c>
      <c r="T1829" s="56" t="s">
        <v>11479</v>
      </c>
      <c r="U1829" s="53" t="s">
        <v>370</v>
      </c>
    </row>
    <row r="1830">
      <c r="A1830" s="54" t="s">
        <v>11480</v>
      </c>
      <c r="B1830" s="50" t="s">
        <v>11481</v>
      </c>
      <c r="C1830" s="51" t="s">
        <v>687</v>
      </c>
      <c r="D1830" s="51"/>
      <c r="E1830" s="51"/>
      <c r="F1830" s="51"/>
      <c r="G1830" s="50" t="s">
        <v>11482</v>
      </c>
      <c r="H1830" s="52">
        <v>44683.29626157407</v>
      </c>
      <c r="I1830" s="50"/>
      <c r="J1830" s="50"/>
      <c r="K1830" s="50"/>
      <c r="L1830" s="50"/>
      <c r="M1830" s="50" t="s">
        <v>11483</v>
      </c>
      <c r="N1830" s="50"/>
      <c r="O1830" s="53" t="s">
        <v>92</v>
      </c>
      <c r="P1830" s="55" t="s">
        <v>11484</v>
      </c>
      <c r="Q1830" s="50">
        <v>322.0</v>
      </c>
      <c r="R1830" s="50">
        <v>2304.0</v>
      </c>
      <c r="S1830" s="50" t="s">
        <v>1139</v>
      </c>
      <c r="T1830" s="56" t="s">
        <v>11485</v>
      </c>
      <c r="U1830" s="53" t="s">
        <v>691</v>
      </c>
    </row>
    <row r="1831">
      <c r="A1831" s="54" t="s">
        <v>11486</v>
      </c>
      <c r="B1831" s="50" t="s">
        <v>11487</v>
      </c>
      <c r="C1831" s="51" t="s">
        <v>2869</v>
      </c>
      <c r="D1831" s="51"/>
      <c r="E1831" s="51"/>
      <c r="F1831" s="51"/>
      <c r="G1831" s="50" t="s">
        <v>11488</v>
      </c>
      <c r="H1831" s="52">
        <v>44683.296122685184</v>
      </c>
      <c r="I1831" s="50"/>
      <c r="J1831" s="50"/>
      <c r="K1831" s="50"/>
      <c r="L1831" s="50"/>
      <c r="M1831" s="50" t="s">
        <v>11489</v>
      </c>
      <c r="N1831" s="50"/>
      <c r="O1831" s="53" t="s">
        <v>60</v>
      </c>
      <c r="P1831" s="55" t="s">
        <v>11490</v>
      </c>
      <c r="Q1831" s="50">
        <v>1739.0</v>
      </c>
      <c r="R1831" s="50">
        <v>3330.0</v>
      </c>
      <c r="S1831" s="50" t="s">
        <v>11491</v>
      </c>
      <c r="T1831" s="56" t="s">
        <v>11492</v>
      </c>
      <c r="U1831" s="53" t="s">
        <v>2874</v>
      </c>
    </row>
    <row r="1832">
      <c r="A1832" s="54" t="s">
        <v>11493</v>
      </c>
      <c r="B1832" s="50" t="s">
        <v>11494</v>
      </c>
      <c r="C1832" s="51" t="s">
        <v>11495</v>
      </c>
      <c r="D1832" s="51"/>
      <c r="E1832" s="51"/>
      <c r="F1832" s="51"/>
      <c r="G1832" s="50" t="s">
        <v>11496</v>
      </c>
      <c r="H1832" s="52">
        <v>44683.2959375</v>
      </c>
      <c r="I1832" s="50"/>
      <c r="J1832" s="50"/>
      <c r="K1832" s="50"/>
      <c r="L1832" s="50"/>
      <c r="M1832" s="50" t="s">
        <v>11497</v>
      </c>
      <c r="N1832" s="50"/>
      <c r="O1832" s="53" t="s">
        <v>60</v>
      </c>
      <c r="P1832" s="55" t="s">
        <v>11498</v>
      </c>
      <c r="Q1832" s="50">
        <v>17595.0</v>
      </c>
      <c r="R1832" s="50">
        <v>733.0</v>
      </c>
      <c r="S1832" s="50" t="s">
        <v>246</v>
      </c>
      <c r="T1832" s="56" t="s">
        <v>11499</v>
      </c>
      <c r="U1832" s="53" t="s">
        <v>11500</v>
      </c>
    </row>
    <row r="1833">
      <c r="A1833" s="54" t="s">
        <v>11501</v>
      </c>
      <c r="B1833" s="50" t="s">
        <v>11502</v>
      </c>
      <c r="C1833" s="51" t="s">
        <v>11503</v>
      </c>
      <c r="D1833" s="51"/>
      <c r="E1833" s="51"/>
      <c r="F1833" s="51"/>
      <c r="G1833" s="50" t="s">
        <v>11504</v>
      </c>
      <c r="H1833" s="52">
        <v>44683.29567129629</v>
      </c>
      <c r="I1833" s="50"/>
      <c r="J1833" s="50"/>
      <c r="K1833" s="50" t="s">
        <v>3402</v>
      </c>
      <c r="L1833" s="50" t="s">
        <v>3399</v>
      </c>
      <c r="M1833" s="50" t="s">
        <v>11505</v>
      </c>
      <c r="N1833" s="50" t="s">
        <v>11506</v>
      </c>
      <c r="O1833" s="53" t="s">
        <v>92</v>
      </c>
      <c r="P1833" s="55" t="s">
        <v>11507</v>
      </c>
      <c r="Q1833" s="50">
        <v>14239.0</v>
      </c>
      <c r="R1833" s="50">
        <v>10419.0</v>
      </c>
      <c r="S1833" s="50"/>
      <c r="T1833" s="56" t="s">
        <v>11508</v>
      </c>
      <c r="U1833" s="53" t="s">
        <v>11509</v>
      </c>
    </row>
    <row r="1834">
      <c r="A1834" s="54" t="s">
        <v>11510</v>
      </c>
      <c r="B1834" s="50" t="s">
        <v>11028</v>
      </c>
      <c r="C1834" s="51" t="s">
        <v>5847</v>
      </c>
      <c r="D1834" s="51"/>
      <c r="E1834" s="51"/>
      <c r="F1834" s="51"/>
      <c r="G1834" s="50" t="s">
        <v>11511</v>
      </c>
      <c r="H1834" s="52">
        <v>44683.295127314814</v>
      </c>
      <c r="I1834" s="50"/>
      <c r="J1834" s="50"/>
      <c r="K1834" s="50"/>
      <c r="L1834" s="50"/>
      <c r="M1834" s="50" t="s">
        <v>11030</v>
      </c>
      <c r="N1834" s="50"/>
      <c r="O1834" s="53" t="s">
        <v>92</v>
      </c>
      <c r="P1834" s="55" t="s">
        <v>11031</v>
      </c>
      <c r="Q1834" s="50">
        <v>1507.0</v>
      </c>
      <c r="R1834" s="50">
        <v>1056.0</v>
      </c>
      <c r="S1834" s="50"/>
      <c r="T1834" s="56" t="s">
        <v>11512</v>
      </c>
      <c r="U1834" s="53" t="s">
        <v>5853</v>
      </c>
    </row>
    <row r="1835">
      <c r="A1835" s="54" t="s">
        <v>11513</v>
      </c>
      <c r="B1835" s="50" t="s">
        <v>11514</v>
      </c>
      <c r="C1835" s="51" t="s">
        <v>7142</v>
      </c>
      <c r="D1835" s="51"/>
      <c r="E1835" s="51"/>
      <c r="F1835" s="51"/>
      <c r="G1835" s="50" t="s">
        <v>11515</v>
      </c>
      <c r="H1835" s="52">
        <v>44683.29489583333</v>
      </c>
      <c r="I1835" s="50"/>
      <c r="J1835" s="50"/>
      <c r="K1835" s="50"/>
      <c r="L1835" s="50"/>
      <c r="M1835" s="50" t="s">
        <v>11516</v>
      </c>
      <c r="N1835" s="50"/>
      <c r="O1835" s="53" t="s">
        <v>70</v>
      </c>
      <c r="P1835" s="55" t="s">
        <v>11517</v>
      </c>
      <c r="Q1835" s="50">
        <v>1541.0</v>
      </c>
      <c r="R1835" s="50">
        <v>1923.0</v>
      </c>
      <c r="S1835" s="50"/>
      <c r="T1835" s="56" t="s">
        <v>11518</v>
      </c>
      <c r="U1835" s="53" t="s">
        <v>7148</v>
      </c>
    </row>
    <row r="1836">
      <c r="A1836" s="54" t="s">
        <v>11519</v>
      </c>
      <c r="B1836" s="50" t="s">
        <v>11520</v>
      </c>
      <c r="C1836" s="51" t="s">
        <v>367</v>
      </c>
      <c r="D1836" s="51"/>
      <c r="E1836" s="51"/>
      <c r="F1836" s="51"/>
      <c r="G1836" s="50" t="s">
        <v>11521</v>
      </c>
      <c r="H1836" s="52">
        <v>44683.29472222222</v>
      </c>
      <c r="I1836" s="50"/>
      <c r="J1836" s="50"/>
      <c r="K1836" s="50"/>
      <c r="L1836" s="50"/>
      <c r="M1836" s="50" t="s">
        <v>11522</v>
      </c>
      <c r="N1836" s="50"/>
      <c r="O1836" s="53" t="s">
        <v>217</v>
      </c>
      <c r="P1836" s="55" t="s">
        <v>11523</v>
      </c>
      <c r="Q1836" s="50">
        <v>177.0</v>
      </c>
      <c r="R1836" s="50">
        <v>290.0</v>
      </c>
      <c r="S1836" s="50" t="s">
        <v>129</v>
      </c>
      <c r="T1836" s="56" t="s">
        <v>11524</v>
      </c>
      <c r="U1836" s="53" t="s">
        <v>370</v>
      </c>
    </row>
    <row r="1837">
      <c r="A1837" s="54" t="s">
        <v>11525</v>
      </c>
      <c r="B1837" s="50" t="s">
        <v>11526</v>
      </c>
      <c r="C1837" s="51" t="s">
        <v>11527</v>
      </c>
      <c r="D1837" s="51"/>
      <c r="E1837" s="51"/>
      <c r="F1837" s="51"/>
      <c r="G1837" s="50" t="s">
        <v>11528</v>
      </c>
      <c r="H1837" s="52">
        <v>44683.294710648144</v>
      </c>
      <c r="I1837" s="50"/>
      <c r="J1837" s="50"/>
      <c r="K1837" s="50" t="s">
        <v>11529</v>
      </c>
      <c r="L1837" s="50" t="s">
        <v>11530</v>
      </c>
      <c r="M1837" s="50" t="s">
        <v>11531</v>
      </c>
      <c r="N1837" s="50" t="s">
        <v>11532</v>
      </c>
      <c r="O1837" s="53" t="s">
        <v>92</v>
      </c>
      <c r="P1837" s="55" t="s">
        <v>11533</v>
      </c>
      <c r="Q1837" s="50">
        <v>335.0</v>
      </c>
      <c r="R1837" s="50">
        <v>1273.0</v>
      </c>
      <c r="S1837" s="50" t="s">
        <v>11534</v>
      </c>
      <c r="T1837" s="56" t="s">
        <v>11535</v>
      </c>
      <c r="U1837" s="53" t="s">
        <v>11536</v>
      </c>
    </row>
    <row r="1838">
      <c r="A1838" s="54" t="s">
        <v>11537</v>
      </c>
      <c r="B1838" s="50" t="s">
        <v>11538</v>
      </c>
      <c r="C1838" s="51" t="s">
        <v>367</v>
      </c>
      <c r="D1838" s="51"/>
      <c r="E1838" s="51"/>
      <c r="F1838" s="51"/>
      <c r="G1838" s="50" t="s">
        <v>11539</v>
      </c>
      <c r="H1838" s="52">
        <v>44683.29449074074</v>
      </c>
      <c r="I1838" s="50"/>
      <c r="J1838" s="50"/>
      <c r="K1838" s="50"/>
      <c r="L1838" s="50"/>
      <c r="M1838" s="50" t="s">
        <v>11540</v>
      </c>
      <c r="N1838" s="50"/>
      <c r="O1838" s="53" t="s">
        <v>92</v>
      </c>
      <c r="P1838" s="55" t="s">
        <v>11541</v>
      </c>
      <c r="Q1838" s="50">
        <v>1824.0</v>
      </c>
      <c r="R1838" s="50">
        <v>2177.0</v>
      </c>
      <c r="S1838" s="50" t="s">
        <v>5503</v>
      </c>
      <c r="T1838" s="56" t="s">
        <v>11542</v>
      </c>
      <c r="U1838" s="53" t="s">
        <v>370</v>
      </c>
    </row>
    <row r="1839">
      <c r="A1839" s="54" t="s">
        <v>11543</v>
      </c>
      <c r="B1839" s="50" t="s">
        <v>11544</v>
      </c>
      <c r="C1839" s="51" t="s">
        <v>367</v>
      </c>
      <c r="D1839" s="51"/>
      <c r="E1839" s="51"/>
      <c r="F1839" s="51"/>
      <c r="G1839" s="50" t="s">
        <v>11545</v>
      </c>
      <c r="H1839" s="52">
        <v>44683.29447916667</v>
      </c>
      <c r="I1839" s="50"/>
      <c r="J1839" s="50"/>
      <c r="K1839" s="50"/>
      <c r="L1839" s="50"/>
      <c r="M1839" s="50" t="s">
        <v>11546</v>
      </c>
      <c r="N1839" s="50"/>
      <c r="O1839" s="53" t="s">
        <v>217</v>
      </c>
      <c r="P1839" s="55" t="s">
        <v>11547</v>
      </c>
      <c r="Q1839" s="50">
        <v>14659.0</v>
      </c>
      <c r="R1839" s="50">
        <v>12914.0</v>
      </c>
      <c r="S1839" s="50" t="s">
        <v>3649</v>
      </c>
      <c r="T1839" s="56" t="s">
        <v>11548</v>
      </c>
      <c r="U1839" s="53" t="s">
        <v>370</v>
      </c>
    </row>
    <row r="1840">
      <c r="A1840" s="54" t="s">
        <v>11549</v>
      </c>
      <c r="B1840" s="50" t="s">
        <v>11550</v>
      </c>
      <c r="C1840" s="51" t="s">
        <v>7142</v>
      </c>
      <c r="D1840" s="51"/>
      <c r="E1840" s="51"/>
      <c r="F1840" s="51"/>
      <c r="G1840" s="50" t="s">
        <v>11551</v>
      </c>
      <c r="H1840" s="52">
        <v>44683.29435185185</v>
      </c>
      <c r="I1840" s="50"/>
      <c r="J1840" s="50"/>
      <c r="K1840" s="50"/>
      <c r="L1840" s="50"/>
      <c r="M1840" s="50" t="s">
        <v>11552</v>
      </c>
      <c r="N1840" s="50"/>
      <c r="O1840" s="53" t="s">
        <v>70</v>
      </c>
      <c r="P1840" s="55" t="s">
        <v>11553</v>
      </c>
      <c r="Q1840" s="50">
        <v>996.0</v>
      </c>
      <c r="R1840" s="50">
        <v>1044.0</v>
      </c>
      <c r="S1840" s="50"/>
      <c r="T1840" s="56" t="s">
        <v>11554</v>
      </c>
      <c r="U1840" s="53" t="s">
        <v>7148</v>
      </c>
    </row>
    <row r="1841">
      <c r="A1841" s="54" t="s">
        <v>11555</v>
      </c>
      <c r="B1841" s="50" t="s">
        <v>11556</v>
      </c>
      <c r="C1841" s="51" t="s">
        <v>367</v>
      </c>
      <c r="D1841" s="51"/>
      <c r="E1841" s="51"/>
      <c r="F1841" s="51"/>
      <c r="G1841" s="50" t="s">
        <v>11557</v>
      </c>
      <c r="H1841" s="52">
        <v>44683.29399305556</v>
      </c>
      <c r="I1841" s="50"/>
      <c r="J1841" s="50"/>
      <c r="K1841" s="50"/>
      <c r="L1841" s="50"/>
      <c r="M1841" s="50" t="s">
        <v>11558</v>
      </c>
      <c r="N1841" s="50"/>
      <c r="O1841" s="53" t="s">
        <v>70</v>
      </c>
      <c r="P1841" s="55" t="s">
        <v>354</v>
      </c>
      <c r="Q1841" s="50">
        <v>36.0</v>
      </c>
      <c r="R1841" s="50">
        <v>93.0</v>
      </c>
      <c r="S1841" s="50"/>
      <c r="T1841" s="56" t="s">
        <v>11559</v>
      </c>
      <c r="U1841" s="53" t="s">
        <v>370</v>
      </c>
    </row>
    <row r="1842">
      <c r="A1842" s="54" t="s">
        <v>11560</v>
      </c>
      <c r="B1842" s="50" t="s">
        <v>11561</v>
      </c>
      <c r="C1842" s="51" t="s">
        <v>9006</v>
      </c>
      <c r="D1842" s="51"/>
      <c r="E1842" s="51"/>
      <c r="F1842" s="51"/>
      <c r="G1842" s="50" t="s">
        <v>11562</v>
      </c>
      <c r="H1842" s="52">
        <v>44683.29357638889</v>
      </c>
      <c r="I1842" s="50"/>
      <c r="J1842" s="50"/>
      <c r="K1842" s="50"/>
      <c r="L1842" s="50"/>
      <c r="M1842" s="50" t="s">
        <v>11563</v>
      </c>
      <c r="N1842" s="50"/>
      <c r="O1842" s="53" t="s">
        <v>92</v>
      </c>
      <c r="P1842" s="55" t="s">
        <v>11564</v>
      </c>
      <c r="Q1842" s="50">
        <v>2995.0</v>
      </c>
      <c r="R1842" s="50">
        <v>4945.0</v>
      </c>
      <c r="S1842" s="50" t="s">
        <v>11565</v>
      </c>
      <c r="T1842" s="56" t="s">
        <v>11566</v>
      </c>
      <c r="U1842" s="53" t="s">
        <v>9009</v>
      </c>
    </row>
    <row r="1843">
      <c r="A1843" s="54" t="s">
        <v>11567</v>
      </c>
      <c r="B1843" s="50" t="s">
        <v>11568</v>
      </c>
      <c r="C1843" s="51" t="s">
        <v>2033</v>
      </c>
      <c r="D1843" s="51"/>
      <c r="E1843" s="51"/>
      <c r="F1843" s="51"/>
      <c r="G1843" s="50" t="s">
        <v>11569</v>
      </c>
      <c r="H1843" s="52">
        <v>44683.29318287037</v>
      </c>
      <c r="I1843" s="50"/>
      <c r="J1843" s="50"/>
      <c r="K1843" s="50"/>
      <c r="L1843" s="50"/>
      <c r="M1843" s="50" t="s">
        <v>11570</v>
      </c>
      <c r="N1843" s="50"/>
      <c r="O1843" s="53" t="s">
        <v>70</v>
      </c>
      <c r="P1843" s="55" t="s">
        <v>354</v>
      </c>
      <c r="Q1843" s="50">
        <v>62.0</v>
      </c>
      <c r="R1843" s="50">
        <v>96.0</v>
      </c>
      <c r="S1843" s="50"/>
      <c r="T1843" s="56" t="s">
        <v>11571</v>
      </c>
      <c r="U1843" s="53" t="s">
        <v>9793</v>
      </c>
    </row>
    <row r="1844">
      <c r="A1844" s="54" t="s">
        <v>11572</v>
      </c>
      <c r="B1844" s="50" t="s">
        <v>11573</v>
      </c>
      <c r="C1844" s="51" t="s">
        <v>367</v>
      </c>
      <c r="D1844" s="51"/>
      <c r="E1844" s="51"/>
      <c r="F1844" s="51"/>
      <c r="G1844" s="50" t="s">
        <v>11574</v>
      </c>
      <c r="H1844" s="52">
        <v>44683.29313657407</v>
      </c>
      <c r="I1844" s="50"/>
      <c r="J1844" s="50"/>
      <c r="K1844" s="50"/>
      <c r="L1844" s="50"/>
      <c r="M1844" s="50" t="s">
        <v>11575</v>
      </c>
      <c r="N1844" s="50"/>
      <c r="O1844" s="53" t="s">
        <v>92</v>
      </c>
      <c r="P1844" s="55" t="s">
        <v>11576</v>
      </c>
      <c r="Q1844" s="50">
        <v>1545.0</v>
      </c>
      <c r="R1844" s="50">
        <v>1465.0</v>
      </c>
      <c r="S1844" s="50" t="s">
        <v>11577</v>
      </c>
      <c r="T1844" s="56" t="s">
        <v>11578</v>
      </c>
      <c r="U1844" s="53" t="s">
        <v>370</v>
      </c>
    </row>
    <row r="1845">
      <c r="A1845" s="54" t="s">
        <v>11579</v>
      </c>
      <c r="B1845" s="50" t="s">
        <v>6045</v>
      </c>
      <c r="C1845" s="51" t="s">
        <v>11580</v>
      </c>
      <c r="D1845" s="51"/>
      <c r="E1845" s="51"/>
      <c r="F1845" s="51"/>
      <c r="G1845" s="50" t="s">
        <v>11581</v>
      </c>
      <c r="H1845" s="52">
        <v>44683.29311342593</v>
      </c>
      <c r="I1845" s="50"/>
      <c r="J1845" s="50"/>
      <c r="K1845" s="50" t="s">
        <v>3317</v>
      </c>
      <c r="L1845" s="50" t="s">
        <v>3318</v>
      </c>
      <c r="M1845" s="50" t="s">
        <v>6050</v>
      </c>
      <c r="N1845" s="50" t="s">
        <v>3426</v>
      </c>
      <c r="O1845" s="53" t="s">
        <v>217</v>
      </c>
      <c r="P1845" s="55" t="s">
        <v>6052</v>
      </c>
      <c r="Q1845" s="50">
        <v>2054.0</v>
      </c>
      <c r="R1845" s="50">
        <v>2377.0</v>
      </c>
      <c r="S1845" s="50" t="s">
        <v>6053</v>
      </c>
      <c r="T1845" s="56" t="s">
        <v>11582</v>
      </c>
      <c r="U1845" s="53" t="s">
        <v>11583</v>
      </c>
    </row>
    <row r="1846">
      <c r="A1846" s="54" t="s">
        <v>11584</v>
      </c>
      <c r="B1846" s="50" t="s">
        <v>2507</v>
      </c>
      <c r="C1846" s="51" t="s">
        <v>3945</v>
      </c>
      <c r="D1846" s="51"/>
      <c r="E1846" s="51"/>
      <c r="F1846" s="51"/>
      <c r="G1846" s="50" t="s">
        <v>11585</v>
      </c>
      <c r="H1846" s="52">
        <v>44683.293020833335</v>
      </c>
      <c r="I1846" s="50"/>
      <c r="J1846" s="50"/>
      <c r="K1846" s="50"/>
      <c r="L1846" s="50"/>
      <c r="M1846" s="50" t="s">
        <v>2509</v>
      </c>
      <c r="N1846" s="50"/>
      <c r="O1846" s="53" t="s">
        <v>92</v>
      </c>
      <c r="P1846" s="55" t="s">
        <v>2510</v>
      </c>
      <c r="Q1846" s="50">
        <v>1068.0</v>
      </c>
      <c r="R1846" s="50">
        <v>1196.0</v>
      </c>
      <c r="S1846" s="50"/>
      <c r="T1846" s="56" t="s">
        <v>11586</v>
      </c>
      <c r="U1846" s="53" t="s">
        <v>3951</v>
      </c>
    </row>
    <row r="1847">
      <c r="A1847" s="54" t="s">
        <v>11587</v>
      </c>
      <c r="B1847" s="50" t="s">
        <v>11588</v>
      </c>
      <c r="C1847" s="51" t="s">
        <v>7142</v>
      </c>
      <c r="D1847" s="51"/>
      <c r="E1847" s="51"/>
      <c r="F1847" s="51"/>
      <c r="G1847" s="50" t="s">
        <v>11589</v>
      </c>
      <c r="H1847" s="52">
        <v>44683.29300925926</v>
      </c>
      <c r="I1847" s="50"/>
      <c r="J1847" s="50"/>
      <c r="K1847" s="50"/>
      <c r="L1847" s="50"/>
      <c r="M1847" s="50" t="s">
        <v>11590</v>
      </c>
      <c r="N1847" s="50"/>
      <c r="O1847" s="53" t="s">
        <v>60</v>
      </c>
      <c r="P1847" s="55" t="s">
        <v>11591</v>
      </c>
      <c r="Q1847" s="50">
        <v>5635.0</v>
      </c>
      <c r="R1847" s="50">
        <v>6052.0</v>
      </c>
      <c r="S1847" s="50"/>
      <c r="T1847" s="56" t="s">
        <v>11592</v>
      </c>
      <c r="U1847" s="53" t="s">
        <v>7148</v>
      </c>
    </row>
    <row r="1848">
      <c r="A1848" s="54" t="s">
        <v>11593</v>
      </c>
      <c r="B1848" s="50" t="s">
        <v>11594</v>
      </c>
      <c r="C1848" s="51" t="s">
        <v>1209</v>
      </c>
      <c r="D1848" s="51"/>
      <c r="E1848" s="51"/>
      <c r="F1848" s="51"/>
      <c r="G1848" s="50" t="s">
        <v>11595</v>
      </c>
      <c r="H1848" s="52">
        <v>44683.292916666665</v>
      </c>
      <c r="I1848" s="50"/>
      <c r="J1848" s="50"/>
      <c r="K1848" s="50"/>
      <c r="L1848" s="50"/>
      <c r="M1848" s="50" t="s">
        <v>11596</v>
      </c>
      <c r="N1848" s="50"/>
      <c r="O1848" s="53" t="s">
        <v>92</v>
      </c>
      <c r="P1848" s="55" t="s">
        <v>11597</v>
      </c>
      <c r="Q1848" s="50">
        <v>1973.0</v>
      </c>
      <c r="R1848" s="50">
        <v>3151.0</v>
      </c>
      <c r="S1848" s="50" t="s">
        <v>859</v>
      </c>
      <c r="T1848" s="56" t="s">
        <v>11598</v>
      </c>
      <c r="U1848" s="53" t="s">
        <v>1214</v>
      </c>
    </row>
    <row r="1849">
      <c r="A1849" s="54" t="s">
        <v>11599</v>
      </c>
      <c r="B1849" s="50" t="s">
        <v>11600</v>
      </c>
      <c r="C1849" s="51" t="s">
        <v>367</v>
      </c>
      <c r="D1849" s="51"/>
      <c r="E1849" s="51"/>
      <c r="F1849" s="51"/>
      <c r="G1849" s="50" t="s">
        <v>11601</v>
      </c>
      <c r="H1849" s="52">
        <v>44683.2928125</v>
      </c>
      <c r="I1849" s="50"/>
      <c r="J1849" s="50"/>
      <c r="K1849" s="50"/>
      <c r="L1849" s="50"/>
      <c r="M1849" s="50" t="s">
        <v>11602</v>
      </c>
      <c r="N1849" s="50"/>
      <c r="O1849" s="53" t="s">
        <v>70</v>
      </c>
      <c r="P1849" s="55" t="s">
        <v>11603</v>
      </c>
      <c r="Q1849" s="50">
        <v>111.0</v>
      </c>
      <c r="R1849" s="50">
        <v>433.0</v>
      </c>
      <c r="S1849" s="50" t="s">
        <v>3238</v>
      </c>
      <c r="T1849" s="56" t="s">
        <v>11604</v>
      </c>
      <c r="U1849" s="53" t="s">
        <v>370</v>
      </c>
    </row>
    <row r="1850">
      <c r="A1850" s="54" t="s">
        <v>11605</v>
      </c>
      <c r="B1850" s="50" t="s">
        <v>11606</v>
      </c>
      <c r="C1850" s="51" t="s">
        <v>367</v>
      </c>
      <c r="D1850" s="51"/>
      <c r="E1850" s="51"/>
      <c r="F1850" s="51"/>
      <c r="G1850" s="50" t="s">
        <v>11607</v>
      </c>
      <c r="H1850" s="52">
        <v>44683.29274305556</v>
      </c>
      <c r="I1850" s="50"/>
      <c r="J1850" s="50"/>
      <c r="K1850" s="50"/>
      <c r="L1850" s="50"/>
      <c r="M1850" s="50" t="s">
        <v>11608</v>
      </c>
      <c r="N1850" s="50"/>
      <c r="O1850" s="53" t="s">
        <v>217</v>
      </c>
      <c r="P1850" s="55" t="s">
        <v>11609</v>
      </c>
      <c r="Q1850" s="50">
        <v>1562.0</v>
      </c>
      <c r="R1850" s="50">
        <v>2076.0</v>
      </c>
      <c r="S1850" s="50" t="s">
        <v>11610</v>
      </c>
      <c r="T1850" s="56" t="s">
        <v>11611</v>
      </c>
      <c r="U1850" s="53" t="s">
        <v>370</v>
      </c>
    </row>
    <row r="1851">
      <c r="A1851" s="54" t="s">
        <v>11612</v>
      </c>
      <c r="B1851" s="50" t="s">
        <v>11613</v>
      </c>
      <c r="C1851" s="51" t="s">
        <v>367</v>
      </c>
      <c r="D1851" s="51"/>
      <c r="E1851" s="51"/>
      <c r="F1851" s="51"/>
      <c r="G1851" s="50" t="s">
        <v>11614</v>
      </c>
      <c r="H1851" s="52">
        <v>44683.292719907404</v>
      </c>
      <c r="I1851" s="50"/>
      <c r="J1851" s="50"/>
      <c r="K1851" s="50"/>
      <c r="L1851" s="50"/>
      <c r="M1851" s="50" t="s">
        <v>11615</v>
      </c>
      <c r="N1851" s="50"/>
      <c r="O1851" s="53" t="s">
        <v>217</v>
      </c>
      <c r="P1851" s="55" t="s">
        <v>11616</v>
      </c>
      <c r="Q1851" s="50">
        <v>1963.0</v>
      </c>
      <c r="R1851" s="50">
        <v>1767.0</v>
      </c>
      <c r="S1851" s="50" t="s">
        <v>11617</v>
      </c>
      <c r="T1851" s="56" t="s">
        <v>11618</v>
      </c>
      <c r="U1851" s="53" t="s">
        <v>370</v>
      </c>
    </row>
    <row r="1852">
      <c r="A1852" s="54" t="s">
        <v>11619</v>
      </c>
      <c r="B1852" s="50" t="s">
        <v>11620</v>
      </c>
      <c r="C1852" s="51" t="s">
        <v>11621</v>
      </c>
      <c r="D1852" s="51"/>
      <c r="E1852" s="51"/>
      <c r="F1852" s="51"/>
      <c r="G1852" s="50" t="s">
        <v>11622</v>
      </c>
      <c r="H1852" s="52">
        <v>44683.29266203704</v>
      </c>
      <c r="I1852" s="50"/>
      <c r="J1852" s="50"/>
      <c r="K1852" s="50" t="s">
        <v>11623</v>
      </c>
      <c r="L1852" s="50" t="s">
        <v>11624</v>
      </c>
      <c r="M1852" s="50" t="s">
        <v>11625</v>
      </c>
      <c r="N1852" s="50" t="s">
        <v>11626</v>
      </c>
      <c r="O1852" s="53" t="s">
        <v>70</v>
      </c>
      <c r="P1852" s="55" t="s">
        <v>11627</v>
      </c>
      <c r="Q1852" s="50">
        <v>835.0</v>
      </c>
      <c r="R1852" s="50">
        <v>1098.0</v>
      </c>
      <c r="S1852" s="50" t="s">
        <v>11628</v>
      </c>
      <c r="T1852" s="56" t="s">
        <v>11629</v>
      </c>
      <c r="U1852" s="53" t="s">
        <v>11630</v>
      </c>
    </row>
    <row r="1853">
      <c r="A1853" s="54" t="s">
        <v>11631</v>
      </c>
      <c r="B1853" s="50" t="s">
        <v>11632</v>
      </c>
      <c r="C1853" s="51" t="s">
        <v>11633</v>
      </c>
      <c r="D1853" s="51"/>
      <c r="E1853" s="51"/>
      <c r="F1853" s="51"/>
      <c r="G1853" s="50" t="s">
        <v>11634</v>
      </c>
      <c r="H1853" s="52">
        <v>44683.29247685186</v>
      </c>
      <c r="I1853" s="50"/>
      <c r="J1853" s="50"/>
      <c r="K1853" s="50"/>
      <c r="L1853" s="50"/>
      <c r="M1853" s="50" t="s">
        <v>11635</v>
      </c>
      <c r="N1853" s="50"/>
      <c r="O1853" s="53" t="s">
        <v>92</v>
      </c>
      <c r="P1853" s="55" t="s">
        <v>11636</v>
      </c>
      <c r="Q1853" s="50">
        <v>189.0</v>
      </c>
      <c r="R1853" s="50">
        <v>170.0</v>
      </c>
      <c r="S1853" s="50"/>
      <c r="T1853" s="56" t="s">
        <v>11637</v>
      </c>
      <c r="U1853" s="53" t="s">
        <v>11638</v>
      </c>
    </row>
    <row r="1854">
      <c r="A1854" s="54" t="s">
        <v>11639</v>
      </c>
      <c r="B1854" s="50" t="s">
        <v>11594</v>
      </c>
      <c r="C1854" s="51" t="s">
        <v>316</v>
      </c>
      <c r="D1854" s="51"/>
      <c r="E1854" s="51"/>
      <c r="F1854" s="51"/>
      <c r="G1854" s="50" t="s">
        <v>11640</v>
      </c>
      <c r="H1854" s="52">
        <v>44683.29232638889</v>
      </c>
      <c r="I1854" s="50"/>
      <c r="J1854" s="50"/>
      <c r="K1854" s="50"/>
      <c r="L1854" s="50"/>
      <c r="M1854" s="50" t="s">
        <v>11596</v>
      </c>
      <c r="N1854" s="50"/>
      <c r="O1854" s="53" t="s">
        <v>92</v>
      </c>
      <c r="P1854" s="55" t="s">
        <v>11597</v>
      </c>
      <c r="Q1854" s="50">
        <v>1973.0</v>
      </c>
      <c r="R1854" s="50">
        <v>3151.0</v>
      </c>
      <c r="S1854" s="50" t="s">
        <v>859</v>
      </c>
      <c r="T1854" s="56" t="s">
        <v>11641</v>
      </c>
      <c r="U1854" s="53" t="s">
        <v>322</v>
      </c>
    </row>
    <row r="1855">
      <c r="A1855" s="54" t="s">
        <v>11642</v>
      </c>
      <c r="B1855" s="50" t="s">
        <v>11643</v>
      </c>
      <c r="C1855" s="51" t="s">
        <v>316</v>
      </c>
      <c r="D1855" s="51"/>
      <c r="E1855" s="51"/>
      <c r="F1855" s="51"/>
      <c r="G1855" s="50" t="s">
        <v>11644</v>
      </c>
      <c r="H1855" s="52">
        <v>44683.29231481481</v>
      </c>
      <c r="I1855" s="50"/>
      <c r="J1855" s="50"/>
      <c r="K1855" s="50"/>
      <c r="L1855" s="50"/>
      <c r="M1855" s="50" t="s">
        <v>11645</v>
      </c>
      <c r="N1855" s="50"/>
      <c r="O1855" s="53" t="s">
        <v>217</v>
      </c>
      <c r="P1855" s="55" t="s">
        <v>11646</v>
      </c>
      <c r="Q1855" s="50">
        <v>5645.0</v>
      </c>
      <c r="R1855" s="50">
        <v>5634.0</v>
      </c>
      <c r="S1855" s="50" t="s">
        <v>11647</v>
      </c>
      <c r="T1855" s="56" t="s">
        <v>11648</v>
      </c>
      <c r="U1855" s="53" t="s">
        <v>322</v>
      </c>
    </row>
    <row r="1856">
      <c r="A1856" s="54" t="s">
        <v>11649</v>
      </c>
      <c r="B1856" s="50" t="s">
        <v>11643</v>
      </c>
      <c r="C1856" s="51" t="s">
        <v>329</v>
      </c>
      <c r="D1856" s="51"/>
      <c r="E1856" s="51"/>
      <c r="F1856" s="51"/>
      <c r="G1856" s="50" t="s">
        <v>11650</v>
      </c>
      <c r="H1856" s="52">
        <v>44683.292245370365</v>
      </c>
      <c r="I1856" s="50"/>
      <c r="J1856" s="50"/>
      <c r="K1856" s="50"/>
      <c r="L1856" s="50"/>
      <c r="M1856" s="50" t="s">
        <v>11645</v>
      </c>
      <c r="N1856" s="50"/>
      <c r="O1856" s="53" t="s">
        <v>217</v>
      </c>
      <c r="P1856" s="55" t="s">
        <v>11646</v>
      </c>
      <c r="Q1856" s="50">
        <v>5645.0</v>
      </c>
      <c r="R1856" s="50">
        <v>5634.0</v>
      </c>
      <c r="S1856" s="50" t="s">
        <v>11647</v>
      </c>
      <c r="T1856" s="56" t="s">
        <v>11651</v>
      </c>
      <c r="U1856" s="53" t="s">
        <v>332</v>
      </c>
    </row>
    <row r="1857">
      <c r="A1857" s="54" t="s">
        <v>11652</v>
      </c>
      <c r="B1857" s="50" t="s">
        <v>11653</v>
      </c>
      <c r="C1857" s="51" t="s">
        <v>367</v>
      </c>
      <c r="D1857" s="51"/>
      <c r="E1857" s="51"/>
      <c r="F1857" s="51"/>
      <c r="G1857" s="50" t="s">
        <v>11654</v>
      </c>
      <c r="H1857" s="52">
        <v>44683.292222222226</v>
      </c>
      <c r="I1857" s="50"/>
      <c r="J1857" s="50"/>
      <c r="K1857" s="50"/>
      <c r="L1857" s="50"/>
      <c r="M1857" s="50" t="s">
        <v>11655</v>
      </c>
      <c r="N1857" s="50"/>
      <c r="O1857" s="53" t="s">
        <v>70</v>
      </c>
      <c r="P1857" s="55" t="s">
        <v>11656</v>
      </c>
      <c r="Q1857" s="50">
        <v>112.0</v>
      </c>
      <c r="R1857" s="50">
        <v>510.0</v>
      </c>
      <c r="S1857" s="50" t="s">
        <v>11657</v>
      </c>
      <c r="T1857" s="56" t="s">
        <v>11658</v>
      </c>
      <c r="U1857" s="53" t="s">
        <v>370</v>
      </c>
    </row>
    <row r="1858">
      <c r="A1858" s="54" t="s">
        <v>11659</v>
      </c>
      <c r="B1858" s="50" t="s">
        <v>11594</v>
      </c>
      <c r="C1858" s="51" t="s">
        <v>335</v>
      </c>
      <c r="D1858" s="51"/>
      <c r="E1858" s="51"/>
      <c r="F1858" s="51"/>
      <c r="G1858" s="50" t="s">
        <v>11660</v>
      </c>
      <c r="H1858" s="52">
        <v>44683.29221064815</v>
      </c>
      <c r="I1858" s="50"/>
      <c r="J1858" s="50"/>
      <c r="K1858" s="50"/>
      <c r="L1858" s="50"/>
      <c r="M1858" s="50" t="s">
        <v>11596</v>
      </c>
      <c r="N1858" s="50"/>
      <c r="O1858" s="53" t="s">
        <v>92</v>
      </c>
      <c r="P1858" s="55" t="s">
        <v>11597</v>
      </c>
      <c r="Q1858" s="50">
        <v>1973.0</v>
      </c>
      <c r="R1858" s="50">
        <v>3151.0</v>
      </c>
      <c r="S1858" s="50" t="s">
        <v>859</v>
      </c>
      <c r="T1858" s="56" t="s">
        <v>11661</v>
      </c>
      <c r="U1858" s="53" t="s">
        <v>339</v>
      </c>
    </row>
    <row r="1859">
      <c r="A1859" s="54" t="s">
        <v>11662</v>
      </c>
      <c r="B1859" s="50" t="s">
        <v>11663</v>
      </c>
      <c r="C1859" s="51" t="s">
        <v>2033</v>
      </c>
      <c r="D1859" s="51"/>
      <c r="E1859" s="51"/>
      <c r="F1859" s="51"/>
      <c r="G1859" s="50" t="s">
        <v>11664</v>
      </c>
      <c r="H1859" s="52">
        <v>44683.2921412037</v>
      </c>
      <c r="I1859" s="50"/>
      <c r="J1859" s="50"/>
      <c r="K1859" s="50"/>
      <c r="L1859" s="50"/>
      <c r="M1859" s="50" t="s">
        <v>11665</v>
      </c>
      <c r="N1859" s="50"/>
      <c r="O1859" s="53" t="s">
        <v>70</v>
      </c>
      <c r="P1859" s="55" t="s">
        <v>11666</v>
      </c>
      <c r="Q1859" s="50">
        <v>4281.0</v>
      </c>
      <c r="R1859" s="50">
        <v>4702.0</v>
      </c>
      <c r="S1859" s="50" t="s">
        <v>11667</v>
      </c>
      <c r="T1859" s="56" t="s">
        <v>11668</v>
      </c>
      <c r="U1859" s="53" t="s">
        <v>9793</v>
      </c>
    </row>
    <row r="1860">
      <c r="A1860" s="54" t="s">
        <v>11669</v>
      </c>
      <c r="B1860" s="50" t="s">
        <v>11594</v>
      </c>
      <c r="C1860" s="51" t="s">
        <v>363</v>
      </c>
      <c r="D1860" s="51"/>
      <c r="E1860" s="51"/>
      <c r="F1860" s="51"/>
      <c r="G1860" s="50" t="s">
        <v>11670</v>
      </c>
      <c r="H1860" s="52">
        <v>44683.291874999995</v>
      </c>
      <c r="I1860" s="50"/>
      <c r="J1860" s="50"/>
      <c r="K1860" s="50"/>
      <c r="L1860" s="50"/>
      <c r="M1860" s="50" t="s">
        <v>11596</v>
      </c>
      <c r="N1860" s="50"/>
      <c r="O1860" s="53" t="s">
        <v>92</v>
      </c>
      <c r="P1860" s="55" t="s">
        <v>11597</v>
      </c>
      <c r="Q1860" s="50">
        <v>1973.0</v>
      </c>
      <c r="R1860" s="50">
        <v>3151.0</v>
      </c>
      <c r="S1860" s="50" t="s">
        <v>859</v>
      </c>
      <c r="T1860" s="56" t="s">
        <v>11671</v>
      </c>
      <c r="U1860" s="53" t="s">
        <v>332</v>
      </c>
    </row>
    <row r="1861">
      <c r="A1861" s="54" t="s">
        <v>11672</v>
      </c>
      <c r="B1861" s="50" t="s">
        <v>10860</v>
      </c>
      <c r="C1861" s="51" t="s">
        <v>7142</v>
      </c>
      <c r="D1861" s="51"/>
      <c r="E1861" s="51"/>
      <c r="F1861" s="51"/>
      <c r="G1861" s="50" t="s">
        <v>11673</v>
      </c>
      <c r="H1861" s="52">
        <v>44683.29172453703</v>
      </c>
      <c r="I1861" s="50"/>
      <c r="J1861" s="50"/>
      <c r="K1861" s="50"/>
      <c r="L1861" s="50"/>
      <c r="M1861" s="50" t="s">
        <v>10862</v>
      </c>
      <c r="N1861" s="50"/>
      <c r="O1861" s="53" t="s">
        <v>70</v>
      </c>
      <c r="P1861" s="55" t="s">
        <v>10863</v>
      </c>
      <c r="Q1861" s="50">
        <v>2121.0</v>
      </c>
      <c r="R1861" s="50">
        <v>2302.0</v>
      </c>
      <c r="S1861" s="50"/>
      <c r="T1861" s="56" t="s">
        <v>11674</v>
      </c>
      <c r="U1861" s="53" t="s">
        <v>7148</v>
      </c>
    </row>
    <row r="1862">
      <c r="A1862" s="54" t="s">
        <v>11675</v>
      </c>
      <c r="B1862" s="50" t="s">
        <v>11594</v>
      </c>
      <c r="C1862" s="51" t="s">
        <v>367</v>
      </c>
      <c r="D1862" s="51"/>
      <c r="E1862" s="51"/>
      <c r="F1862" s="51"/>
      <c r="G1862" s="50" t="s">
        <v>11676</v>
      </c>
      <c r="H1862" s="52">
        <v>44683.291712962964</v>
      </c>
      <c r="I1862" s="50"/>
      <c r="J1862" s="50"/>
      <c r="K1862" s="50"/>
      <c r="L1862" s="50"/>
      <c r="M1862" s="50" t="s">
        <v>11596</v>
      </c>
      <c r="N1862" s="50"/>
      <c r="O1862" s="53" t="s">
        <v>92</v>
      </c>
      <c r="P1862" s="55" t="s">
        <v>11597</v>
      </c>
      <c r="Q1862" s="50">
        <v>1973.0</v>
      </c>
      <c r="R1862" s="50">
        <v>3151.0</v>
      </c>
      <c r="S1862" s="50" t="s">
        <v>859</v>
      </c>
      <c r="T1862" s="56" t="s">
        <v>11677</v>
      </c>
      <c r="U1862" s="53" t="s">
        <v>370</v>
      </c>
    </row>
    <row r="1863">
      <c r="A1863" s="54" t="s">
        <v>11678</v>
      </c>
      <c r="B1863" s="50" t="s">
        <v>11594</v>
      </c>
      <c r="C1863" s="51" t="s">
        <v>329</v>
      </c>
      <c r="D1863" s="51"/>
      <c r="E1863" s="51"/>
      <c r="F1863" s="51"/>
      <c r="G1863" s="50" t="s">
        <v>11679</v>
      </c>
      <c r="H1863" s="52">
        <v>44683.2914699074</v>
      </c>
      <c r="I1863" s="50"/>
      <c r="J1863" s="50"/>
      <c r="K1863" s="50"/>
      <c r="L1863" s="50"/>
      <c r="M1863" s="50" t="s">
        <v>11596</v>
      </c>
      <c r="N1863" s="50"/>
      <c r="O1863" s="53" t="s">
        <v>92</v>
      </c>
      <c r="P1863" s="55" t="s">
        <v>11597</v>
      </c>
      <c r="Q1863" s="50">
        <v>1973.0</v>
      </c>
      <c r="R1863" s="50">
        <v>3151.0</v>
      </c>
      <c r="S1863" s="50" t="s">
        <v>859</v>
      </c>
      <c r="T1863" s="56" t="s">
        <v>11680</v>
      </c>
      <c r="U1863" s="53" t="s">
        <v>332</v>
      </c>
    </row>
    <row r="1864">
      <c r="A1864" s="54" t="s">
        <v>11681</v>
      </c>
      <c r="B1864" s="50" t="s">
        <v>11682</v>
      </c>
      <c r="C1864" s="51" t="s">
        <v>316</v>
      </c>
      <c r="D1864" s="51"/>
      <c r="E1864" s="51"/>
      <c r="F1864" s="51"/>
      <c r="G1864" s="50" t="s">
        <v>11683</v>
      </c>
      <c r="H1864" s="52">
        <v>44683.29143518519</v>
      </c>
      <c r="I1864" s="50"/>
      <c r="J1864" s="50"/>
      <c r="K1864" s="50"/>
      <c r="L1864" s="50"/>
      <c r="M1864" s="50" t="s">
        <v>11684</v>
      </c>
      <c r="N1864" s="50"/>
      <c r="O1864" s="53" t="s">
        <v>60</v>
      </c>
      <c r="P1864" s="55" t="s">
        <v>11685</v>
      </c>
      <c r="Q1864" s="50">
        <v>2246.0</v>
      </c>
      <c r="R1864" s="50">
        <v>2836.0</v>
      </c>
      <c r="S1864" s="50" t="s">
        <v>11686</v>
      </c>
      <c r="T1864" s="56" t="s">
        <v>11687</v>
      </c>
      <c r="U1864" s="53" t="s">
        <v>322</v>
      </c>
    </row>
    <row r="1865">
      <c r="A1865" s="54" t="s">
        <v>11688</v>
      </c>
      <c r="B1865" s="50" t="s">
        <v>11689</v>
      </c>
      <c r="C1865" s="51" t="s">
        <v>316</v>
      </c>
      <c r="D1865" s="51"/>
      <c r="E1865" s="51"/>
      <c r="F1865" s="51"/>
      <c r="G1865" s="50" t="s">
        <v>11690</v>
      </c>
      <c r="H1865" s="52">
        <v>44683.29137731482</v>
      </c>
      <c r="I1865" s="50"/>
      <c r="J1865" s="50"/>
      <c r="K1865" s="50"/>
      <c r="L1865" s="50"/>
      <c r="M1865" s="50" t="s">
        <v>11691</v>
      </c>
      <c r="N1865" s="50"/>
      <c r="O1865" s="53" t="s">
        <v>92</v>
      </c>
      <c r="P1865" s="55" t="s">
        <v>354</v>
      </c>
      <c r="Q1865" s="50">
        <v>26.0</v>
      </c>
      <c r="R1865" s="50">
        <v>2162.0</v>
      </c>
      <c r="S1865" s="50"/>
      <c r="T1865" s="56" t="s">
        <v>11692</v>
      </c>
      <c r="U1865" s="53" t="s">
        <v>322</v>
      </c>
    </row>
    <row r="1866">
      <c r="A1866" s="54" t="s">
        <v>11693</v>
      </c>
      <c r="B1866" s="50" t="s">
        <v>11689</v>
      </c>
      <c r="C1866" s="51" t="s">
        <v>329</v>
      </c>
      <c r="D1866" s="51"/>
      <c r="E1866" s="51"/>
      <c r="F1866" s="51"/>
      <c r="G1866" s="50" t="s">
        <v>11694</v>
      </c>
      <c r="H1866" s="52">
        <v>44683.291296296295</v>
      </c>
      <c r="I1866" s="50"/>
      <c r="J1866" s="50"/>
      <c r="K1866" s="50"/>
      <c r="L1866" s="50"/>
      <c r="M1866" s="50" t="s">
        <v>11691</v>
      </c>
      <c r="N1866" s="50"/>
      <c r="O1866" s="53" t="s">
        <v>92</v>
      </c>
      <c r="P1866" s="55" t="s">
        <v>354</v>
      </c>
      <c r="Q1866" s="50">
        <v>26.0</v>
      </c>
      <c r="R1866" s="50">
        <v>2162.0</v>
      </c>
      <c r="S1866" s="50"/>
      <c r="T1866" s="56" t="s">
        <v>11695</v>
      </c>
      <c r="U1866" s="53" t="s">
        <v>332</v>
      </c>
    </row>
    <row r="1867">
      <c r="A1867" s="54" t="s">
        <v>11696</v>
      </c>
      <c r="B1867" s="50" t="s">
        <v>11697</v>
      </c>
      <c r="C1867" s="51" t="s">
        <v>11698</v>
      </c>
      <c r="D1867" s="51"/>
      <c r="E1867" s="51"/>
      <c r="F1867" s="51"/>
      <c r="G1867" s="50" t="s">
        <v>11699</v>
      </c>
      <c r="H1867" s="52">
        <v>44683.291249999995</v>
      </c>
      <c r="I1867" s="50"/>
      <c r="J1867" s="50"/>
      <c r="K1867" s="50" t="s">
        <v>11700</v>
      </c>
      <c r="L1867" s="50" t="s">
        <v>11697</v>
      </c>
      <c r="M1867" s="50" t="s">
        <v>11700</v>
      </c>
      <c r="N1867" s="50" t="s">
        <v>11701</v>
      </c>
      <c r="O1867" s="53" t="s">
        <v>70</v>
      </c>
      <c r="P1867" s="55" t="s">
        <v>11702</v>
      </c>
      <c r="Q1867" s="50">
        <v>254.0</v>
      </c>
      <c r="R1867" s="50">
        <v>135.0</v>
      </c>
      <c r="S1867" s="50" t="s">
        <v>11703</v>
      </c>
      <c r="T1867" s="56" t="s">
        <v>11704</v>
      </c>
      <c r="U1867" s="53" t="s">
        <v>11705</v>
      </c>
    </row>
    <row r="1868">
      <c r="A1868" s="54" t="s">
        <v>11706</v>
      </c>
      <c r="B1868" s="50" t="s">
        <v>11707</v>
      </c>
      <c r="C1868" s="51" t="s">
        <v>5847</v>
      </c>
      <c r="D1868" s="51"/>
      <c r="E1868" s="51"/>
      <c r="F1868" s="51"/>
      <c r="G1868" s="50" t="s">
        <v>11708</v>
      </c>
      <c r="H1868" s="52">
        <v>44683.291238425925</v>
      </c>
      <c r="I1868" s="50"/>
      <c r="J1868" s="50"/>
      <c r="K1868" s="50"/>
      <c r="L1868" s="50"/>
      <c r="M1868" s="50" t="s">
        <v>11709</v>
      </c>
      <c r="N1868" s="50"/>
      <c r="O1868" s="53" t="s">
        <v>60</v>
      </c>
      <c r="P1868" s="55" t="s">
        <v>11710</v>
      </c>
      <c r="Q1868" s="50">
        <v>1557.0</v>
      </c>
      <c r="R1868" s="50">
        <v>1766.0</v>
      </c>
      <c r="S1868" s="50" t="s">
        <v>11711</v>
      </c>
      <c r="T1868" s="56" t="s">
        <v>11712</v>
      </c>
      <c r="U1868" s="53" t="s">
        <v>5853</v>
      </c>
    </row>
    <row r="1869">
      <c r="A1869" s="54" t="s">
        <v>11713</v>
      </c>
      <c r="B1869" s="50" t="s">
        <v>11689</v>
      </c>
      <c r="C1869" s="51" t="s">
        <v>367</v>
      </c>
      <c r="D1869" s="51"/>
      <c r="E1869" s="51"/>
      <c r="F1869" s="51"/>
      <c r="G1869" s="50" t="s">
        <v>11714</v>
      </c>
      <c r="H1869" s="52">
        <v>44683.29116898148</v>
      </c>
      <c r="I1869" s="50"/>
      <c r="J1869" s="50"/>
      <c r="K1869" s="50"/>
      <c r="L1869" s="50"/>
      <c r="M1869" s="50" t="s">
        <v>11691</v>
      </c>
      <c r="N1869" s="50"/>
      <c r="O1869" s="53" t="s">
        <v>92</v>
      </c>
      <c r="P1869" s="55" t="s">
        <v>354</v>
      </c>
      <c r="Q1869" s="50">
        <v>26.0</v>
      </c>
      <c r="R1869" s="50">
        <v>2162.0</v>
      </c>
      <c r="S1869" s="50"/>
      <c r="T1869" s="56" t="s">
        <v>11715</v>
      </c>
      <c r="U1869" s="53" t="s">
        <v>370</v>
      </c>
    </row>
    <row r="1870">
      <c r="A1870" s="54" t="s">
        <v>11716</v>
      </c>
      <c r="B1870" s="50" t="s">
        <v>11717</v>
      </c>
      <c r="C1870" s="51" t="s">
        <v>316</v>
      </c>
      <c r="D1870" s="51"/>
      <c r="E1870" s="51"/>
      <c r="F1870" s="51"/>
      <c r="G1870" s="50" t="s">
        <v>11718</v>
      </c>
      <c r="H1870" s="52">
        <v>44683.29082175926</v>
      </c>
      <c r="I1870" s="50"/>
      <c r="J1870" s="50"/>
      <c r="K1870" s="50"/>
      <c r="L1870" s="50"/>
      <c r="M1870" s="50" t="s">
        <v>11719</v>
      </c>
      <c r="N1870" s="50"/>
      <c r="O1870" s="53" t="s">
        <v>60</v>
      </c>
      <c r="P1870" s="55" t="s">
        <v>11720</v>
      </c>
      <c r="Q1870" s="50">
        <v>56.0</v>
      </c>
      <c r="R1870" s="50">
        <v>38.0</v>
      </c>
      <c r="S1870" s="50" t="s">
        <v>11721</v>
      </c>
      <c r="T1870" s="56" t="s">
        <v>11722</v>
      </c>
      <c r="U1870" s="53" t="s">
        <v>322</v>
      </c>
    </row>
    <row r="1871">
      <c r="A1871" s="54" t="s">
        <v>11723</v>
      </c>
      <c r="B1871" s="50" t="s">
        <v>11717</v>
      </c>
      <c r="C1871" s="51" t="s">
        <v>329</v>
      </c>
      <c r="D1871" s="51"/>
      <c r="E1871" s="51"/>
      <c r="F1871" s="51"/>
      <c r="G1871" s="50" t="s">
        <v>11724</v>
      </c>
      <c r="H1871" s="52">
        <v>44683.29069444444</v>
      </c>
      <c r="I1871" s="50"/>
      <c r="J1871" s="50"/>
      <c r="K1871" s="50"/>
      <c r="L1871" s="50"/>
      <c r="M1871" s="50" t="s">
        <v>11719</v>
      </c>
      <c r="N1871" s="50"/>
      <c r="O1871" s="53" t="s">
        <v>60</v>
      </c>
      <c r="P1871" s="55" t="s">
        <v>11720</v>
      </c>
      <c r="Q1871" s="50">
        <v>56.0</v>
      </c>
      <c r="R1871" s="50">
        <v>38.0</v>
      </c>
      <c r="S1871" s="50" t="s">
        <v>11721</v>
      </c>
      <c r="T1871" s="56" t="s">
        <v>11725</v>
      </c>
      <c r="U1871" s="53" t="s">
        <v>332</v>
      </c>
    </row>
    <row r="1872">
      <c r="A1872" s="54" t="s">
        <v>11726</v>
      </c>
      <c r="B1872" s="50" t="s">
        <v>11727</v>
      </c>
      <c r="C1872" s="51" t="s">
        <v>316</v>
      </c>
      <c r="D1872" s="51"/>
      <c r="E1872" s="51"/>
      <c r="F1872" s="51"/>
      <c r="G1872" s="50" t="s">
        <v>11728</v>
      </c>
      <c r="H1872" s="52">
        <v>44683.290347222224</v>
      </c>
      <c r="I1872" s="50"/>
      <c r="J1872" s="50"/>
      <c r="K1872" s="50"/>
      <c r="L1872" s="50"/>
      <c r="M1872" s="50" t="s">
        <v>11729</v>
      </c>
      <c r="N1872" s="50"/>
      <c r="O1872" s="53" t="s">
        <v>70</v>
      </c>
      <c r="P1872" s="55" t="s">
        <v>354</v>
      </c>
      <c r="Q1872" s="50">
        <v>83.0</v>
      </c>
      <c r="R1872" s="50">
        <v>657.0</v>
      </c>
      <c r="S1872" s="50" t="s">
        <v>246</v>
      </c>
      <c r="T1872" s="56" t="s">
        <v>11730</v>
      </c>
      <c r="U1872" s="53" t="s">
        <v>322</v>
      </c>
    </row>
    <row r="1873">
      <c r="A1873" s="54" t="s">
        <v>11731</v>
      </c>
      <c r="B1873" s="50" t="s">
        <v>11717</v>
      </c>
      <c r="C1873" s="51" t="s">
        <v>363</v>
      </c>
      <c r="D1873" s="51"/>
      <c r="E1873" s="51"/>
      <c r="F1873" s="51"/>
      <c r="G1873" s="50" t="s">
        <v>11732</v>
      </c>
      <c r="H1873" s="52">
        <v>44683.29033564815</v>
      </c>
      <c r="I1873" s="50"/>
      <c r="J1873" s="50"/>
      <c r="K1873" s="50"/>
      <c r="L1873" s="50"/>
      <c r="M1873" s="50" t="s">
        <v>11719</v>
      </c>
      <c r="N1873" s="50"/>
      <c r="O1873" s="53" t="s">
        <v>60</v>
      </c>
      <c r="P1873" s="55" t="s">
        <v>11720</v>
      </c>
      <c r="Q1873" s="50">
        <v>56.0</v>
      </c>
      <c r="R1873" s="50">
        <v>38.0</v>
      </c>
      <c r="S1873" s="50" t="s">
        <v>11721</v>
      </c>
      <c r="T1873" s="56" t="s">
        <v>11733</v>
      </c>
      <c r="U1873" s="53" t="s">
        <v>332</v>
      </c>
    </row>
    <row r="1874">
      <c r="A1874" s="54" t="s">
        <v>11734</v>
      </c>
      <c r="B1874" s="50" t="s">
        <v>11735</v>
      </c>
      <c r="C1874" s="51" t="s">
        <v>363</v>
      </c>
      <c r="D1874" s="51"/>
      <c r="E1874" s="51"/>
      <c r="F1874" s="51"/>
      <c r="G1874" s="50" t="s">
        <v>11736</v>
      </c>
      <c r="H1874" s="52">
        <v>44683.29019675926</v>
      </c>
      <c r="I1874" s="50"/>
      <c r="J1874" s="50"/>
      <c r="K1874" s="50"/>
      <c r="L1874" s="50"/>
      <c r="M1874" s="50" t="s">
        <v>11737</v>
      </c>
      <c r="N1874" s="50"/>
      <c r="O1874" s="53" t="s">
        <v>70</v>
      </c>
      <c r="P1874" s="55" t="s">
        <v>11738</v>
      </c>
      <c r="Q1874" s="50">
        <v>4167.0</v>
      </c>
      <c r="R1874" s="50">
        <v>4779.0</v>
      </c>
      <c r="S1874" s="50"/>
      <c r="T1874" s="56" t="s">
        <v>11739</v>
      </c>
      <c r="U1874" s="53" t="s">
        <v>332</v>
      </c>
    </row>
    <row r="1875">
      <c r="A1875" s="54" t="s">
        <v>11740</v>
      </c>
      <c r="B1875" s="50" t="s">
        <v>11735</v>
      </c>
      <c r="C1875" s="51" t="s">
        <v>335</v>
      </c>
      <c r="D1875" s="51"/>
      <c r="E1875" s="51"/>
      <c r="F1875" s="51"/>
      <c r="G1875" s="50" t="s">
        <v>11741</v>
      </c>
      <c r="H1875" s="52">
        <v>44683.29010416666</v>
      </c>
      <c r="I1875" s="50"/>
      <c r="J1875" s="50"/>
      <c r="K1875" s="50"/>
      <c r="L1875" s="50"/>
      <c r="M1875" s="50" t="s">
        <v>11737</v>
      </c>
      <c r="N1875" s="50"/>
      <c r="O1875" s="53" t="s">
        <v>70</v>
      </c>
      <c r="P1875" s="55" t="s">
        <v>11738</v>
      </c>
      <c r="Q1875" s="50">
        <v>4167.0</v>
      </c>
      <c r="R1875" s="50">
        <v>4779.0</v>
      </c>
      <c r="S1875" s="50"/>
      <c r="T1875" s="56" t="s">
        <v>11742</v>
      </c>
      <c r="U1875" s="53" t="s">
        <v>339</v>
      </c>
    </row>
    <row r="1876">
      <c r="A1876" s="54" t="s">
        <v>11743</v>
      </c>
      <c r="B1876" s="50" t="s">
        <v>11744</v>
      </c>
      <c r="C1876" s="51" t="s">
        <v>367</v>
      </c>
      <c r="D1876" s="51"/>
      <c r="E1876" s="51"/>
      <c r="F1876" s="51"/>
      <c r="G1876" s="50" t="s">
        <v>11745</v>
      </c>
      <c r="H1876" s="52">
        <v>44683.29</v>
      </c>
      <c r="I1876" s="50"/>
      <c r="J1876" s="50"/>
      <c r="K1876" s="50"/>
      <c r="L1876" s="50"/>
      <c r="M1876" s="50" t="s">
        <v>11746</v>
      </c>
      <c r="N1876" s="50"/>
      <c r="O1876" s="53" t="s">
        <v>70</v>
      </c>
      <c r="P1876" s="55" t="s">
        <v>11747</v>
      </c>
      <c r="Q1876" s="50">
        <v>1757.0</v>
      </c>
      <c r="R1876" s="50">
        <v>2765.0</v>
      </c>
      <c r="S1876" s="50" t="s">
        <v>11748</v>
      </c>
      <c r="T1876" s="56" t="s">
        <v>11749</v>
      </c>
      <c r="U1876" s="53" t="s">
        <v>370</v>
      </c>
    </row>
    <row r="1877">
      <c r="A1877" s="54" t="s">
        <v>11750</v>
      </c>
      <c r="B1877" s="50" t="s">
        <v>8059</v>
      </c>
      <c r="C1877" s="51" t="s">
        <v>11751</v>
      </c>
      <c r="D1877" s="51"/>
      <c r="E1877" s="51"/>
      <c r="F1877" s="51"/>
      <c r="G1877" s="50" t="s">
        <v>11752</v>
      </c>
      <c r="H1877" s="52">
        <v>44683.28990740741</v>
      </c>
      <c r="I1877" s="50"/>
      <c r="J1877" s="50"/>
      <c r="K1877" s="50" t="s">
        <v>11753</v>
      </c>
      <c r="L1877" s="50" t="s">
        <v>11754</v>
      </c>
      <c r="M1877" s="50" t="s">
        <v>8064</v>
      </c>
      <c r="N1877" s="50" t="s">
        <v>11755</v>
      </c>
      <c r="O1877" s="53" t="s">
        <v>92</v>
      </c>
      <c r="P1877" s="55" t="s">
        <v>8066</v>
      </c>
      <c r="Q1877" s="50">
        <v>13535.0</v>
      </c>
      <c r="R1877" s="50">
        <v>14612.0</v>
      </c>
      <c r="S1877" s="50" t="s">
        <v>1311</v>
      </c>
      <c r="T1877" s="56" t="s">
        <v>11756</v>
      </c>
      <c r="U1877" s="53" t="s">
        <v>11757</v>
      </c>
    </row>
    <row r="1878">
      <c r="A1878" s="54" t="s">
        <v>11758</v>
      </c>
      <c r="B1878" s="50" t="s">
        <v>11759</v>
      </c>
      <c r="C1878" s="51" t="s">
        <v>11760</v>
      </c>
      <c r="D1878" s="51"/>
      <c r="E1878" s="51"/>
      <c r="F1878" s="51"/>
      <c r="G1878" s="50" t="s">
        <v>11761</v>
      </c>
      <c r="H1878" s="52">
        <v>44683.289814814816</v>
      </c>
      <c r="I1878" s="50"/>
      <c r="J1878" s="50"/>
      <c r="K1878" s="50" t="s">
        <v>11762</v>
      </c>
      <c r="L1878" s="50" t="s">
        <v>11759</v>
      </c>
      <c r="M1878" s="50" t="s">
        <v>11762</v>
      </c>
      <c r="N1878" s="50" t="s">
        <v>11763</v>
      </c>
      <c r="O1878" s="53" t="s">
        <v>70</v>
      </c>
      <c r="P1878" s="55" t="s">
        <v>11764</v>
      </c>
      <c r="Q1878" s="50">
        <v>6044.0</v>
      </c>
      <c r="R1878" s="50">
        <v>1483.0</v>
      </c>
      <c r="S1878" s="50" t="s">
        <v>2105</v>
      </c>
      <c r="T1878" s="56" t="s">
        <v>11765</v>
      </c>
      <c r="U1878" s="53" t="s">
        <v>11766</v>
      </c>
    </row>
    <row r="1879">
      <c r="A1879" s="54" t="s">
        <v>11767</v>
      </c>
      <c r="B1879" s="50" t="s">
        <v>11768</v>
      </c>
      <c r="C1879" s="51" t="s">
        <v>7142</v>
      </c>
      <c r="D1879" s="51"/>
      <c r="E1879" s="51"/>
      <c r="F1879" s="51"/>
      <c r="G1879" s="50" t="s">
        <v>11769</v>
      </c>
      <c r="H1879" s="52">
        <v>44683.28964120371</v>
      </c>
      <c r="I1879" s="50"/>
      <c r="J1879" s="50"/>
      <c r="K1879" s="50"/>
      <c r="L1879" s="50"/>
      <c r="M1879" s="50" t="s">
        <v>11770</v>
      </c>
      <c r="N1879" s="50"/>
      <c r="O1879" s="53" t="s">
        <v>92</v>
      </c>
      <c r="P1879" s="55" t="s">
        <v>11771</v>
      </c>
      <c r="Q1879" s="50">
        <v>1037.0</v>
      </c>
      <c r="R1879" s="50">
        <v>1753.0</v>
      </c>
      <c r="S1879" s="50"/>
      <c r="T1879" s="56" t="s">
        <v>11772</v>
      </c>
      <c r="U1879" s="53" t="s">
        <v>7148</v>
      </c>
    </row>
    <row r="1880">
      <c r="A1880" s="54" t="s">
        <v>11773</v>
      </c>
      <c r="B1880" s="50" t="s">
        <v>11774</v>
      </c>
      <c r="C1880" s="51" t="s">
        <v>5847</v>
      </c>
      <c r="D1880" s="51"/>
      <c r="E1880" s="51"/>
      <c r="F1880" s="51"/>
      <c r="G1880" s="50" t="s">
        <v>11775</v>
      </c>
      <c r="H1880" s="52">
        <v>44683.2894212963</v>
      </c>
      <c r="I1880" s="50"/>
      <c r="J1880" s="50"/>
      <c r="K1880" s="50"/>
      <c r="L1880" s="50"/>
      <c r="M1880" s="50" t="s">
        <v>11776</v>
      </c>
      <c r="N1880" s="50"/>
      <c r="O1880" s="53" t="s">
        <v>70</v>
      </c>
      <c r="P1880" s="55" t="s">
        <v>11777</v>
      </c>
      <c r="Q1880" s="50">
        <v>2390.0</v>
      </c>
      <c r="R1880" s="50">
        <v>2493.0</v>
      </c>
      <c r="S1880" s="50"/>
      <c r="T1880" s="56" t="s">
        <v>11778</v>
      </c>
      <c r="U1880" s="53" t="s">
        <v>5853</v>
      </c>
    </row>
    <row r="1881">
      <c r="A1881" s="54" t="s">
        <v>11779</v>
      </c>
      <c r="B1881" s="50" t="s">
        <v>11735</v>
      </c>
      <c r="C1881" s="51" t="s">
        <v>316</v>
      </c>
      <c r="D1881" s="51"/>
      <c r="E1881" s="51"/>
      <c r="F1881" s="51"/>
      <c r="G1881" s="50" t="s">
        <v>11780</v>
      </c>
      <c r="H1881" s="52">
        <v>44683.2893287037</v>
      </c>
      <c r="I1881" s="50"/>
      <c r="J1881" s="50"/>
      <c r="K1881" s="50"/>
      <c r="L1881" s="50"/>
      <c r="M1881" s="50" t="s">
        <v>11737</v>
      </c>
      <c r="N1881" s="50"/>
      <c r="O1881" s="53" t="s">
        <v>70</v>
      </c>
      <c r="P1881" s="55" t="s">
        <v>11738</v>
      </c>
      <c r="Q1881" s="50">
        <v>4167.0</v>
      </c>
      <c r="R1881" s="50">
        <v>4779.0</v>
      </c>
      <c r="S1881" s="50"/>
      <c r="T1881" s="56" t="s">
        <v>11781</v>
      </c>
      <c r="U1881" s="53" t="s">
        <v>322</v>
      </c>
    </row>
    <row r="1882">
      <c r="A1882" s="54" t="s">
        <v>11782</v>
      </c>
      <c r="B1882" s="50" t="s">
        <v>11774</v>
      </c>
      <c r="C1882" s="51" t="s">
        <v>7142</v>
      </c>
      <c r="D1882" s="51"/>
      <c r="E1882" s="51"/>
      <c r="F1882" s="51"/>
      <c r="G1882" s="50" t="s">
        <v>11783</v>
      </c>
      <c r="H1882" s="52">
        <v>44683.28903935185</v>
      </c>
      <c r="I1882" s="50"/>
      <c r="J1882" s="50"/>
      <c r="K1882" s="50"/>
      <c r="L1882" s="50"/>
      <c r="M1882" s="50" t="s">
        <v>11776</v>
      </c>
      <c r="N1882" s="50"/>
      <c r="O1882" s="53" t="s">
        <v>70</v>
      </c>
      <c r="P1882" s="55" t="s">
        <v>11777</v>
      </c>
      <c r="Q1882" s="50">
        <v>2390.0</v>
      </c>
      <c r="R1882" s="50">
        <v>2493.0</v>
      </c>
      <c r="S1882" s="50"/>
      <c r="T1882" s="56" t="s">
        <v>11784</v>
      </c>
      <c r="U1882" s="53" t="s">
        <v>7148</v>
      </c>
    </row>
    <row r="1883">
      <c r="A1883" s="54" t="s">
        <v>11785</v>
      </c>
      <c r="B1883" s="50" t="s">
        <v>1937</v>
      </c>
      <c r="C1883" s="51" t="s">
        <v>11340</v>
      </c>
      <c r="D1883" s="51"/>
      <c r="E1883" s="51"/>
      <c r="F1883" s="51"/>
      <c r="G1883" s="50" t="s">
        <v>11786</v>
      </c>
      <c r="H1883" s="52">
        <v>44683.28901620371</v>
      </c>
      <c r="I1883" s="50"/>
      <c r="J1883" s="50"/>
      <c r="K1883" s="50"/>
      <c r="L1883" s="50"/>
      <c r="M1883" s="50" t="s">
        <v>1939</v>
      </c>
      <c r="N1883" s="50"/>
      <c r="O1883" s="53" t="s">
        <v>60</v>
      </c>
      <c r="P1883" s="55" t="s">
        <v>1940</v>
      </c>
      <c r="Q1883" s="50">
        <v>4851.0</v>
      </c>
      <c r="R1883" s="50">
        <v>4946.0</v>
      </c>
      <c r="S1883" s="50" t="s">
        <v>1941</v>
      </c>
      <c r="T1883" s="56" t="s">
        <v>11787</v>
      </c>
      <c r="U1883" s="53" t="s">
        <v>11344</v>
      </c>
    </row>
    <row r="1884">
      <c r="A1884" s="54" t="s">
        <v>11788</v>
      </c>
      <c r="B1884" s="50" t="s">
        <v>11789</v>
      </c>
      <c r="C1884" s="51" t="s">
        <v>11790</v>
      </c>
      <c r="D1884" s="51"/>
      <c r="E1884" s="51"/>
      <c r="F1884" s="51"/>
      <c r="G1884" s="50" t="s">
        <v>11791</v>
      </c>
      <c r="H1884" s="52">
        <v>44683.28878472222</v>
      </c>
      <c r="I1884" s="50"/>
      <c r="J1884" s="50"/>
      <c r="K1884" s="50"/>
      <c r="L1884" s="50"/>
      <c r="M1884" s="50" t="s">
        <v>11792</v>
      </c>
      <c r="N1884" s="50"/>
      <c r="O1884" s="53" t="s">
        <v>92</v>
      </c>
      <c r="P1884" s="55" t="s">
        <v>11793</v>
      </c>
      <c r="Q1884" s="50">
        <v>15048.0</v>
      </c>
      <c r="R1884" s="50">
        <v>11848.0</v>
      </c>
      <c r="S1884" s="50" t="s">
        <v>11794</v>
      </c>
      <c r="T1884" s="56" t="s">
        <v>11795</v>
      </c>
      <c r="U1884" s="53" t="s">
        <v>5899</v>
      </c>
    </row>
    <row r="1885">
      <c r="A1885" s="54" t="s">
        <v>11796</v>
      </c>
      <c r="B1885" s="50" t="s">
        <v>11735</v>
      </c>
      <c r="C1885" s="51" t="s">
        <v>329</v>
      </c>
      <c r="D1885" s="51"/>
      <c r="E1885" s="51"/>
      <c r="F1885" s="51"/>
      <c r="G1885" s="50" t="s">
        <v>11797</v>
      </c>
      <c r="H1885" s="52">
        <v>44683.288773148146</v>
      </c>
      <c r="I1885" s="50"/>
      <c r="J1885" s="50"/>
      <c r="K1885" s="50"/>
      <c r="L1885" s="50"/>
      <c r="M1885" s="50" t="s">
        <v>11737</v>
      </c>
      <c r="N1885" s="50"/>
      <c r="O1885" s="53" t="s">
        <v>70</v>
      </c>
      <c r="P1885" s="55" t="s">
        <v>11738</v>
      </c>
      <c r="Q1885" s="50">
        <v>4167.0</v>
      </c>
      <c r="R1885" s="50">
        <v>4779.0</v>
      </c>
      <c r="S1885" s="50"/>
      <c r="T1885" s="56" t="s">
        <v>11798</v>
      </c>
      <c r="U1885" s="53" t="s">
        <v>332</v>
      </c>
    </row>
    <row r="1886">
      <c r="A1886" s="54" t="s">
        <v>11799</v>
      </c>
      <c r="B1886" s="50" t="s">
        <v>11800</v>
      </c>
      <c r="C1886" s="51" t="s">
        <v>7142</v>
      </c>
      <c r="D1886" s="51"/>
      <c r="E1886" s="51"/>
      <c r="F1886" s="51"/>
      <c r="G1886" s="50" t="s">
        <v>11801</v>
      </c>
      <c r="H1886" s="52">
        <v>44683.28849537037</v>
      </c>
      <c r="I1886" s="50"/>
      <c r="J1886" s="50"/>
      <c r="K1886" s="50"/>
      <c r="L1886" s="50"/>
      <c r="M1886" s="50" t="s">
        <v>11802</v>
      </c>
      <c r="N1886" s="50"/>
      <c r="O1886" s="53" t="s">
        <v>70</v>
      </c>
      <c r="P1886" s="55" t="s">
        <v>11803</v>
      </c>
      <c r="Q1886" s="50">
        <v>932.0</v>
      </c>
      <c r="R1886" s="50">
        <v>671.0</v>
      </c>
      <c r="S1886" s="50"/>
      <c r="T1886" s="56" t="s">
        <v>11804</v>
      </c>
      <c r="U1886" s="53" t="s">
        <v>7148</v>
      </c>
    </row>
    <row r="1887">
      <c r="A1887" s="54" t="s">
        <v>11805</v>
      </c>
      <c r="B1887" s="50" t="s">
        <v>11806</v>
      </c>
      <c r="C1887" s="51" t="s">
        <v>11807</v>
      </c>
      <c r="D1887" s="51"/>
      <c r="E1887" s="51"/>
      <c r="F1887" s="51"/>
      <c r="G1887" s="50" t="s">
        <v>11808</v>
      </c>
      <c r="H1887" s="52">
        <v>44683.28848379629</v>
      </c>
      <c r="I1887" s="50"/>
      <c r="J1887" s="50"/>
      <c r="K1887" s="50"/>
      <c r="L1887" s="50"/>
      <c r="M1887" s="50" t="s">
        <v>11809</v>
      </c>
      <c r="N1887" s="50"/>
      <c r="O1887" s="53" t="s">
        <v>92</v>
      </c>
      <c r="P1887" s="55" t="s">
        <v>11810</v>
      </c>
      <c r="Q1887" s="50">
        <v>855.0</v>
      </c>
      <c r="R1887" s="50">
        <v>1079.0</v>
      </c>
      <c r="S1887" s="50" t="s">
        <v>11811</v>
      </c>
      <c r="T1887" s="56" t="s">
        <v>11812</v>
      </c>
      <c r="U1887" s="53" t="s">
        <v>11813</v>
      </c>
    </row>
    <row r="1888">
      <c r="A1888" s="54" t="s">
        <v>11814</v>
      </c>
      <c r="B1888" s="50" t="s">
        <v>11735</v>
      </c>
      <c r="C1888" s="51" t="s">
        <v>367</v>
      </c>
      <c r="D1888" s="51"/>
      <c r="E1888" s="51"/>
      <c r="F1888" s="51"/>
      <c r="G1888" s="50" t="s">
        <v>11815</v>
      </c>
      <c r="H1888" s="52">
        <v>44683.28844907407</v>
      </c>
      <c r="I1888" s="50"/>
      <c r="J1888" s="50"/>
      <c r="K1888" s="50"/>
      <c r="L1888" s="50"/>
      <c r="M1888" s="50" t="s">
        <v>11737</v>
      </c>
      <c r="N1888" s="50"/>
      <c r="O1888" s="53" t="s">
        <v>70</v>
      </c>
      <c r="P1888" s="55" t="s">
        <v>11738</v>
      </c>
      <c r="Q1888" s="50">
        <v>4167.0</v>
      </c>
      <c r="R1888" s="50">
        <v>4779.0</v>
      </c>
      <c r="S1888" s="50"/>
      <c r="T1888" s="56" t="s">
        <v>11816</v>
      </c>
      <c r="U1888" s="53" t="s">
        <v>370</v>
      </c>
    </row>
    <row r="1889">
      <c r="A1889" s="54" t="s">
        <v>11817</v>
      </c>
      <c r="B1889" s="50" t="s">
        <v>11818</v>
      </c>
      <c r="C1889" s="51" t="s">
        <v>316</v>
      </c>
      <c r="D1889" s="51"/>
      <c r="E1889" s="51"/>
      <c r="F1889" s="51"/>
      <c r="G1889" s="50" t="s">
        <v>11819</v>
      </c>
      <c r="H1889" s="52">
        <v>44683.288402777776</v>
      </c>
      <c r="I1889" s="50"/>
      <c r="J1889" s="50"/>
      <c r="K1889" s="50"/>
      <c r="L1889" s="50"/>
      <c r="M1889" s="50" t="s">
        <v>11820</v>
      </c>
      <c r="N1889" s="50"/>
      <c r="O1889" s="53" t="s">
        <v>70</v>
      </c>
      <c r="P1889" s="55" t="s">
        <v>11821</v>
      </c>
      <c r="Q1889" s="50">
        <v>6892.0</v>
      </c>
      <c r="R1889" s="50">
        <v>6266.0</v>
      </c>
      <c r="S1889" s="50"/>
      <c r="T1889" s="56" t="s">
        <v>11822</v>
      </c>
      <c r="U1889" s="53" t="s">
        <v>322</v>
      </c>
    </row>
    <row r="1890">
      <c r="A1890" s="54" t="s">
        <v>11823</v>
      </c>
      <c r="B1890" s="50" t="s">
        <v>11824</v>
      </c>
      <c r="C1890" s="51" t="s">
        <v>367</v>
      </c>
      <c r="D1890" s="51"/>
      <c r="E1890" s="51"/>
      <c r="F1890" s="51"/>
      <c r="G1890" s="50" t="s">
        <v>11825</v>
      </c>
      <c r="H1890" s="52">
        <v>44683.28802083334</v>
      </c>
      <c r="I1890" s="50"/>
      <c r="J1890" s="50"/>
      <c r="K1890" s="50"/>
      <c r="L1890" s="50"/>
      <c r="M1890" s="50" t="s">
        <v>11826</v>
      </c>
      <c r="N1890" s="50"/>
      <c r="O1890" s="53" t="s">
        <v>217</v>
      </c>
      <c r="P1890" s="55" t="s">
        <v>11827</v>
      </c>
      <c r="Q1890" s="50">
        <v>521.0</v>
      </c>
      <c r="R1890" s="50">
        <v>770.0</v>
      </c>
      <c r="S1890" s="50"/>
      <c r="T1890" s="56" t="s">
        <v>11828</v>
      </c>
      <c r="U1890" s="53" t="s">
        <v>370</v>
      </c>
    </row>
    <row r="1891">
      <c r="A1891" s="54" t="s">
        <v>11829</v>
      </c>
      <c r="B1891" s="50" t="s">
        <v>11789</v>
      </c>
      <c r="C1891" s="51" t="s">
        <v>11830</v>
      </c>
      <c r="D1891" s="51"/>
      <c r="E1891" s="51"/>
      <c r="F1891" s="51"/>
      <c r="G1891" s="50" t="s">
        <v>11831</v>
      </c>
      <c r="H1891" s="52">
        <v>44683.28792824074</v>
      </c>
      <c r="I1891" s="50"/>
      <c r="J1891" s="50"/>
      <c r="K1891" s="50"/>
      <c r="L1891" s="50"/>
      <c r="M1891" s="50" t="s">
        <v>11792</v>
      </c>
      <c r="N1891" s="50"/>
      <c r="O1891" s="53" t="s">
        <v>92</v>
      </c>
      <c r="P1891" s="55" t="s">
        <v>11793</v>
      </c>
      <c r="Q1891" s="50">
        <v>15048.0</v>
      </c>
      <c r="R1891" s="50">
        <v>11848.0</v>
      </c>
      <c r="S1891" s="50" t="s">
        <v>11794</v>
      </c>
      <c r="T1891" s="56" t="s">
        <v>11832</v>
      </c>
      <c r="U1891" s="53" t="s">
        <v>5899</v>
      </c>
    </row>
    <row r="1892">
      <c r="A1892" s="54" t="s">
        <v>11833</v>
      </c>
      <c r="B1892" s="50" t="s">
        <v>11818</v>
      </c>
      <c r="C1892" s="51" t="s">
        <v>363</v>
      </c>
      <c r="D1892" s="51"/>
      <c r="E1892" s="51"/>
      <c r="F1892" s="51"/>
      <c r="G1892" s="50" t="s">
        <v>11834</v>
      </c>
      <c r="H1892" s="52">
        <v>44683.28790509259</v>
      </c>
      <c r="I1892" s="50"/>
      <c r="J1892" s="50"/>
      <c r="K1892" s="50"/>
      <c r="L1892" s="50"/>
      <c r="M1892" s="50" t="s">
        <v>11820</v>
      </c>
      <c r="N1892" s="50"/>
      <c r="O1892" s="53" t="s">
        <v>70</v>
      </c>
      <c r="P1892" s="55" t="s">
        <v>11821</v>
      </c>
      <c r="Q1892" s="50">
        <v>6892.0</v>
      </c>
      <c r="R1892" s="50">
        <v>6266.0</v>
      </c>
      <c r="S1892" s="50"/>
      <c r="T1892" s="56" t="s">
        <v>11835</v>
      </c>
      <c r="U1892" s="53" t="s">
        <v>332</v>
      </c>
    </row>
    <row r="1893">
      <c r="A1893" s="54" t="s">
        <v>11836</v>
      </c>
      <c r="B1893" s="50" t="s">
        <v>10664</v>
      </c>
      <c r="C1893" s="51" t="s">
        <v>5847</v>
      </c>
      <c r="D1893" s="51"/>
      <c r="E1893" s="51"/>
      <c r="F1893" s="51"/>
      <c r="G1893" s="50" t="s">
        <v>11837</v>
      </c>
      <c r="H1893" s="52">
        <v>44683.28769675926</v>
      </c>
      <c r="I1893" s="50"/>
      <c r="J1893" s="50"/>
      <c r="K1893" s="50"/>
      <c r="L1893" s="50"/>
      <c r="M1893" s="50" t="s">
        <v>10666</v>
      </c>
      <c r="N1893" s="50"/>
      <c r="O1893" s="53" t="s">
        <v>217</v>
      </c>
      <c r="P1893" s="55" t="s">
        <v>10667</v>
      </c>
      <c r="Q1893" s="50">
        <v>1811.0</v>
      </c>
      <c r="R1893" s="50">
        <v>2142.0</v>
      </c>
      <c r="S1893" s="50"/>
      <c r="T1893" s="56" t="s">
        <v>11838</v>
      </c>
      <c r="U1893" s="53" t="s">
        <v>5853</v>
      </c>
    </row>
    <row r="1894">
      <c r="A1894" s="54" t="s">
        <v>11839</v>
      </c>
      <c r="B1894" s="50" t="s">
        <v>11840</v>
      </c>
      <c r="C1894" s="51" t="s">
        <v>11841</v>
      </c>
      <c r="D1894" s="51"/>
      <c r="E1894" s="51"/>
      <c r="F1894" s="51"/>
      <c r="G1894" s="50" t="s">
        <v>11842</v>
      </c>
      <c r="H1894" s="52">
        <v>44683.28765046297</v>
      </c>
      <c r="I1894" s="50"/>
      <c r="J1894" s="50"/>
      <c r="K1894" s="50" t="s">
        <v>4138</v>
      </c>
      <c r="L1894" s="50" t="s">
        <v>4139</v>
      </c>
      <c r="M1894" s="50" t="s">
        <v>11843</v>
      </c>
      <c r="N1894" s="50" t="s">
        <v>11844</v>
      </c>
      <c r="O1894" s="53" t="s">
        <v>60</v>
      </c>
      <c r="P1894" s="55" t="s">
        <v>11845</v>
      </c>
      <c r="Q1894" s="50">
        <v>130.0</v>
      </c>
      <c r="R1894" s="50">
        <v>39.0</v>
      </c>
      <c r="S1894" s="50" t="s">
        <v>219</v>
      </c>
      <c r="T1894" s="56" t="s">
        <v>11846</v>
      </c>
      <c r="U1894" s="53" t="s">
        <v>11847</v>
      </c>
    </row>
    <row r="1895">
      <c r="A1895" s="54" t="s">
        <v>11848</v>
      </c>
      <c r="B1895" s="50" t="s">
        <v>11824</v>
      </c>
      <c r="C1895" s="51" t="s">
        <v>329</v>
      </c>
      <c r="D1895" s="51"/>
      <c r="E1895" s="51"/>
      <c r="F1895" s="51"/>
      <c r="G1895" s="50" t="s">
        <v>11849</v>
      </c>
      <c r="H1895" s="52">
        <v>44683.2874537037</v>
      </c>
      <c r="I1895" s="50"/>
      <c r="J1895" s="50"/>
      <c r="K1895" s="50"/>
      <c r="L1895" s="50"/>
      <c r="M1895" s="50" t="s">
        <v>11826</v>
      </c>
      <c r="N1895" s="50"/>
      <c r="O1895" s="53" t="s">
        <v>217</v>
      </c>
      <c r="P1895" s="55" t="s">
        <v>11827</v>
      </c>
      <c r="Q1895" s="50">
        <v>521.0</v>
      </c>
      <c r="R1895" s="50">
        <v>770.0</v>
      </c>
      <c r="S1895" s="50"/>
      <c r="T1895" s="56" t="s">
        <v>11850</v>
      </c>
      <c r="U1895" s="53" t="s">
        <v>332</v>
      </c>
    </row>
    <row r="1896">
      <c r="A1896" s="54" t="s">
        <v>11851</v>
      </c>
      <c r="B1896" s="50" t="s">
        <v>11824</v>
      </c>
      <c r="C1896" s="51" t="s">
        <v>316</v>
      </c>
      <c r="D1896" s="51"/>
      <c r="E1896" s="51"/>
      <c r="F1896" s="51"/>
      <c r="G1896" s="50" t="s">
        <v>11852</v>
      </c>
      <c r="H1896" s="52">
        <v>44683.28730324074</v>
      </c>
      <c r="I1896" s="50"/>
      <c r="J1896" s="50"/>
      <c r="K1896" s="50"/>
      <c r="L1896" s="50"/>
      <c r="M1896" s="50" t="s">
        <v>11826</v>
      </c>
      <c r="N1896" s="50"/>
      <c r="O1896" s="53" t="s">
        <v>217</v>
      </c>
      <c r="P1896" s="55" t="s">
        <v>11827</v>
      </c>
      <c r="Q1896" s="50">
        <v>521.0</v>
      </c>
      <c r="R1896" s="50">
        <v>770.0</v>
      </c>
      <c r="S1896" s="50"/>
      <c r="T1896" s="56" t="s">
        <v>11853</v>
      </c>
      <c r="U1896" s="53" t="s">
        <v>322</v>
      </c>
    </row>
    <row r="1897">
      <c r="A1897" s="54" t="s">
        <v>11854</v>
      </c>
      <c r="B1897" s="50" t="s">
        <v>11855</v>
      </c>
      <c r="C1897" s="51" t="s">
        <v>11856</v>
      </c>
      <c r="D1897" s="51"/>
      <c r="E1897" s="51"/>
      <c r="F1897" s="51"/>
      <c r="G1897" s="50" t="s">
        <v>11857</v>
      </c>
      <c r="H1897" s="52">
        <v>44683.287048611106</v>
      </c>
      <c r="I1897" s="50"/>
      <c r="J1897" s="50"/>
      <c r="K1897" s="50" t="s">
        <v>11858</v>
      </c>
      <c r="L1897" s="50" t="s">
        <v>11859</v>
      </c>
      <c r="M1897" s="50" t="s">
        <v>11860</v>
      </c>
      <c r="N1897" s="50" t="s">
        <v>11861</v>
      </c>
      <c r="O1897" s="53" t="s">
        <v>92</v>
      </c>
      <c r="P1897" s="55" t="s">
        <v>11862</v>
      </c>
      <c r="Q1897" s="50">
        <v>136.0</v>
      </c>
      <c r="R1897" s="50">
        <v>452.0</v>
      </c>
      <c r="S1897" s="50"/>
      <c r="T1897" s="56" t="s">
        <v>11863</v>
      </c>
      <c r="U1897" s="53" t="s">
        <v>11864</v>
      </c>
    </row>
    <row r="1898">
      <c r="A1898" s="54" t="s">
        <v>11865</v>
      </c>
      <c r="B1898" s="50" t="s">
        <v>11866</v>
      </c>
      <c r="C1898" s="51" t="s">
        <v>367</v>
      </c>
      <c r="D1898" s="51"/>
      <c r="E1898" s="51"/>
      <c r="F1898" s="51"/>
      <c r="G1898" s="50" t="s">
        <v>11867</v>
      </c>
      <c r="H1898" s="52">
        <v>44683.286875000005</v>
      </c>
      <c r="I1898" s="50"/>
      <c r="J1898" s="50"/>
      <c r="K1898" s="50"/>
      <c r="L1898" s="50"/>
      <c r="M1898" s="50" t="s">
        <v>11868</v>
      </c>
      <c r="N1898" s="50"/>
      <c r="O1898" s="53" t="s">
        <v>92</v>
      </c>
      <c r="P1898" s="55" t="s">
        <v>11869</v>
      </c>
      <c r="Q1898" s="50">
        <v>5.0</v>
      </c>
      <c r="R1898" s="50">
        <v>57.0</v>
      </c>
      <c r="S1898" s="50" t="s">
        <v>1153</v>
      </c>
      <c r="T1898" s="56" t="s">
        <v>11870</v>
      </c>
      <c r="U1898" s="53" t="s">
        <v>370</v>
      </c>
    </row>
    <row r="1899">
      <c r="A1899" s="54" t="s">
        <v>1576</v>
      </c>
      <c r="B1899" s="50" t="s">
        <v>1575</v>
      </c>
      <c r="C1899" s="51" t="s">
        <v>11871</v>
      </c>
      <c r="D1899" s="51"/>
      <c r="E1899" s="51"/>
      <c r="F1899" s="51"/>
      <c r="G1899" s="50" t="s">
        <v>11872</v>
      </c>
      <c r="H1899" s="52">
        <v>44683.28649305555</v>
      </c>
      <c r="I1899" s="50"/>
      <c r="J1899" s="50"/>
      <c r="K1899" s="50"/>
      <c r="L1899" s="50"/>
      <c r="M1899" s="50" t="s">
        <v>1574</v>
      </c>
      <c r="N1899" s="50"/>
      <c r="O1899" s="53" t="s">
        <v>60</v>
      </c>
      <c r="P1899" s="55" t="s">
        <v>8662</v>
      </c>
      <c r="Q1899" s="50">
        <v>3033.0</v>
      </c>
      <c r="R1899" s="50">
        <v>4246.0</v>
      </c>
      <c r="S1899" s="50" t="s">
        <v>8663</v>
      </c>
      <c r="T1899" s="56" t="s">
        <v>11873</v>
      </c>
      <c r="U1899" s="53" t="s">
        <v>11874</v>
      </c>
    </row>
    <row r="1900">
      <c r="A1900" s="54" t="s">
        <v>11875</v>
      </c>
      <c r="B1900" s="50" t="s">
        <v>11526</v>
      </c>
      <c r="C1900" s="51" t="s">
        <v>11876</v>
      </c>
      <c r="D1900" s="51"/>
      <c r="E1900" s="51"/>
      <c r="F1900" s="51"/>
      <c r="G1900" s="50" t="s">
        <v>11877</v>
      </c>
      <c r="H1900" s="52">
        <v>44683.28634259259</v>
      </c>
      <c r="I1900" s="50"/>
      <c r="J1900" s="50"/>
      <c r="K1900" s="50" t="s">
        <v>11878</v>
      </c>
      <c r="L1900" s="50" t="s">
        <v>11879</v>
      </c>
      <c r="M1900" s="50" t="s">
        <v>11531</v>
      </c>
      <c r="N1900" s="50" t="s">
        <v>11880</v>
      </c>
      <c r="O1900" s="53" t="s">
        <v>92</v>
      </c>
      <c r="P1900" s="55" t="s">
        <v>11533</v>
      </c>
      <c r="Q1900" s="50">
        <v>335.0</v>
      </c>
      <c r="R1900" s="50">
        <v>1273.0</v>
      </c>
      <c r="S1900" s="50" t="s">
        <v>11534</v>
      </c>
      <c r="T1900" s="56" t="s">
        <v>11881</v>
      </c>
      <c r="U1900" s="53" t="s">
        <v>11882</v>
      </c>
    </row>
    <row r="1901">
      <c r="A1901" s="54" t="s">
        <v>11883</v>
      </c>
      <c r="B1901" s="50" t="s">
        <v>11884</v>
      </c>
      <c r="C1901" s="51" t="s">
        <v>7142</v>
      </c>
      <c r="D1901" s="51"/>
      <c r="E1901" s="51"/>
      <c r="F1901" s="51"/>
      <c r="G1901" s="50" t="s">
        <v>11885</v>
      </c>
      <c r="H1901" s="52">
        <v>44683.2862962963</v>
      </c>
      <c r="I1901" s="50"/>
      <c r="J1901" s="50"/>
      <c r="K1901" s="50"/>
      <c r="L1901" s="50"/>
      <c r="M1901" s="50" t="s">
        <v>11886</v>
      </c>
      <c r="N1901" s="50"/>
      <c r="O1901" s="53" t="s">
        <v>70</v>
      </c>
      <c r="P1901" s="55" t="s">
        <v>11887</v>
      </c>
      <c r="Q1901" s="50">
        <v>525.0</v>
      </c>
      <c r="R1901" s="50">
        <v>831.0</v>
      </c>
      <c r="S1901" s="50" t="s">
        <v>9535</v>
      </c>
      <c r="T1901" s="56" t="s">
        <v>11888</v>
      </c>
      <c r="U1901" s="53" t="s">
        <v>7148</v>
      </c>
    </row>
    <row r="1902">
      <c r="A1902" s="54" t="s">
        <v>11889</v>
      </c>
      <c r="B1902" s="50" t="s">
        <v>11789</v>
      </c>
      <c r="C1902" s="51" t="s">
        <v>11890</v>
      </c>
      <c r="D1902" s="51"/>
      <c r="E1902" s="51"/>
      <c r="F1902" s="51"/>
      <c r="G1902" s="50" t="s">
        <v>11891</v>
      </c>
      <c r="H1902" s="52">
        <v>44683.2860300926</v>
      </c>
      <c r="I1902" s="50"/>
      <c r="J1902" s="50"/>
      <c r="K1902" s="50"/>
      <c r="L1902" s="50"/>
      <c r="M1902" s="50" t="s">
        <v>11792</v>
      </c>
      <c r="N1902" s="50"/>
      <c r="O1902" s="53" t="s">
        <v>92</v>
      </c>
      <c r="P1902" s="55" t="s">
        <v>11793</v>
      </c>
      <c r="Q1902" s="50">
        <v>15048.0</v>
      </c>
      <c r="R1902" s="50">
        <v>11848.0</v>
      </c>
      <c r="S1902" s="50" t="s">
        <v>11794</v>
      </c>
      <c r="T1902" s="56" t="s">
        <v>11892</v>
      </c>
      <c r="U1902" s="53" t="s">
        <v>5899</v>
      </c>
    </row>
    <row r="1903">
      <c r="A1903" s="54" t="s">
        <v>11893</v>
      </c>
      <c r="B1903" s="50" t="s">
        <v>5632</v>
      </c>
      <c r="C1903" s="51" t="s">
        <v>8881</v>
      </c>
      <c r="D1903" s="51"/>
      <c r="E1903" s="51"/>
      <c r="F1903" s="51"/>
      <c r="G1903" s="50" t="s">
        <v>11894</v>
      </c>
      <c r="H1903" s="52">
        <v>44683.285879629635</v>
      </c>
      <c r="I1903" s="50"/>
      <c r="J1903" s="50"/>
      <c r="K1903" s="50"/>
      <c r="L1903" s="50"/>
      <c r="M1903" s="50" t="s">
        <v>5635</v>
      </c>
      <c r="N1903" s="50"/>
      <c r="O1903" s="53" t="s">
        <v>70</v>
      </c>
      <c r="P1903" s="55" t="s">
        <v>5636</v>
      </c>
      <c r="Q1903" s="50">
        <v>134.0</v>
      </c>
      <c r="R1903" s="50">
        <v>51.0</v>
      </c>
      <c r="S1903" s="50"/>
      <c r="T1903" s="56" t="s">
        <v>11895</v>
      </c>
      <c r="U1903" s="53" t="s">
        <v>8886</v>
      </c>
    </row>
    <row r="1904">
      <c r="A1904" s="54" t="s">
        <v>11896</v>
      </c>
      <c r="B1904" s="50" t="s">
        <v>11897</v>
      </c>
      <c r="C1904" s="51" t="s">
        <v>11898</v>
      </c>
      <c r="D1904" s="51"/>
      <c r="E1904" s="51"/>
      <c r="F1904" s="51"/>
      <c r="G1904" s="50" t="s">
        <v>11899</v>
      </c>
      <c r="H1904" s="52">
        <v>44683.285787037035</v>
      </c>
      <c r="I1904" s="50"/>
      <c r="J1904" s="50"/>
      <c r="K1904" s="50"/>
      <c r="L1904" s="50"/>
      <c r="M1904" s="50" t="s">
        <v>11900</v>
      </c>
      <c r="N1904" s="50"/>
      <c r="O1904" s="53" t="s">
        <v>60</v>
      </c>
      <c r="P1904" s="55" t="s">
        <v>11901</v>
      </c>
      <c r="Q1904" s="50">
        <v>2798.0</v>
      </c>
      <c r="R1904" s="50">
        <v>3256.0</v>
      </c>
      <c r="S1904" s="50" t="s">
        <v>11902</v>
      </c>
      <c r="T1904" s="56" t="s">
        <v>11903</v>
      </c>
      <c r="U1904" s="53" t="s">
        <v>11904</v>
      </c>
    </row>
    <row r="1905">
      <c r="A1905" s="54" t="s">
        <v>11905</v>
      </c>
      <c r="B1905" s="50" t="s">
        <v>11906</v>
      </c>
      <c r="C1905" s="51" t="s">
        <v>367</v>
      </c>
      <c r="D1905" s="51"/>
      <c r="E1905" s="51"/>
      <c r="F1905" s="51"/>
      <c r="G1905" s="50" t="s">
        <v>11907</v>
      </c>
      <c r="H1905" s="52">
        <v>44683.28569444444</v>
      </c>
      <c r="I1905" s="50"/>
      <c r="J1905" s="50"/>
      <c r="K1905" s="50"/>
      <c r="L1905" s="50"/>
      <c r="M1905" s="50" t="s">
        <v>11908</v>
      </c>
      <c r="N1905" s="50"/>
      <c r="O1905" s="53" t="s">
        <v>92</v>
      </c>
      <c r="P1905" s="55" t="s">
        <v>11909</v>
      </c>
      <c r="Q1905" s="50">
        <v>152.0</v>
      </c>
      <c r="R1905" s="50">
        <v>433.0</v>
      </c>
      <c r="S1905" s="50" t="s">
        <v>5965</v>
      </c>
      <c r="T1905" s="56" t="s">
        <v>11910</v>
      </c>
      <c r="U1905" s="53" t="s">
        <v>370</v>
      </c>
    </row>
    <row r="1906">
      <c r="A1906" s="54" t="s">
        <v>11911</v>
      </c>
      <c r="B1906" s="50" t="s">
        <v>11912</v>
      </c>
      <c r="C1906" s="51" t="s">
        <v>363</v>
      </c>
      <c r="D1906" s="51"/>
      <c r="E1906" s="51"/>
      <c r="F1906" s="51"/>
      <c r="G1906" s="50" t="s">
        <v>11913</v>
      </c>
      <c r="H1906" s="52">
        <v>44683.28564814814</v>
      </c>
      <c r="I1906" s="50"/>
      <c r="J1906" s="50"/>
      <c r="K1906" s="50"/>
      <c r="L1906" s="50"/>
      <c r="M1906" s="50" t="s">
        <v>11914</v>
      </c>
      <c r="N1906" s="50"/>
      <c r="O1906" s="53" t="s">
        <v>92</v>
      </c>
      <c r="P1906" s="55" t="s">
        <v>11915</v>
      </c>
      <c r="Q1906" s="50">
        <v>98.0</v>
      </c>
      <c r="R1906" s="50">
        <v>402.0</v>
      </c>
      <c r="S1906" s="50"/>
      <c r="T1906" s="56" t="s">
        <v>11916</v>
      </c>
      <c r="U1906" s="53" t="s">
        <v>332</v>
      </c>
    </row>
    <row r="1907">
      <c r="A1907" s="54" t="s">
        <v>11917</v>
      </c>
      <c r="B1907" s="50" t="s">
        <v>11918</v>
      </c>
      <c r="C1907" s="51" t="s">
        <v>367</v>
      </c>
      <c r="D1907" s="51"/>
      <c r="E1907" s="51"/>
      <c r="F1907" s="51"/>
      <c r="G1907" s="50" t="s">
        <v>11919</v>
      </c>
      <c r="H1907" s="52">
        <v>44683.28556712963</v>
      </c>
      <c r="I1907" s="50"/>
      <c r="J1907" s="50"/>
      <c r="K1907" s="50"/>
      <c r="L1907" s="50"/>
      <c r="M1907" s="50" t="s">
        <v>11920</v>
      </c>
      <c r="N1907" s="50"/>
      <c r="O1907" s="53" t="s">
        <v>70</v>
      </c>
      <c r="P1907" s="55" t="s">
        <v>11921</v>
      </c>
      <c r="Q1907" s="50">
        <v>343.0</v>
      </c>
      <c r="R1907" s="50">
        <v>665.0</v>
      </c>
      <c r="S1907" s="50"/>
      <c r="T1907" s="56" t="s">
        <v>11922</v>
      </c>
      <c r="U1907" s="53" t="s">
        <v>370</v>
      </c>
    </row>
    <row r="1908">
      <c r="A1908" s="54" t="s">
        <v>11923</v>
      </c>
      <c r="B1908" s="50" t="s">
        <v>11789</v>
      </c>
      <c r="C1908" s="51" t="s">
        <v>11924</v>
      </c>
      <c r="D1908" s="51"/>
      <c r="E1908" s="51"/>
      <c r="F1908" s="51"/>
      <c r="G1908" s="50" t="s">
        <v>11925</v>
      </c>
      <c r="H1908" s="52">
        <v>44683.28528935185</v>
      </c>
      <c r="I1908" s="50"/>
      <c r="J1908" s="50"/>
      <c r="K1908" s="50"/>
      <c r="L1908" s="50"/>
      <c r="M1908" s="50" t="s">
        <v>11792</v>
      </c>
      <c r="N1908" s="50"/>
      <c r="O1908" s="53" t="s">
        <v>92</v>
      </c>
      <c r="P1908" s="55" t="s">
        <v>11793</v>
      </c>
      <c r="Q1908" s="50">
        <v>15048.0</v>
      </c>
      <c r="R1908" s="50">
        <v>11848.0</v>
      </c>
      <c r="S1908" s="50" t="s">
        <v>11794</v>
      </c>
      <c r="T1908" s="56" t="s">
        <v>11926</v>
      </c>
      <c r="U1908" s="53" t="s">
        <v>5899</v>
      </c>
    </row>
    <row r="1909">
      <c r="A1909" s="54" t="s">
        <v>11927</v>
      </c>
      <c r="B1909" s="50" t="s">
        <v>11928</v>
      </c>
      <c r="C1909" s="51" t="s">
        <v>7142</v>
      </c>
      <c r="D1909" s="51"/>
      <c r="E1909" s="51"/>
      <c r="F1909" s="51"/>
      <c r="G1909" s="50" t="s">
        <v>11929</v>
      </c>
      <c r="H1909" s="52">
        <v>44683.285266203704</v>
      </c>
      <c r="I1909" s="50"/>
      <c r="J1909" s="50"/>
      <c r="K1909" s="50"/>
      <c r="L1909" s="50"/>
      <c r="M1909" s="50" t="s">
        <v>11930</v>
      </c>
      <c r="N1909" s="50"/>
      <c r="O1909" s="53" t="s">
        <v>70</v>
      </c>
      <c r="P1909" s="55" t="s">
        <v>11931</v>
      </c>
      <c r="Q1909" s="50">
        <v>1500.0</v>
      </c>
      <c r="R1909" s="50">
        <v>1716.0</v>
      </c>
      <c r="S1909" s="50"/>
      <c r="T1909" s="56" t="s">
        <v>11932</v>
      </c>
      <c r="U1909" s="53" t="s">
        <v>7148</v>
      </c>
    </row>
    <row r="1910">
      <c r="A1910" s="54" t="s">
        <v>11933</v>
      </c>
      <c r="B1910" s="50" t="s">
        <v>11934</v>
      </c>
      <c r="C1910" s="51" t="s">
        <v>11935</v>
      </c>
      <c r="D1910" s="51"/>
      <c r="E1910" s="51"/>
      <c r="F1910" s="51"/>
      <c r="G1910" s="50" t="s">
        <v>11936</v>
      </c>
      <c r="H1910" s="52">
        <v>44683.28475694444</v>
      </c>
      <c r="I1910" s="50"/>
      <c r="J1910" s="50"/>
      <c r="K1910" s="50" t="s">
        <v>11937</v>
      </c>
      <c r="L1910" s="50" t="s">
        <v>11938</v>
      </c>
      <c r="M1910" s="50" t="s">
        <v>11939</v>
      </c>
      <c r="N1910" s="50" t="s">
        <v>11940</v>
      </c>
      <c r="O1910" s="53" t="s">
        <v>60</v>
      </c>
      <c r="P1910" s="55" t="s">
        <v>11941</v>
      </c>
      <c r="Q1910" s="50">
        <v>64.0</v>
      </c>
      <c r="R1910" s="50">
        <v>102.0</v>
      </c>
      <c r="S1910" s="50" t="s">
        <v>246</v>
      </c>
      <c r="T1910" s="56" t="s">
        <v>11942</v>
      </c>
      <c r="U1910" s="53" t="s">
        <v>11943</v>
      </c>
    </row>
    <row r="1911">
      <c r="A1911" s="54" t="s">
        <v>11944</v>
      </c>
      <c r="B1911" s="50" t="s">
        <v>11945</v>
      </c>
      <c r="C1911" s="51" t="s">
        <v>363</v>
      </c>
      <c r="D1911" s="51"/>
      <c r="E1911" s="51"/>
      <c r="F1911" s="51"/>
      <c r="G1911" s="50" t="s">
        <v>11946</v>
      </c>
      <c r="H1911" s="52">
        <v>44683.28447916667</v>
      </c>
      <c r="I1911" s="50"/>
      <c r="J1911" s="50"/>
      <c r="K1911" s="50"/>
      <c r="L1911" s="50"/>
      <c r="M1911" s="50" t="s">
        <v>11947</v>
      </c>
      <c r="N1911" s="50"/>
      <c r="O1911" s="53" t="s">
        <v>70</v>
      </c>
      <c r="P1911" s="55" t="s">
        <v>11948</v>
      </c>
      <c r="Q1911" s="50">
        <v>2818.0</v>
      </c>
      <c r="R1911" s="50">
        <v>4261.0</v>
      </c>
      <c r="S1911" s="50" t="s">
        <v>11949</v>
      </c>
      <c r="T1911" s="56" t="s">
        <v>11950</v>
      </c>
      <c r="U1911" s="53" t="s">
        <v>332</v>
      </c>
    </row>
    <row r="1912">
      <c r="A1912" s="54" t="s">
        <v>11951</v>
      </c>
      <c r="B1912" s="50" t="s">
        <v>11952</v>
      </c>
      <c r="C1912" s="51" t="s">
        <v>367</v>
      </c>
      <c r="D1912" s="51"/>
      <c r="E1912" s="51"/>
      <c r="F1912" s="51"/>
      <c r="G1912" s="50" t="s">
        <v>11953</v>
      </c>
      <c r="H1912" s="52">
        <v>44683.284363425926</v>
      </c>
      <c r="I1912" s="50"/>
      <c r="J1912" s="50"/>
      <c r="K1912" s="50"/>
      <c r="L1912" s="50"/>
      <c r="M1912" s="50" t="s">
        <v>11954</v>
      </c>
      <c r="N1912" s="50"/>
      <c r="O1912" s="53" t="s">
        <v>92</v>
      </c>
      <c r="P1912" s="55" t="s">
        <v>11955</v>
      </c>
      <c r="Q1912" s="50">
        <v>1170.0</v>
      </c>
      <c r="R1912" s="50">
        <v>1961.0</v>
      </c>
      <c r="S1912" s="50" t="s">
        <v>11956</v>
      </c>
      <c r="T1912" s="56" t="s">
        <v>11957</v>
      </c>
      <c r="U1912" s="53" t="s">
        <v>370</v>
      </c>
    </row>
    <row r="1913">
      <c r="A1913" s="54" t="s">
        <v>11958</v>
      </c>
      <c r="B1913" s="50" t="s">
        <v>11959</v>
      </c>
      <c r="C1913" s="51" t="s">
        <v>367</v>
      </c>
      <c r="D1913" s="51"/>
      <c r="E1913" s="51"/>
      <c r="F1913" s="51"/>
      <c r="G1913" s="50" t="s">
        <v>11960</v>
      </c>
      <c r="H1913" s="52">
        <v>44683.28422453704</v>
      </c>
      <c r="I1913" s="50"/>
      <c r="J1913" s="50"/>
      <c r="K1913" s="50"/>
      <c r="L1913" s="50"/>
      <c r="M1913" s="50" t="s">
        <v>11961</v>
      </c>
      <c r="N1913" s="50"/>
      <c r="O1913" s="53" t="s">
        <v>92</v>
      </c>
      <c r="P1913" s="55" t="s">
        <v>11962</v>
      </c>
      <c r="Q1913" s="50">
        <v>18.0</v>
      </c>
      <c r="R1913" s="50">
        <v>44.0</v>
      </c>
      <c r="S1913" s="50"/>
      <c r="T1913" s="56" t="s">
        <v>11963</v>
      </c>
      <c r="U1913" s="53" t="s">
        <v>370</v>
      </c>
    </row>
    <row r="1914">
      <c r="A1914" s="54" t="s">
        <v>11964</v>
      </c>
      <c r="B1914" s="50" t="s">
        <v>11965</v>
      </c>
      <c r="C1914" s="51" t="s">
        <v>367</v>
      </c>
      <c r="D1914" s="51"/>
      <c r="E1914" s="51"/>
      <c r="F1914" s="51"/>
      <c r="G1914" s="50" t="s">
        <v>11966</v>
      </c>
      <c r="H1914" s="52">
        <v>44683.28335648148</v>
      </c>
      <c r="I1914" s="50"/>
      <c r="J1914" s="50"/>
      <c r="K1914" s="50"/>
      <c r="L1914" s="50"/>
      <c r="M1914" s="50" t="s">
        <v>11967</v>
      </c>
      <c r="N1914" s="50"/>
      <c r="O1914" s="53" t="s">
        <v>217</v>
      </c>
      <c r="P1914" s="55" t="s">
        <v>11968</v>
      </c>
      <c r="Q1914" s="50">
        <v>1323.0</v>
      </c>
      <c r="R1914" s="50">
        <v>2144.0</v>
      </c>
      <c r="S1914" s="50" t="s">
        <v>379</v>
      </c>
      <c r="T1914" s="56" t="s">
        <v>11969</v>
      </c>
      <c r="U1914" s="53" t="s">
        <v>370</v>
      </c>
    </row>
    <row r="1915">
      <c r="A1915" s="54" t="s">
        <v>11970</v>
      </c>
      <c r="B1915" s="50" t="s">
        <v>629</v>
      </c>
      <c r="C1915" s="51" t="s">
        <v>367</v>
      </c>
      <c r="D1915" s="51"/>
      <c r="E1915" s="51"/>
      <c r="F1915" s="51"/>
      <c r="G1915" s="50" t="s">
        <v>11971</v>
      </c>
      <c r="H1915" s="52">
        <v>44683.28333333333</v>
      </c>
      <c r="I1915" s="50"/>
      <c r="J1915" s="50"/>
      <c r="K1915" s="50"/>
      <c r="L1915" s="50"/>
      <c r="M1915" s="50" t="s">
        <v>628</v>
      </c>
      <c r="N1915" s="50"/>
      <c r="O1915" s="53" t="s">
        <v>92</v>
      </c>
      <c r="P1915" s="55" t="s">
        <v>11972</v>
      </c>
      <c r="Q1915" s="50">
        <v>6704.0</v>
      </c>
      <c r="R1915" s="50">
        <v>6106.0</v>
      </c>
      <c r="S1915" s="50" t="s">
        <v>11973</v>
      </c>
      <c r="T1915" s="56" t="s">
        <v>11974</v>
      </c>
      <c r="U1915" s="53" t="s">
        <v>370</v>
      </c>
    </row>
    <row r="1916">
      <c r="A1916" s="54" t="s">
        <v>11975</v>
      </c>
      <c r="B1916" s="50" t="s">
        <v>11976</v>
      </c>
      <c r="C1916" s="51" t="s">
        <v>11977</v>
      </c>
      <c r="D1916" s="51"/>
      <c r="E1916" s="51"/>
      <c r="F1916" s="51"/>
      <c r="G1916" s="50" t="s">
        <v>11978</v>
      </c>
      <c r="H1916" s="52">
        <v>44683.28320601852</v>
      </c>
      <c r="I1916" s="50"/>
      <c r="J1916" s="50"/>
      <c r="K1916" s="50"/>
      <c r="L1916" s="50"/>
      <c r="M1916" s="50" t="s">
        <v>11979</v>
      </c>
      <c r="N1916" s="50"/>
      <c r="O1916" s="53" t="s">
        <v>60</v>
      </c>
      <c r="P1916" s="55" t="s">
        <v>11980</v>
      </c>
      <c r="Q1916" s="50">
        <v>2705.0</v>
      </c>
      <c r="R1916" s="50">
        <v>4492.0</v>
      </c>
      <c r="S1916" s="50" t="s">
        <v>246</v>
      </c>
      <c r="T1916" s="56" t="s">
        <v>11981</v>
      </c>
      <c r="U1916" s="53" t="s">
        <v>11982</v>
      </c>
    </row>
    <row r="1917">
      <c r="A1917" s="54" t="s">
        <v>11983</v>
      </c>
      <c r="B1917" s="50" t="s">
        <v>11984</v>
      </c>
      <c r="C1917" s="51" t="s">
        <v>367</v>
      </c>
      <c r="D1917" s="51"/>
      <c r="E1917" s="51"/>
      <c r="F1917" s="51"/>
      <c r="G1917" s="50" t="s">
        <v>11985</v>
      </c>
      <c r="H1917" s="52">
        <v>44683.282905092594</v>
      </c>
      <c r="I1917" s="50"/>
      <c r="J1917" s="50"/>
      <c r="K1917" s="50"/>
      <c r="L1917" s="50"/>
      <c r="M1917" s="50" t="s">
        <v>11986</v>
      </c>
      <c r="N1917" s="50"/>
      <c r="O1917" s="53" t="s">
        <v>92</v>
      </c>
      <c r="P1917" s="55" t="s">
        <v>11987</v>
      </c>
      <c r="Q1917" s="50">
        <v>178.0</v>
      </c>
      <c r="R1917" s="50">
        <v>311.0</v>
      </c>
      <c r="S1917" s="50" t="s">
        <v>1064</v>
      </c>
      <c r="T1917" s="56" t="s">
        <v>11988</v>
      </c>
      <c r="U1917" s="53" t="s">
        <v>370</v>
      </c>
    </row>
    <row r="1918">
      <c r="A1918" s="54" t="s">
        <v>11989</v>
      </c>
      <c r="B1918" s="50" t="s">
        <v>11990</v>
      </c>
      <c r="C1918" s="51" t="s">
        <v>5847</v>
      </c>
      <c r="D1918" s="51"/>
      <c r="E1918" s="51"/>
      <c r="F1918" s="51"/>
      <c r="G1918" s="50" t="s">
        <v>11991</v>
      </c>
      <c r="H1918" s="52">
        <v>44683.28289351852</v>
      </c>
      <c r="I1918" s="50"/>
      <c r="J1918" s="50"/>
      <c r="K1918" s="50"/>
      <c r="L1918" s="50"/>
      <c r="M1918" s="50" t="s">
        <v>11992</v>
      </c>
      <c r="N1918" s="50"/>
      <c r="O1918" s="53" t="s">
        <v>92</v>
      </c>
      <c r="P1918" s="55" t="s">
        <v>11993</v>
      </c>
      <c r="Q1918" s="50">
        <v>488.0</v>
      </c>
      <c r="R1918" s="50">
        <v>554.0</v>
      </c>
      <c r="S1918" s="50"/>
      <c r="T1918" s="56" t="s">
        <v>11994</v>
      </c>
      <c r="U1918" s="53" t="s">
        <v>5853</v>
      </c>
    </row>
    <row r="1919">
      <c r="A1919" s="54" t="s">
        <v>11995</v>
      </c>
      <c r="B1919" s="50" t="s">
        <v>11996</v>
      </c>
      <c r="C1919" s="51" t="s">
        <v>11997</v>
      </c>
      <c r="D1919" s="51"/>
      <c r="E1919" s="51"/>
      <c r="F1919" s="51"/>
      <c r="G1919" s="50" t="s">
        <v>11998</v>
      </c>
      <c r="H1919" s="52">
        <v>44683.28277777778</v>
      </c>
      <c r="I1919" s="50"/>
      <c r="J1919" s="50"/>
      <c r="K1919" s="50" t="s">
        <v>11999</v>
      </c>
      <c r="L1919" s="50" t="s">
        <v>12000</v>
      </c>
      <c r="M1919" s="50" t="s">
        <v>12001</v>
      </c>
      <c r="N1919" s="50" t="s">
        <v>12002</v>
      </c>
      <c r="O1919" s="53" t="s">
        <v>60</v>
      </c>
      <c r="P1919" s="55" t="s">
        <v>12003</v>
      </c>
      <c r="Q1919" s="50">
        <v>67.0</v>
      </c>
      <c r="R1919" s="50">
        <v>418.0</v>
      </c>
      <c r="S1919" s="50"/>
      <c r="T1919" s="56" t="s">
        <v>12004</v>
      </c>
      <c r="U1919" s="53" t="s">
        <v>12005</v>
      </c>
    </row>
    <row r="1920">
      <c r="A1920" s="54" t="s">
        <v>12006</v>
      </c>
      <c r="B1920" s="50" t="s">
        <v>12007</v>
      </c>
      <c r="C1920" s="51" t="s">
        <v>367</v>
      </c>
      <c r="D1920" s="51"/>
      <c r="E1920" s="51"/>
      <c r="F1920" s="51"/>
      <c r="G1920" s="50" t="s">
        <v>12008</v>
      </c>
      <c r="H1920" s="52">
        <v>44683.28263888889</v>
      </c>
      <c r="I1920" s="50"/>
      <c r="J1920" s="50"/>
      <c r="K1920" s="50"/>
      <c r="L1920" s="50"/>
      <c r="M1920" s="50" t="s">
        <v>12009</v>
      </c>
      <c r="N1920" s="50"/>
      <c r="O1920" s="53" t="s">
        <v>70</v>
      </c>
      <c r="P1920" s="55" t="s">
        <v>12010</v>
      </c>
      <c r="Q1920" s="50">
        <v>2032.0</v>
      </c>
      <c r="R1920" s="50">
        <v>4997.0</v>
      </c>
      <c r="S1920" s="50"/>
      <c r="T1920" s="56" t="s">
        <v>12011</v>
      </c>
      <c r="U1920" s="53" t="s">
        <v>370</v>
      </c>
    </row>
    <row r="1921">
      <c r="A1921" s="54" t="s">
        <v>12012</v>
      </c>
      <c r="B1921" s="50" t="s">
        <v>12013</v>
      </c>
      <c r="C1921" s="51" t="s">
        <v>12014</v>
      </c>
      <c r="D1921" s="51"/>
      <c r="E1921" s="51"/>
      <c r="F1921" s="51"/>
      <c r="G1921" s="50" t="s">
        <v>12015</v>
      </c>
      <c r="H1921" s="52">
        <v>44683.2825</v>
      </c>
      <c r="I1921" s="50"/>
      <c r="J1921" s="50"/>
      <c r="K1921" s="50"/>
      <c r="L1921" s="50"/>
      <c r="M1921" s="50" t="s">
        <v>12016</v>
      </c>
      <c r="N1921" s="50"/>
      <c r="O1921" s="53" t="s">
        <v>70</v>
      </c>
      <c r="P1921" s="55" t="s">
        <v>12017</v>
      </c>
      <c r="Q1921" s="50">
        <v>6251.0</v>
      </c>
      <c r="R1921" s="50">
        <v>6814.0</v>
      </c>
      <c r="S1921" s="50" t="s">
        <v>4349</v>
      </c>
      <c r="T1921" s="56" t="s">
        <v>12018</v>
      </c>
      <c r="U1921" s="53" t="s">
        <v>12019</v>
      </c>
    </row>
    <row r="1922">
      <c r="A1922" s="54" t="s">
        <v>12020</v>
      </c>
      <c r="B1922" s="50" t="s">
        <v>12021</v>
      </c>
      <c r="C1922" s="51" t="s">
        <v>367</v>
      </c>
      <c r="D1922" s="51"/>
      <c r="E1922" s="51"/>
      <c r="F1922" s="51"/>
      <c r="G1922" s="50" t="s">
        <v>12022</v>
      </c>
      <c r="H1922" s="52">
        <v>44683.282268518524</v>
      </c>
      <c r="I1922" s="50"/>
      <c r="J1922" s="50"/>
      <c r="K1922" s="50"/>
      <c r="L1922" s="50"/>
      <c r="M1922" s="50" t="s">
        <v>12023</v>
      </c>
      <c r="N1922" s="50"/>
      <c r="O1922" s="53" t="s">
        <v>92</v>
      </c>
      <c r="P1922" s="55" t="s">
        <v>12024</v>
      </c>
      <c r="Q1922" s="50">
        <v>129.0</v>
      </c>
      <c r="R1922" s="50">
        <v>326.0</v>
      </c>
      <c r="S1922" s="50" t="s">
        <v>12025</v>
      </c>
      <c r="T1922" s="56" t="s">
        <v>12026</v>
      </c>
      <c r="U1922" s="53" t="s">
        <v>370</v>
      </c>
    </row>
    <row r="1923">
      <c r="A1923" s="54" t="s">
        <v>12027</v>
      </c>
      <c r="B1923" s="50" t="s">
        <v>12028</v>
      </c>
      <c r="C1923" s="51" t="s">
        <v>12029</v>
      </c>
      <c r="D1923" s="51"/>
      <c r="E1923" s="51"/>
      <c r="F1923" s="51"/>
      <c r="G1923" s="50" t="s">
        <v>12030</v>
      </c>
      <c r="H1923" s="52">
        <v>44683.282164351855</v>
      </c>
      <c r="I1923" s="50"/>
      <c r="J1923" s="50"/>
      <c r="K1923" s="50"/>
      <c r="L1923" s="50"/>
      <c r="M1923" s="50" t="s">
        <v>12031</v>
      </c>
      <c r="N1923" s="50"/>
      <c r="O1923" s="53" t="s">
        <v>92</v>
      </c>
      <c r="P1923" s="55" t="s">
        <v>12032</v>
      </c>
      <c r="Q1923" s="50">
        <v>26.0</v>
      </c>
      <c r="R1923" s="50">
        <v>6.0</v>
      </c>
      <c r="S1923" s="50" t="s">
        <v>12033</v>
      </c>
      <c r="T1923" s="56" t="s">
        <v>12034</v>
      </c>
      <c r="U1923" s="53" t="s">
        <v>12035</v>
      </c>
    </row>
    <row r="1924">
      <c r="A1924" s="54" t="s">
        <v>12036</v>
      </c>
      <c r="B1924" s="50" t="s">
        <v>12037</v>
      </c>
      <c r="C1924" s="51" t="s">
        <v>316</v>
      </c>
      <c r="D1924" s="51"/>
      <c r="E1924" s="51"/>
      <c r="F1924" s="51"/>
      <c r="G1924" s="50" t="s">
        <v>12038</v>
      </c>
      <c r="H1924" s="52">
        <v>44683.282118055555</v>
      </c>
      <c r="I1924" s="50"/>
      <c r="J1924" s="50"/>
      <c r="K1924" s="50"/>
      <c r="L1924" s="50"/>
      <c r="M1924" s="50" t="s">
        <v>12039</v>
      </c>
      <c r="N1924" s="50"/>
      <c r="O1924" s="53" t="s">
        <v>92</v>
      </c>
      <c r="P1924" s="55" t="s">
        <v>12040</v>
      </c>
      <c r="Q1924" s="50">
        <v>186.0</v>
      </c>
      <c r="R1924" s="50">
        <v>641.0</v>
      </c>
      <c r="S1924" s="50" t="s">
        <v>12041</v>
      </c>
      <c r="T1924" s="56" t="s">
        <v>12042</v>
      </c>
      <c r="U1924" s="53" t="s">
        <v>322</v>
      </c>
    </row>
    <row r="1925">
      <c r="A1925" s="54" t="s">
        <v>12043</v>
      </c>
      <c r="B1925" s="50" t="s">
        <v>11928</v>
      </c>
      <c r="C1925" s="51" t="s">
        <v>5847</v>
      </c>
      <c r="D1925" s="51"/>
      <c r="E1925" s="51"/>
      <c r="F1925" s="51"/>
      <c r="G1925" s="50" t="s">
        <v>12044</v>
      </c>
      <c r="H1925" s="52">
        <v>44683.28208333333</v>
      </c>
      <c r="I1925" s="50"/>
      <c r="J1925" s="50"/>
      <c r="K1925" s="50"/>
      <c r="L1925" s="50"/>
      <c r="M1925" s="50" t="s">
        <v>11930</v>
      </c>
      <c r="N1925" s="50"/>
      <c r="O1925" s="53" t="s">
        <v>70</v>
      </c>
      <c r="P1925" s="55" t="s">
        <v>11931</v>
      </c>
      <c r="Q1925" s="50">
        <v>1500.0</v>
      </c>
      <c r="R1925" s="50">
        <v>1716.0</v>
      </c>
      <c r="S1925" s="50"/>
      <c r="T1925" s="56" t="s">
        <v>12045</v>
      </c>
      <c r="U1925" s="53" t="s">
        <v>5853</v>
      </c>
    </row>
    <row r="1926">
      <c r="A1926" s="54" t="s">
        <v>12046</v>
      </c>
      <c r="B1926" s="50" t="s">
        <v>11561</v>
      </c>
      <c r="C1926" s="51" t="s">
        <v>316</v>
      </c>
      <c r="D1926" s="51"/>
      <c r="E1926" s="51"/>
      <c r="F1926" s="51"/>
      <c r="G1926" s="50" t="s">
        <v>12047</v>
      </c>
      <c r="H1926" s="52">
        <v>44683.28202546296</v>
      </c>
      <c r="I1926" s="50"/>
      <c r="J1926" s="50"/>
      <c r="K1926" s="50"/>
      <c r="L1926" s="50"/>
      <c r="M1926" s="50" t="s">
        <v>11563</v>
      </c>
      <c r="N1926" s="50"/>
      <c r="O1926" s="53" t="s">
        <v>92</v>
      </c>
      <c r="P1926" s="55" t="s">
        <v>11564</v>
      </c>
      <c r="Q1926" s="50">
        <v>2995.0</v>
      </c>
      <c r="R1926" s="50">
        <v>4945.0</v>
      </c>
      <c r="S1926" s="50" t="s">
        <v>11565</v>
      </c>
      <c r="T1926" s="56" t="s">
        <v>12048</v>
      </c>
      <c r="U1926" s="53" t="s">
        <v>322</v>
      </c>
    </row>
    <row r="1927">
      <c r="A1927" s="54" t="s">
        <v>12049</v>
      </c>
      <c r="B1927" s="50" t="s">
        <v>12037</v>
      </c>
      <c r="C1927" s="51" t="s">
        <v>329</v>
      </c>
      <c r="D1927" s="51"/>
      <c r="E1927" s="51"/>
      <c r="F1927" s="51"/>
      <c r="G1927" s="50" t="s">
        <v>12050</v>
      </c>
      <c r="H1927" s="52">
        <v>44683.28199074074</v>
      </c>
      <c r="I1927" s="50"/>
      <c r="J1927" s="50"/>
      <c r="K1927" s="50"/>
      <c r="L1927" s="50"/>
      <c r="M1927" s="50" t="s">
        <v>12039</v>
      </c>
      <c r="N1927" s="50"/>
      <c r="O1927" s="53" t="s">
        <v>92</v>
      </c>
      <c r="P1927" s="55" t="s">
        <v>12040</v>
      </c>
      <c r="Q1927" s="50">
        <v>186.0</v>
      </c>
      <c r="R1927" s="50">
        <v>641.0</v>
      </c>
      <c r="S1927" s="50" t="s">
        <v>12041</v>
      </c>
      <c r="T1927" s="56" t="s">
        <v>12051</v>
      </c>
      <c r="U1927" s="53" t="s">
        <v>332</v>
      </c>
    </row>
    <row r="1928">
      <c r="A1928" s="54" t="s">
        <v>12052</v>
      </c>
      <c r="B1928" s="50" t="s">
        <v>11561</v>
      </c>
      <c r="C1928" s="51" t="s">
        <v>329</v>
      </c>
      <c r="D1928" s="51"/>
      <c r="E1928" s="51"/>
      <c r="F1928" s="51"/>
      <c r="G1928" s="50" t="s">
        <v>12053</v>
      </c>
      <c r="H1928" s="52">
        <v>44683.28193287037</v>
      </c>
      <c r="I1928" s="50"/>
      <c r="J1928" s="50"/>
      <c r="K1928" s="50"/>
      <c r="L1928" s="50"/>
      <c r="M1928" s="50" t="s">
        <v>11563</v>
      </c>
      <c r="N1928" s="50"/>
      <c r="O1928" s="53" t="s">
        <v>92</v>
      </c>
      <c r="P1928" s="55" t="s">
        <v>11564</v>
      </c>
      <c r="Q1928" s="50">
        <v>2995.0</v>
      </c>
      <c r="R1928" s="50">
        <v>4945.0</v>
      </c>
      <c r="S1928" s="50" t="s">
        <v>11565</v>
      </c>
      <c r="T1928" s="56" t="s">
        <v>12054</v>
      </c>
      <c r="U1928" s="53" t="s">
        <v>332</v>
      </c>
    </row>
    <row r="1929">
      <c r="A1929" s="54" t="s">
        <v>12055</v>
      </c>
      <c r="B1929" s="50" t="s">
        <v>12056</v>
      </c>
      <c r="C1929" s="51" t="s">
        <v>4949</v>
      </c>
      <c r="D1929" s="51"/>
      <c r="E1929" s="51"/>
      <c r="F1929" s="51"/>
      <c r="G1929" s="50" t="s">
        <v>12057</v>
      </c>
      <c r="H1929" s="52">
        <v>44683.28178240741</v>
      </c>
      <c r="I1929" s="50"/>
      <c r="J1929" s="50"/>
      <c r="K1929" s="50"/>
      <c r="L1929" s="50"/>
      <c r="M1929" s="50" t="s">
        <v>12058</v>
      </c>
      <c r="N1929" s="50"/>
      <c r="O1929" s="53" t="s">
        <v>217</v>
      </c>
      <c r="P1929" s="55" t="s">
        <v>12059</v>
      </c>
      <c r="Q1929" s="50">
        <v>672.0</v>
      </c>
      <c r="R1929" s="50">
        <v>1313.0</v>
      </c>
      <c r="S1929" s="50" t="s">
        <v>12060</v>
      </c>
      <c r="T1929" s="56" t="s">
        <v>12061</v>
      </c>
      <c r="U1929" s="53" t="s">
        <v>4955</v>
      </c>
    </row>
    <row r="1930">
      <c r="A1930" s="54" t="s">
        <v>12062</v>
      </c>
      <c r="B1930" s="50" t="s">
        <v>12037</v>
      </c>
      <c r="C1930" s="51" t="s">
        <v>363</v>
      </c>
      <c r="D1930" s="51"/>
      <c r="E1930" s="51"/>
      <c r="F1930" s="51"/>
      <c r="G1930" s="50" t="s">
        <v>12063</v>
      </c>
      <c r="H1930" s="52">
        <v>44683.2816087963</v>
      </c>
      <c r="I1930" s="50"/>
      <c r="J1930" s="50"/>
      <c r="K1930" s="50"/>
      <c r="L1930" s="50"/>
      <c r="M1930" s="50" t="s">
        <v>12039</v>
      </c>
      <c r="N1930" s="50"/>
      <c r="O1930" s="53" t="s">
        <v>92</v>
      </c>
      <c r="P1930" s="55" t="s">
        <v>12040</v>
      </c>
      <c r="Q1930" s="50">
        <v>186.0</v>
      </c>
      <c r="R1930" s="50">
        <v>641.0</v>
      </c>
      <c r="S1930" s="50" t="s">
        <v>12041</v>
      </c>
      <c r="T1930" s="56" t="s">
        <v>12064</v>
      </c>
      <c r="U1930" s="53" t="s">
        <v>332</v>
      </c>
    </row>
    <row r="1931">
      <c r="A1931" s="54" t="s">
        <v>12065</v>
      </c>
      <c r="B1931" s="50" t="s">
        <v>12066</v>
      </c>
      <c r="C1931" s="51" t="s">
        <v>367</v>
      </c>
      <c r="D1931" s="51"/>
      <c r="E1931" s="51"/>
      <c r="F1931" s="51"/>
      <c r="G1931" s="50" t="s">
        <v>12067</v>
      </c>
      <c r="H1931" s="52">
        <v>44683.2815625</v>
      </c>
      <c r="I1931" s="50"/>
      <c r="J1931" s="50"/>
      <c r="K1931" s="50"/>
      <c r="L1931" s="50"/>
      <c r="M1931" s="50" t="s">
        <v>12068</v>
      </c>
      <c r="N1931" s="50"/>
      <c r="O1931" s="53" t="s">
        <v>217</v>
      </c>
      <c r="P1931" s="55" t="s">
        <v>12069</v>
      </c>
      <c r="Q1931" s="50">
        <v>1950.0</v>
      </c>
      <c r="R1931" s="50">
        <v>2194.0</v>
      </c>
      <c r="S1931" s="50"/>
      <c r="T1931" s="56" t="s">
        <v>12070</v>
      </c>
      <c r="U1931" s="53" t="s">
        <v>370</v>
      </c>
    </row>
    <row r="1932">
      <c r="A1932" s="54" t="s">
        <v>12071</v>
      </c>
      <c r="B1932" s="50" t="s">
        <v>12072</v>
      </c>
      <c r="C1932" s="51" t="s">
        <v>565</v>
      </c>
      <c r="D1932" s="51"/>
      <c r="E1932" s="51"/>
      <c r="F1932" s="51"/>
      <c r="G1932" s="50" t="s">
        <v>12073</v>
      </c>
      <c r="H1932" s="52">
        <v>44683.28146990741</v>
      </c>
      <c r="I1932" s="50"/>
      <c r="J1932" s="50"/>
      <c r="K1932" s="50"/>
      <c r="L1932" s="50"/>
      <c r="M1932" s="50" t="s">
        <v>12074</v>
      </c>
      <c r="N1932" s="50"/>
      <c r="O1932" s="53" t="s">
        <v>60</v>
      </c>
      <c r="P1932" s="55" t="s">
        <v>12075</v>
      </c>
      <c r="Q1932" s="50">
        <v>343.0</v>
      </c>
      <c r="R1932" s="50">
        <v>458.0</v>
      </c>
      <c r="S1932" s="50"/>
      <c r="T1932" s="56" t="s">
        <v>12076</v>
      </c>
      <c r="U1932" s="53" t="s">
        <v>571</v>
      </c>
    </row>
    <row r="1933">
      <c r="A1933" s="54" t="s">
        <v>12077</v>
      </c>
      <c r="B1933" s="50" t="s">
        <v>12037</v>
      </c>
      <c r="C1933" s="51" t="s">
        <v>367</v>
      </c>
      <c r="D1933" s="51"/>
      <c r="E1933" s="51"/>
      <c r="F1933" s="51"/>
      <c r="G1933" s="50" t="s">
        <v>12073</v>
      </c>
      <c r="H1933" s="52">
        <v>44683.28146990741</v>
      </c>
      <c r="I1933" s="50"/>
      <c r="J1933" s="50"/>
      <c r="K1933" s="50"/>
      <c r="L1933" s="50"/>
      <c r="M1933" s="50" t="s">
        <v>12039</v>
      </c>
      <c r="N1933" s="50"/>
      <c r="O1933" s="53" t="s">
        <v>92</v>
      </c>
      <c r="P1933" s="55" t="s">
        <v>12040</v>
      </c>
      <c r="Q1933" s="50">
        <v>186.0</v>
      </c>
      <c r="R1933" s="50">
        <v>641.0</v>
      </c>
      <c r="S1933" s="50" t="s">
        <v>12041</v>
      </c>
      <c r="T1933" s="56" t="s">
        <v>12078</v>
      </c>
      <c r="U1933" s="53" t="s">
        <v>370</v>
      </c>
    </row>
    <row r="1934">
      <c r="A1934" s="54" t="s">
        <v>12079</v>
      </c>
      <c r="B1934" s="50" t="s">
        <v>12080</v>
      </c>
      <c r="C1934" s="51" t="s">
        <v>12081</v>
      </c>
      <c r="D1934" s="51"/>
      <c r="E1934" s="51"/>
      <c r="F1934" s="51"/>
      <c r="G1934" s="50" t="s">
        <v>12082</v>
      </c>
      <c r="H1934" s="52">
        <v>44683.28145833334</v>
      </c>
      <c r="I1934" s="50"/>
      <c r="J1934" s="50"/>
      <c r="K1934" s="50" t="s">
        <v>3317</v>
      </c>
      <c r="L1934" s="50" t="s">
        <v>3318</v>
      </c>
      <c r="M1934" s="50" t="s">
        <v>12083</v>
      </c>
      <c r="N1934" s="50" t="s">
        <v>3426</v>
      </c>
      <c r="O1934" s="53" t="s">
        <v>70</v>
      </c>
      <c r="P1934" s="55" t="s">
        <v>12084</v>
      </c>
      <c r="Q1934" s="50">
        <v>1757.0</v>
      </c>
      <c r="R1934" s="50">
        <v>4093.0</v>
      </c>
      <c r="S1934" s="50" t="s">
        <v>4349</v>
      </c>
      <c r="T1934" s="56" t="s">
        <v>12085</v>
      </c>
      <c r="U1934" s="53" t="s">
        <v>12086</v>
      </c>
    </row>
    <row r="1935">
      <c r="A1935" s="54" t="s">
        <v>12087</v>
      </c>
      <c r="B1935" s="50" t="s">
        <v>12088</v>
      </c>
      <c r="C1935" s="51" t="s">
        <v>363</v>
      </c>
      <c r="D1935" s="51"/>
      <c r="E1935" s="51"/>
      <c r="F1935" s="51"/>
      <c r="G1935" s="50" t="s">
        <v>12089</v>
      </c>
      <c r="H1935" s="52">
        <v>44683.28126157407</v>
      </c>
      <c r="I1935" s="50"/>
      <c r="J1935" s="50"/>
      <c r="K1935" s="50"/>
      <c r="L1935" s="50"/>
      <c r="M1935" s="50" t="s">
        <v>12090</v>
      </c>
      <c r="N1935" s="50"/>
      <c r="O1935" s="53" t="s">
        <v>92</v>
      </c>
      <c r="P1935" s="55" t="s">
        <v>12091</v>
      </c>
      <c r="Q1935" s="50">
        <v>215.0</v>
      </c>
      <c r="R1935" s="50">
        <v>562.0</v>
      </c>
      <c r="S1935" s="50" t="s">
        <v>246</v>
      </c>
      <c r="T1935" s="56" t="s">
        <v>12092</v>
      </c>
      <c r="U1935" s="53" t="s">
        <v>332</v>
      </c>
    </row>
    <row r="1936">
      <c r="A1936" s="54" t="s">
        <v>12093</v>
      </c>
      <c r="B1936" s="50" t="s">
        <v>12094</v>
      </c>
      <c r="C1936" s="51" t="s">
        <v>12095</v>
      </c>
      <c r="D1936" s="51"/>
      <c r="E1936" s="51"/>
      <c r="F1936" s="51"/>
      <c r="G1936" s="50" t="s">
        <v>12089</v>
      </c>
      <c r="H1936" s="52">
        <v>44683.28126157407</v>
      </c>
      <c r="I1936" s="50"/>
      <c r="J1936" s="50"/>
      <c r="K1936" s="50"/>
      <c r="L1936" s="50"/>
      <c r="M1936" s="50" t="s">
        <v>12096</v>
      </c>
      <c r="N1936" s="50"/>
      <c r="O1936" s="53" t="s">
        <v>70</v>
      </c>
      <c r="P1936" s="55" t="s">
        <v>12097</v>
      </c>
      <c r="Q1936" s="50">
        <v>1872.0</v>
      </c>
      <c r="R1936" s="50">
        <v>1225.0</v>
      </c>
      <c r="S1936" s="50" t="s">
        <v>12098</v>
      </c>
      <c r="T1936" s="56" t="s">
        <v>12099</v>
      </c>
      <c r="U1936" s="53" t="s">
        <v>12100</v>
      </c>
    </row>
    <row r="1937">
      <c r="A1937" s="54" t="s">
        <v>12101</v>
      </c>
      <c r="B1937" s="50" t="s">
        <v>12102</v>
      </c>
      <c r="C1937" s="51" t="s">
        <v>12103</v>
      </c>
      <c r="D1937" s="51"/>
      <c r="E1937" s="51"/>
      <c r="F1937" s="51"/>
      <c r="G1937" s="50" t="s">
        <v>12104</v>
      </c>
      <c r="H1937" s="52">
        <v>44683.28114583333</v>
      </c>
      <c r="I1937" s="50"/>
      <c r="J1937" s="50"/>
      <c r="K1937" s="50"/>
      <c r="L1937" s="50"/>
      <c r="M1937" s="50" t="s">
        <v>12105</v>
      </c>
      <c r="N1937" s="50"/>
      <c r="O1937" s="53" t="s">
        <v>92</v>
      </c>
      <c r="P1937" s="55" t="s">
        <v>12106</v>
      </c>
      <c r="Q1937" s="50">
        <v>2017.0</v>
      </c>
      <c r="R1937" s="50">
        <v>2458.0</v>
      </c>
      <c r="S1937" s="50"/>
      <c r="T1937" s="56" t="s">
        <v>12107</v>
      </c>
      <c r="U1937" s="53" t="s">
        <v>12108</v>
      </c>
    </row>
    <row r="1938">
      <c r="A1938" s="54" t="s">
        <v>12109</v>
      </c>
      <c r="B1938" s="50" t="s">
        <v>12110</v>
      </c>
      <c r="C1938" s="51" t="s">
        <v>363</v>
      </c>
      <c r="D1938" s="51"/>
      <c r="E1938" s="51"/>
      <c r="F1938" s="51"/>
      <c r="G1938" s="50" t="s">
        <v>12111</v>
      </c>
      <c r="H1938" s="52">
        <v>44683.28019675926</v>
      </c>
      <c r="I1938" s="50"/>
      <c r="J1938" s="50"/>
      <c r="K1938" s="50"/>
      <c r="L1938" s="50"/>
      <c r="M1938" s="50" t="s">
        <v>12112</v>
      </c>
      <c r="N1938" s="50"/>
      <c r="O1938" s="53" t="s">
        <v>92</v>
      </c>
      <c r="P1938" s="55" t="s">
        <v>12113</v>
      </c>
      <c r="Q1938" s="50">
        <v>168.0</v>
      </c>
      <c r="R1938" s="50">
        <v>202.0</v>
      </c>
      <c r="S1938" s="50"/>
      <c r="T1938" s="56" t="s">
        <v>12114</v>
      </c>
      <c r="U1938" s="53" t="s">
        <v>332</v>
      </c>
    </row>
    <row r="1939">
      <c r="A1939" s="54" t="s">
        <v>12115</v>
      </c>
      <c r="B1939" s="50" t="s">
        <v>202</v>
      </c>
      <c r="C1939" s="51" t="s">
        <v>855</v>
      </c>
      <c r="D1939" s="51"/>
      <c r="E1939" s="51"/>
      <c r="F1939" s="51"/>
      <c r="G1939" s="50" t="s">
        <v>12116</v>
      </c>
      <c r="H1939" s="52">
        <v>44683.280185185184</v>
      </c>
      <c r="I1939" s="50"/>
      <c r="J1939" s="50"/>
      <c r="K1939" s="50"/>
      <c r="L1939" s="50"/>
      <c r="M1939" s="50" t="s">
        <v>204</v>
      </c>
      <c r="N1939" s="50"/>
      <c r="O1939" s="53" t="s">
        <v>70</v>
      </c>
      <c r="P1939" s="55" t="s">
        <v>205</v>
      </c>
      <c r="Q1939" s="50">
        <v>1595.0</v>
      </c>
      <c r="R1939" s="50">
        <v>2301.0</v>
      </c>
      <c r="S1939" s="50"/>
      <c r="T1939" s="56" t="s">
        <v>12117</v>
      </c>
      <c r="U1939" s="53" t="s">
        <v>861</v>
      </c>
    </row>
    <row r="1940">
      <c r="A1940" s="54" t="s">
        <v>12118</v>
      </c>
      <c r="B1940" s="50" t="s">
        <v>12119</v>
      </c>
      <c r="C1940" s="51" t="s">
        <v>316</v>
      </c>
      <c r="D1940" s="51"/>
      <c r="E1940" s="51"/>
      <c r="F1940" s="51"/>
      <c r="G1940" s="50" t="s">
        <v>12120</v>
      </c>
      <c r="H1940" s="52">
        <v>44683.279953703706</v>
      </c>
      <c r="I1940" s="50"/>
      <c r="J1940" s="50"/>
      <c r="K1940" s="50"/>
      <c r="L1940" s="50"/>
      <c r="M1940" s="50" t="s">
        <v>12121</v>
      </c>
      <c r="N1940" s="50"/>
      <c r="O1940" s="53" t="s">
        <v>92</v>
      </c>
      <c r="P1940" s="55" t="s">
        <v>12122</v>
      </c>
      <c r="Q1940" s="50">
        <v>208.0</v>
      </c>
      <c r="R1940" s="50">
        <v>400.0</v>
      </c>
      <c r="S1940" s="50" t="s">
        <v>432</v>
      </c>
      <c r="T1940" s="56" t="s">
        <v>12123</v>
      </c>
      <c r="U1940" s="53" t="s">
        <v>322</v>
      </c>
    </row>
    <row r="1941">
      <c r="A1941" s="54" t="s">
        <v>12124</v>
      </c>
      <c r="B1941" s="50" t="s">
        <v>12119</v>
      </c>
      <c r="C1941" s="51" t="s">
        <v>329</v>
      </c>
      <c r="D1941" s="51"/>
      <c r="E1941" s="51"/>
      <c r="F1941" s="51"/>
      <c r="G1941" s="50" t="s">
        <v>12125</v>
      </c>
      <c r="H1941" s="52">
        <v>44683.27982638888</v>
      </c>
      <c r="I1941" s="50"/>
      <c r="J1941" s="50"/>
      <c r="K1941" s="50"/>
      <c r="L1941" s="50"/>
      <c r="M1941" s="50" t="s">
        <v>12121</v>
      </c>
      <c r="N1941" s="50"/>
      <c r="O1941" s="53" t="s">
        <v>92</v>
      </c>
      <c r="P1941" s="55" t="s">
        <v>12122</v>
      </c>
      <c r="Q1941" s="50">
        <v>208.0</v>
      </c>
      <c r="R1941" s="50">
        <v>400.0</v>
      </c>
      <c r="S1941" s="50" t="s">
        <v>432</v>
      </c>
      <c r="T1941" s="56" t="s">
        <v>12126</v>
      </c>
      <c r="U1941" s="53" t="s">
        <v>332</v>
      </c>
    </row>
    <row r="1942">
      <c r="A1942" s="54" t="s">
        <v>12127</v>
      </c>
      <c r="B1942" s="50" t="s">
        <v>12128</v>
      </c>
      <c r="C1942" s="51" t="s">
        <v>12129</v>
      </c>
      <c r="D1942" s="51"/>
      <c r="E1942" s="51"/>
      <c r="F1942" s="51"/>
      <c r="G1942" s="50" t="s">
        <v>12130</v>
      </c>
      <c r="H1942" s="52">
        <v>44683.27972222222</v>
      </c>
      <c r="I1942" s="50"/>
      <c r="J1942" s="50"/>
      <c r="K1942" s="50" t="s">
        <v>12131</v>
      </c>
      <c r="L1942" s="50" t="s">
        <v>12132</v>
      </c>
      <c r="M1942" s="50" t="s">
        <v>12133</v>
      </c>
      <c r="N1942" s="50" t="s">
        <v>12134</v>
      </c>
      <c r="O1942" s="53" t="s">
        <v>217</v>
      </c>
      <c r="P1942" s="55" t="s">
        <v>12135</v>
      </c>
      <c r="Q1942" s="50">
        <v>5474.0</v>
      </c>
      <c r="R1942" s="50">
        <v>4688.0</v>
      </c>
      <c r="S1942" s="50"/>
      <c r="T1942" s="56" t="s">
        <v>12136</v>
      </c>
      <c r="U1942" s="53" t="s">
        <v>12137</v>
      </c>
    </row>
    <row r="1943">
      <c r="A1943" s="54" t="s">
        <v>12138</v>
      </c>
      <c r="B1943" s="50" t="s">
        <v>12119</v>
      </c>
      <c r="C1943" s="51" t="s">
        <v>335</v>
      </c>
      <c r="D1943" s="51"/>
      <c r="E1943" s="51"/>
      <c r="F1943" s="51"/>
      <c r="G1943" s="50" t="s">
        <v>12139</v>
      </c>
      <c r="H1943" s="52">
        <v>44683.27965277778</v>
      </c>
      <c r="I1943" s="50"/>
      <c r="J1943" s="50"/>
      <c r="K1943" s="50"/>
      <c r="L1943" s="50"/>
      <c r="M1943" s="50" t="s">
        <v>12121</v>
      </c>
      <c r="N1943" s="50"/>
      <c r="O1943" s="53" t="s">
        <v>92</v>
      </c>
      <c r="P1943" s="55" t="s">
        <v>12122</v>
      </c>
      <c r="Q1943" s="50">
        <v>208.0</v>
      </c>
      <c r="R1943" s="50">
        <v>400.0</v>
      </c>
      <c r="S1943" s="50" t="s">
        <v>432</v>
      </c>
      <c r="T1943" s="56" t="s">
        <v>12140</v>
      </c>
      <c r="U1943" s="53" t="s">
        <v>339</v>
      </c>
    </row>
    <row r="1944">
      <c r="A1944" s="54" t="s">
        <v>12141</v>
      </c>
      <c r="B1944" s="50" t="s">
        <v>9976</v>
      </c>
      <c r="C1944" s="51" t="s">
        <v>5328</v>
      </c>
      <c r="D1944" s="51"/>
      <c r="E1944" s="51"/>
      <c r="F1944" s="51"/>
      <c r="G1944" s="50" t="s">
        <v>12142</v>
      </c>
      <c r="H1944" s="52">
        <v>44683.27949074074</v>
      </c>
      <c r="I1944" s="50"/>
      <c r="J1944" s="50"/>
      <c r="K1944" s="50"/>
      <c r="L1944" s="50"/>
      <c r="M1944" s="50" t="s">
        <v>9981</v>
      </c>
      <c r="N1944" s="50"/>
      <c r="O1944" s="53" t="s">
        <v>70</v>
      </c>
      <c r="P1944" s="55" t="s">
        <v>9983</v>
      </c>
      <c r="Q1944" s="50">
        <v>2930.0</v>
      </c>
      <c r="R1944" s="50">
        <v>1580.0</v>
      </c>
      <c r="S1944" s="50" t="s">
        <v>379</v>
      </c>
      <c r="T1944" s="56" t="s">
        <v>12143</v>
      </c>
      <c r="U1944" s="53" t="s">
        <v>5333</v>
      </c>
    </row>
    <row r="1945">
      <c r="A1945" s="54" t="s">
        <v>12144</v>
      </c>
      <c r="B1945" s="50" t="s">
        <v>12119</v>
      </c>
      <c r="C1945" s="51" t="s">
        <v>363</v>
      </c>
      <c r="D1945" s="51"/>
      <c r="E1945" s="51"/>
      <c r="F1945" s="51"/>
      <c r="G1945" s="50" t="s">
        <v>12145</v>
      </c>
      <c r="H1945" s="52">
        <v>44683.2794212963</v>
      </c>
      <c r="I1945" s="50"/>
      <c r="J1945" s="50"/>
      <c r="K1945" s="50"/>
      <c r="L1945" s="50"/>
      <c r="M1945" s="50" t="s">
        <v>12121</v>
      </c>
      <c r="N1945" s="50"/>
      <c r="O1945" s="53" t="s">
        <v>92</v>
      </c>
      <c r="P1945" s="55" t="s">
        <v>12122</v>
      </c>
      <c r="Q1945" s="50">
        <v>208.0</v>
      </c>
      <c r="R1945" s="50">
        <v>400.0</v>
      </c>
      <c r="S1945" s="50" t="s">
        <v>432</v>
      </c>
      <c r="T1945" s="56" t="s">
        <v>12146</v>
      </c>
      <c r="U1945" s="53" t="s">
        <v>332</v>
      </c>
    </row>
    <row r="1946">
      <c r="A1946" s="54" t="s">
        <v>12147</v>
      </c>
      <c r="B1946" s="50" t="s">
        <v>12148</v>
      </c>
      <c r="C1946" s="51" t="s">
        <v>367</v>
      </c>
      <c r="D1946" s="51"/>
      <c r="E1946" s="51"/>
      <c r="F1946" s="51"/>
      <c r="G1946" s="50" t="s">
        <v>12149</v>
      </c>
      <c r="H1946" s="52">
        <v>44683.27936342593</v>
      </c>
      <c r="I1946" s="50"/>
      <c r="J1946" s="50"/>
      <c r="K1946" s="50"/>
      <c r="L1946" s="50"/>
      <c r="M1946" s="50" t="s">
        <v>12150</v>
      </c>
      <c r="N1946" s="50"/>
      <c r="O1946" s="53" t="s">
        <v>60</v>
      </c>
      <c r="P1946" s="55" t="s">
        <v>12151</v>
      </c>
      <c r="Q1946" s="50">
        <v>134.0</v>
      </c>
      <c r="R1946" s="50">
        <v>326.0</v>
      </c>
      <c r="S1946" s="50"/>
      <c r="T1946" s="56" t="s">
        <v>12152</v>
      </c>
      <c r="U1946" s="53" t="s">
        <v>370</v>
      </c>
    </row>
    <row r="1947">
      <c r="A1947" s="54" t="s">
        <v>12153</v>
      </c>
      <c r="B1947" s="50" t="s">
        <v>12119</v>
      </c>
      <c r="C1947" s="51" t="s">
        <v>367</v>
      </c>
      <c r="D1947" s="51"/>
      <c r="E1947" s="51"/>
      <c r="F1947" s="51"/>
      <c r="G1947" s="50" t="s">
        <v>12154</v>
      </c>
      <c r="H1947" s="52">
        <v>44683.27927083333</v>
      </c>
      <c r="I1947" s="50"/>
      <c r="J1947" s="50"/>
      <c r="K1947" s="50"/>
      <c r="L1947" s="50"/>
      <c r="M1947" s="50" t="s">
        <v>12121</v>
      </c>
      <c r="N1947" s="50"/>
      <c r="O1947" s="53" t="s">
        <v>92</v>
      </c>
      <c r="P1947" s="55" t="s">
        <v>12122</v>
      </c>
      <c r="Q1947" s="50">
        <v>208.0</v>
      </c>
      <c r="R1947" s="50">
        <v>400.0</v>
      </c>
      <c r="S1947" s="50" t="s">
        <v>432</v>
      </c>
      <c r="T1947" s="56" t="s">
        <v>12155</v>
      </c>
      <c r="U1947" s="53" t="s">
        <v>370</v>
      </c>
    </row>
    <row r="1948">
      <c r="A1948" s="54" t="s">
        <v>12156</v>
      </c>
      <c r="B1948" s="50" t="s">
        <v>12157</v>
      </c>
      <c r="C1948" s="51" t="s">
        <v>367</v>
      </c>
      <c r="D1948" s="51"/>
      <c r="E1948" s="51"/>
      <c r="F1948" s="51"/>
      <c r="G1948" s="50" t="s">
        <v>12158</v>
      </c>
      <c r="H1948" s="52">
        <v>44683.27909722222</v>
      </c>
      <c r="I1948" s="50"/>
      <c r="J1948" s="50"/>
      <c r="K1948" s="50"/>
      <c r="L1948" s="50"/>
      <c r="M1948" s="50" t="s">
        <v>12159</v>
      </c>
      <c r="N1948" s="50"/>
      <c r="O1948" s="53" t="s">
        <v>70</v>
      </c>
      <c r="P1948" s="55" t="s">
        <v>12160</v>
      </c>
      <c r="Q1948" s="50">
        <v>270.0</v>
      </c>
      <c r="R1948" s="50">
        <v>855.0</v>
      </c>
      <c r="S1948" s="50" t="s">
        <v>12161</v>
      </c>
      <c r="T1948" s="56" t="s">
        <v>12162</v>
      </c>
      <c r="U1948" s="53" t="s">
        <v>370</v>
      </c>
    </row>
    <row r="1949">
      <c r="A1949" s="54" t="s">
        <v>12163</v>
      </c>
      <c r="B1949" s="50" t="s">
        <v>12164</v>
      </c>
      <c r="C1949" s="51" t="s">
        <v>367</v>
      </c>
      <c r="D1949" s="51"/>
      <c r="E1949" s="51"/>
      <c r="F1949" s="51"/>
      <c r="G1949" s="50" t="s">
        <v>12165</v>
      </c>
      <c r="H1949" s="52">
        <v>44683.27900462963</v>
      </c>
      <c r="I1949" s="50"/>
      <c r="J1949" s="50"/>
      <c r="K1949" s="50"/>
      <c r="L1949" s="50"/>
      <c r="M1949" s="50" t="s">
        <v>12166</v>
      </c>
      <c r="N1949" s="50"/>
      <c r="O1949" s="53" t="s">
        <v>217</v>
      </c>
      <c r="P1949" s="55" t="s">
        <v>12167</v>
      </c>
      <c r="Q1949" s="50">
        <v>181.0</v>
      </c>
      <c r="R1949" s="50">
        <v>199.0</v>
      </c>
      <c r="S1949" s="50"/>
      <c r="T1949" s="56" t="s">
        <v>12168</v>
      </c>
      <c r="U1949" s="53" t="s">
        <v>370</v>
      </c>
    </row>
    <row r="1950">
      <c r="A1950" s="54" t="s">
        <v>12169</v>
      </c>
      <c r="B1950" s="50" t="s">
        <v>10746</v>
      </c>
      <c r="C1950" s="51" t="s">
        <v>367</v>
      </c>
      <c r="D1950" s="51"/>
      <c r="E1950" s="51"/>
      <c r="F1950" s="51"/>
      <c r="G1950" s="50" t="s">
        <v>12170</v>
      </c>
      <c r="H1950" s="52">
        <v>44683.27888888889</v>
      </c>
      <c r="I1950" s="50"/>
      <c r="J1950" s="50"/>
      <c r="K1950" s="50"/>
      <c r="L1950" s="50"/>
      <c r="M1950" s="50" t="s">
        <v>10749</v>
      </c>
      <c r="N1950" s="50"/>
      <c r="O1950" s="53" t="s">
        <v>92</v>
      </c>
      <c r="P1950" s="55" t="s">
        <v>10751</v>
      </c>
      <c r="Q1950" s="50">
        <v>6880.0</v>
      </c>
      <c r="R1950" s="50">
        <v>4573.0</v>
      </c>
      <c r="S1950" s="50" t="s">
        <v>1311</v>
      </c>
      <c r="T1950" s="56" t="s">
        <v>12171</v>
      </c>
      <c r="U1950" s="53" t="s">
        <v>370</v>
      </c>
    </row>
    <row r="1951">
      <c r="A1951" s="54" t="s">
        <v>12172</v>
      </c>
      <c r="B1951" s="50" t="s">
        <v>12173</v>
      </c>
      <c r="C1951" s="51" t="s">
        <v>367</v>
      </c>
      <c r="D1951" s="51"/>
      <c r="E1951" s="51"/>
      <c r="F1951" s="51"/>
      <c r="G1951" s="50" t="s">
        <v>12174</v>
      </c>
      <c r="H1951" s="52">
        <v>44683.27885416667</v>
      </c>
      <c r="I1951" s="50"/>
      <c r="J1951" s="50"/>
      <c r="K1951" s="50"/>
      <c r="L1951" s="50"/>
      <c r="M1951" s="50" t="s">
        <v>12175</v>
      </c>
      <c r="N1951" s="50"/>
      <c r="O1951" s="53" t="s">
        <v>70</v>
      </c>
      <c r="P1951" s="55" t="s">
        <v>12176</v>
      </c>
      <c r="Q1951" s="50">
        <v>690.0</v>
      </c>
      <c r="R1951" s="50">
        <v>1047.0</v>
      </c>
      <c r="S1951" s="50" t="s">
        <v>12177</v>
      </c>
      <c r="T1951" s="56" t="s">
        <v>12178</v>
      </c>
      <c r="U1951" s="53" t="s">
        <v>370</v>
      </c>
    </row>
    <row r="1952">
      <c r="A1952" s="54" t="s">
        <v>12179</v>
      </c>
      <c r="B1952" s="50" t="s">
        <v>12180</v>
      </c>
      <c r="C1952" s="51" t="s">
        <v>367</v>
      </c>
      <c r="D1952" s="51"/>
      <c r="E1952" s="51"/>
      <c r="F1952" s="51"/>
      <c r="G1952" s="50" t="s">
        <v>12181</v>
      </c>
      <c r="H1952" s="52">
        <v>44683.27836805556</v>
      </c>
      <c r="I1952" s="50"/>
      <c r="J1952" s="50"/>
      <c r="K1952" s="50"/>
      <c r="L1952" s="50"/>
      <c r="M1952" s="50" t="s">
        <v>12182</v>
      </c>
      <c r="N1952" s="50"/>
      <c r="O1952" s="53" t="s">
        <v>70</v>
      </c>
      <c r="P1952" s="55" t="s">
        <v>12183</v>
      </c>
      <c r="Q1952" s="50">
        <v>1628.0</v>
      </c>
      <c r="R1952" s="50">
        <v>1812.0</v>
      </c>
      <c r="S1952" s="50" t="s">
        <v>1107</v>
      </c>
      <c r="T1952" s="56" t="s">
        <v>12184</v>
      </c>
      <c r="U1952" s="53" t="s">
        <v>370</v>
      </c>
    </row>
    <row r="1953">
      <c r="A1953" s="54" t="s">
        <v>12185</v>
      </c>
      <c r="B1953" s="50" t="s">
        <v>12186</v>
      </c>
      <c r="C1953" s="51" t="s">
        <v>367</v>
      </c>
      <c r="D1953" s="51"/>
      <c r="E1953" s="51"/>
      <c r="F1953" s="51"/>
      <c r="G1953" s="50" t="s">
        <v>12187</v>
      </c>
      <c r="H1953" s="52">
        <v>44683.27831018518</v>
      </c>
      <c r="I1953" s="50"/>
      <c r="J1953" s="50"/>
      <c r="K1953" s="50"/>
      <c r="L1953" s="50"/>
      <c r="M1953" s="50" t="s">
        <v>12188</v>
      </c>
      <c r="N1953" s="50"/>
      <c r="O1953" s="53" t="s">
        <v>217</v>
      </c>
      <c r="P1953" s="55" t="s">
        <v>12189</v>
      </c>
      <c r="Q1953" s="50">
        <v>14.0</v>
      </c>
      <c r="R1953" s="50">
        <v>180.0</v>
      </c>
      <c r="S1953" s="50"/>
      <c r="T1953" s="56" t="s">
        <v>12190</v>
      </c>
      <c r="U1953" s="53" t="s">
        <v>370</v>
      </c>
    </row>
    <row r="1954">
      <c r="A1954" s="54" t="s">
        <v>12191</v>
      </c>
      <c r="B1954" s="50" t="s">
        <v>12192</v>
      </c>
      <c r="C1954" s="51" t="s">
        <v>4372</v>
      </c>
      <c r="D1954" s="51"/>
      <c r="E1954" s="51"/>
      <c r="F1954" s="51"/>
      <c r="G1954" s="50" t="s">
        <v>12193</v>
      </c>
      <c r="H1954" s="52">
        <v>44683.27825231482</v>
      </c>
      <c r="I1954" s="50"/>
      <c r="J1954" s="50"/>
      <c r="K1954" s="50"/>
      <c r="L1954" s="50"/>
      <c r="M1954" s="50" t="s">
        <v>12194</v>
      </c>
      <c r="N1954" s="50"/>
      <c r="O1954" s="53" t="s">
        <v>92</v>
      </c>
      <c r="P1954" s="55" t="s">
        <v>12195</v>
      </c>
      <c r="Q1954" s="50">
        <v>130.0</v>
      </c>
      <c r="R1954" s="50">
        <v>1104.0</v>
      </c>
      <c r="S1954" s="50"/>
      <c r="T1954" s="56" t="s">
        <v>12196</v>
      </c>
      <c r="U1954" s="53" t="s">
        <v>4378</v>
      </c>
    </row>
    <row r="1955">
      <c r="A1955" s="54" t="s">
        <v>12197</v>
      </c>
      <c r="B1955" s="50" t="s">
        <v>12198</v>
      </c>
      <c r="C1955" s="51" t="s">
        <v>367</v>
      </c>
      <c r="D1955" s="51"/>
      <c r="E1955" s="51"/>
      <c r="F1955" s="51"/>
      <c r="G1955" s="50" t="s">
        <v>12199</v>
      </c>
      <c r="H1955" s="52">
        <v>44683.278125</v>
      </c>
      <c r="I1955" s="50"/>
      <c r="J1955" s="50"/>
      <c r="K1955" s="50"/>
      <c r="L1955" s="50"/>
      <c r="M1955" s="50" t="s">
        <v>12200</v>
      </c>
      <c r="N1955" s="50"/>
      <c r="O1955" s="53" t="s">
        <v>70</v>
      </c>
      <c r="P1955" s="55" t="s">
        <v>12201</v>
      </c>
      <c r="Q1955" s="50">
        <v>137.0</v>
      </c>
      <c r="R1955" s="50">
        <v>246.0</v>
      </c>
      <c r="S1955" s="50"/>
      <c r="T1955" s="56" t="s">
        <v>12202</v>
      </c>
      <c r="U1955" s="53" t="s">
        <v>370</v>
      </c>
    </row>
    <row r="1956">
      <c r="A1956" s="54" t="s">
        <v>12203</v>
      </c>
      <c r="B1956" s="50" t="s">
        <v>11976</v>
      </c>
      <c r="C1956" s="51" t="s">
        <v>12204</v>
      </c>
      <c r="D1956" s="51"/>
      <c r="E1956" s="51"/>
      <c r="F1956" s="51"/>
      <c r="G1956" s="50" t="s">
        <v>12205</v>
      </c>
      <c r="H1956" s="52">
        <v>44683.27790509259</v>
      </c>
      <c r="I1956" s="50"/>
      <c r="J1956" s="50"/>
      <c r="K1956" s="50"/>
      <c r="L1956" s="50"/>
      <c r="M1956" s="50" t="s">
        <v>11979</v>
      </c>
      <c r="N1956" s="50"/>
      <c r="O1956" s="53" t="s">
        <v>60</v>
      </c>
      <c r="P1956" s="55" t="s">
        <v>11980</v>
      </c>
      <c r="Q1956" s="50">
        <v>2705.0</v>
      </c>
      <c r="R1956" s="50">
        <v>4492.0</v>
      </c>
      <c r="S1956" s="50" t="s">
        <v>246</v>
      </c>
      <c r="T1956" s="56" t="s">
        <v>12206</v>
      </c>
      <c r="U1956" s="53" t="s">
        <v>12207</v>
      </c>
    </row>
    <row r="1957">
      <c r="A1957" s="54" t="s">
        <v>12208</v>
      </c>
      <c r="B1957" s="50" t="s">
        <v>12209</v>
      </c>
      <c r="C1957" s="51" t="s">
        <v>367</v>
      </c>
      <c r="D1957" s="51"/>
      <c r="E1957" s="51"/>
      <c r="F1957" s="51"/>
      <c r="G1957" s="50" t="s">
        <v>12210</v>
      </c>
      <c r="H1957" s="52">
        <v>44683.27783564814</v>
      </c>
      <c r="I1957" s="50"/>
      <c r="J1957" s="50"/>
      <c r="K1957" s="50"/>
      <c r="L1957" s="50"/>
      <c r="M1957" s="50" t="s">
        <v>12211</v>
      </c>
      <c r="N1957" s="50"/>
      <c r="O1957" s="53" t="s">
        <v>92</v>
      </c>
      <c r="P1957" s="55" t="s">
        <v>12212</v>
      </c>
      <c r="Q1957" s="50">
        <v>617.0</v>
      </c>
      <c r="R1957" s="50">
        <v>1319.0</v>
      </c>
      <c r="S1957" s="50" t="s">
        <v>9535</v>
      </c>
      <c r="T1957" s="56" t="s">
        <v>12213</v>
      </c>
      <c r="U1957" s="53" t="s">
        <v>370</v>
      </c>
    </row>
    <row r="1958">
      <c r="A1958" s="54" t="s">
        <v>12214</v>
      </c>
      <c r="B1958" s="50" t="s">
        <v>12215</v>
      </c>
      <c r="C1958" s="51" t="s">
        <v>367</v>
      </c>
      <c r="D1958" s="51"/>
      <c r="E1958" s="51"/>
      <c r="F1958" s="51"/>
      <c r="G1958" s="50" t="s">
        <v>12216</v>
      </c>
      <c r="H1958" s="52">
        <v>44683.27773148148</v>
      </c>
      <c r="I1958" s="50"/>
      <c r="J1958" s="50"/>
      <c r="K1958" s="50"/>
      <c r="L1958" s="50"/>
      <c r="M1958" s="50" t="s">
        <v>12217</v>
      </c>
      <c r="N1958" s="50"/>
      <c r="O1958" s="53" t="s">
        <v>92</v>
      </c>
      <c r="P1958" s="55" t="s">
        <v>12218</v>
      </c>
      <c r="Q1958" s="50">
        <v>62.0</v>
      </c>
      <c r="R1958" s="50">
        <v>70.0</v>
      </c>
      <c r="S1958" s="50" t="s">
        <v>12219</v>
      </c>
      <c r="T1958" s="56" t="s">
        <v>12220</v>
      </c>
      <c r="U1958" s="53" t="s">
        <v>370</v>
      </c>
    </row>
    <row r="1959">
      <c r="A1959" s="54" t="s">
        <v>12221</v>
      </c>
      <c r="B1959" s="50" t="s">
        <v>12222</v>
      </c>
      <c r="C1959" s="51" t="s">
        <v>726</v>
      </c>
      <c r="D1959" s="51"/>
      <c r="E1959" s="51"/>
      <c r="F1959" s="51"/>
      <c r="G1959" s="50" t="s">
        <v>12223</v>
      </c>
      <c r="H1959" s="52">
        <v>44683.27732638889</v>
      </c>
      <c r="I1959" s="50"/>
      <c r="J1959" s="50"/>
      <c r="K1959" s="50"/>
      <c r="L1959" s="50"/>
      <c r="M1959" s="50" t="s">
        <v>12224</v>
      </c>
      <c r="N1959" s="50"/>
      <c r="O1959" s="53" t="s">
        <v>92</v>
      </c>
      <c r="P1959" s="55" t="s">
        <v>12225</v>
      </c>
      <c r="Q1959" s="50">
        <v>509.0</v>
      </c>
      <c r="R1959" s="50">
        <v>598.0</v>
      </c>
      <c r="S1959" s="50" t="s">
        <v>129</v>
      </c>
      <c r="T1959" s="56" t="s">
        <v>12226</v>
      </c>
      <c r="U1959" s="53" t="s">
        <v>731</v>
      </c>
    </row>
    <row r="1960">
      <c r="A1960" s="54" t="s">
        <v>12227</v>
      </c>
      <c r="B1960" s="50" t="s">
        <v>12228</v>
      </c>
      <c r="C1960" s="51" t="s">
        <v>1803</v>
      </c>
      <c r="D1960" s="51"/>
      <c r="E1960" s="51"/>
      <c r="F1960" s="51"/>
      <c r="G1960" s="50" t="s">
        <v>12229</v>
      </c>
      <c r="H1960" s="52">
        <v>44683.277291666665</v>
      </c>
      <c r="I1960" s="50"/>
      <c r="J1960" s="50"/>
      <c r="K1960" s="50"/>
      <c r="L1960" s="50"/>
      <c r="M1960" s="50" t="s">
        <v>12230</v>
      </c>
      <c r="N1960" s="50"/>
      <c r="O1960" s="53" t="s">
        <v>217</v>
      </c>
      <c r="P1960" s="55" t="s">
        <v>12231</v>
      </c>
      <c r="Q1960" s="50">
        <v>3834.0</v>
      </c>
      <c r="R1960" s="50">
        <v>4957.0</v>
      </c>
      <c r="S1960" s="50" t="s">
        <v>12232</v>
      </c>
      <c r="T1960" s="56" t="s">
        <v>12233</v>
      </c>
      <c r="U1960" s="53" t="s">
        <v>1809</v>
      </c>
    </row>
    <row r="1961">
      <c r="A1961" s="54" t="s">
        <v>12234</v>
      </c>
      <c r="B1961" s="50" t="s">
        <v>12235</v>
      </c>
      <c r="C1961" s="51" t="s">
        <v>367</v>
      </c>
      <c r="D1961" s="51"/>
      <c r="E1961" s="51"/>
      <c r="F1961" s="51"/>
      <c r="G1961" s="50" t="s">
        <v>12236</v>
      </c>
      <c r="H1961" s="52">
        <v>44683.27726851852</v>
      </c>
      <c r="I1961" s="50"/>
      <c r="J1961" s="50"/>
      <c r="K1961" s="50"/>
      <c r="L1961" s="50"/>
      <c r="M1961" s="50" t="s">
        <v>12237</v>
      </c>
      <c r="N1961" s="50"/>
      <c r="O1961" s="53" t="s">
        <v>217</v>
      </c>
      <c r="P1961" s="55" t="s">
        <v>12238</v>
      </c>
      <c r="Q1961" s="50">
        <v>728.0</v>
      </c>
      <c r="R1961" s="50">
        <v>2687.0</v>
      </c>
      <c r="S1961" s="50" t="s">
        <v>12239</v>
      </c>
      <c r="T1961" s="56" t="s">
        <v>12240</v>
      </c>
      <c r="U1961" s="53" t="s">
        <v>370</v>
      </c>
    </row>
    <row r="1962">
      <c r="A1962" s="54" t="s">
        <v>12241</v>
      </c>
      <c r="B1962" s="50" t="s">
        <v>12242</v>
      </c>
      <c r="C1962" s="51" t="s">
        <v>12243</v>
      </c>
      <c r="D1962" s="51"/>
      <c r="E1962" s="51"/>
      <c r="F1962" s="51"/>
      <c r="G1962" s="50" t="s">
        <v>12244</v>
      </c>
      <c r="H1962" s="52">
        <v>44683.27658564815</v>
      </c>
      <c r="I1962" s="50"/>
      <c r="J1962" s="50"/>
      <c r="K1962" s="50"/>
      <c r="L1962" s="50"/>
      <c r="M1962" s="50" t="s">
        <v>12245</v>
      </c>
      <c r="N1962" s="50"/>
      <c r="O1962" s="53" t="s">
        <v>92</v>
      </c>
      <c r="P1962" s="55" t="s">
        <v>12246</v>
      </c>
      <c r="Q1962" s="50">
        <v>16432.0</v>
      </c>
      <c r="R1962" s="50">
        <v>17877.0</v>
      </c>
      <c r="S1962" s="50" t="s">
        <v>12247</v>
      </c>
      <c r="T1962" s="56" t="s">
        <v>12248</v>
      </c>
      <c r="U1962" s="53" t="s">
        <v>12249</v>
      </c>
    </row>
    <row r="1963">
      <c r="A1963" s="54" t="s">
        <v>12250</v>
      </c>
      <c r="B1963" s="50" t="s">
        <v>12251</v>
      </c>
      <c r="C1963" s="51" t="s">
        <v>12252</v>
      </c>
      <c r="D1963" s="51"/>
      <c r="E1963" s="51"/>
      <c r="F1963" s="51"/>
      <c r="G1963" s="50" t="s">
        <v>12253</v>
      </c>
      <c r="H1963" s="52">
        <v>44683.27631944444</v>
      </c>
      <c r="I1963" s="50"/>
      <c r="J1963" s="50"/>
      <c r="K1963" s="50" t="s">
        <v>12254</v>
      </c>
      <c r="L1963" s="50" t="s">
        <v>12255</v>
      </c>
      <c r="M1963" s="50" t="s">
        <v>12256</v>
      </c>
      <c r="N1963" s="50" t="s">
        <v>12257</v>
      </c>
      <c r="O1963" s="53" t="s">
        <v>60</v>
      </c>
      <c r="P1963" s="55" t="s">
        <v>12258</v>
      </c>
      <c r="Q1963" s="50">
        <v>3344.0</v>
      </c>
      <c r="R1963" s="50">
        <v>3242.0</v>
      </c>
      <c r="S1963" s="50" t="s">
        <v>658</v>
      </c>
      <c r="T1963" s="56" t="s">
        <v>12259</v>
      </c>
      <c r="U1963" s="53" t="s">
        <v>12260</v>
      </c>
    </row>
    <row r="1964">
      <c r="A1964" s="54" t="s">
        <v>12261</v>
      </c>
      <c r="B1964" s="50" t="s">
        <v>12262</v>
      </c>
      <c r="C1964" s="51" t="s">
        <v>12263</v>
      </c>
      <c r="D1964" s="51"/>
      <c r="E1964" s="51"/>
      <c r="F1964" s="51"/>
      <c r="G1964" s="50" t="s">
        <v>12264</v>
      </c>
      <c r="H1964" s="52">
        <v>44683.27628472222</v>
      </c>
      <c r="I1964" s="50"/>
      <c r="J1964" s="50"/>
      <c r="K1964" s="50" t="s">
        <v>12265</v>
      </c>
      <c r="L1964" s="50" t="s">
        <v>12266</v>
      </c>
      <c r="M1964" s="50" t="s">
        <v>12267</v>
      </c>
      <c r="N1964" s="50" t="s">
        <v>12268</v>
      </c>
      <c r="O1964" s="53" t="s">
        <v>70</v>
      </c>
      <c r="P1964" s="55" t="s">
        <v>12269</v>
      </c>
      <c r="Q1964" s="50">
        <v>8202.0</v>
      </c>
      <c r="R1964" s="50">
        <v>9024.0</v>
      </c>
      <c r="S1964" s="50" t="s">
        <v>12270</v>
      </c>
      <c r="T1964" s="56" t="s">
        <v>12271</v>
      </c>
      <c r="U1964" s="53" t="s">
        <v>12272</v>
      </c>
    </row>
    <row r="1965">
      <c r="A1965" s="54" t="s">
        <v>12273</v>
      </c>
      <c r="B1965" s="50" t="s">
        <v>12274</v>
      </c>
      <c r="C1965" s="51" t="s">
        <v>12275</v>
      </c>
      <c r="D1965" s="51"/>
      <c r="E1965" s="51"/>
      <c r="F1965" s="51"/>
      <c r="G1965" s="50" t="s">
        <v>12276</v>
      </c>
      <c r="H1965" s="52">
        <v>44683.27621527778</v>
      </c>
      <c r="I1965" s="50"/>
      <c r="J1965" s="50"/>
      <c r="K1965" s="50"/>
      <c r="L1965" s="50"/>
      <c r="M1965" s="50" t="s">
        <v>12277</v>
      </c>
      <c r="N1965" s="50"/>
      <c r="O1965" s="53" t="s">
        <v>70</v>
      </c>
      <c r="P1965" s="55" t="s">
        <v>12278</v>
      </c>
      <c r="Q1965" s="50">
        <v>678.0</v>
      </c>
      <c r="R1965" s="50">
        <v>904.0</v>
      </c>
      <c r="S1965" s="50"/>
      <c r="T1965" s="56" t="s">
        <v>12279</v>
      </c>
      <c r="U1965" s="53" t="s">
        <v>12280</v>
      </c>
    </row>
    <row r="1966">
      <c r="A1966" s="54" t="s">
        <v>12281</v>
      </c>
      <c r="B1966" s="50" t="s">
        <v>12282</v>
      </c>
      <c r="C1966" s="51" t="s">
        <v>367</v>
      </c>
      <c r="D1966" s="51"/>
      <c r="E1966" s="51"/>
      <c r="F1966" s="51"/>
      <c r="G1966" s="50" t="s">
        <v>12283</v>
      </c>
      <c r="H1966" s="52">
        <v>44683.27615740741</v>
      </c>
      <c r="I1966" s="50"/>
      <c r="J1966" s="50"/>
      <c r="K1966" s="50"/>
      <c r="L1966" s="50"/>
      <c r="M1966" s="50" t="s">
        <v>12284</v>
      </c>
      <c r="N1966" s="50"/>
      <c r="O1966" s="53" t="s">
        <v>70</v>
      </c>
      <c r="P1966" s="55" t="s">
        <v>12285</v>
      </c>
      <c r="Q1966" s="50">
        <v>303.0</v>
      </c>
      <c r="R1966" s="50">
        <v>504.0</v>
      </c>
      <c r="S1966" s="50" t="s">
        <v>12286</v>
      </c>
      <c r="T1966" s="56" t="s">
        <v>12287</v>
      </c>
      <c r="U1966" s="53" t="s">
        <v>370</v>
      </c>
    </row>
    <row r="1967">
      <c r="A1967" s="54" t="s">
        <v>12288</v>
      </c>
      <c r="B1967" s="50" t="s">
        <v>12289</v>
      </c>
      <c r="C1967" s="51" t="s">
        <v>4233</v>
      </c>
      <c r="D1967" s="51"/>
      <c r="E1967" s="51"/>
      <c r="F1967" s="51"/>
      <c r="G1967" s="50" t="s">
        <v>12290</v>
      </c>
      <c r="H1967" s="52">
        <v>44683.27606481481</v>
      </c>
      <c r="I1967" s="50"/>
      <c r="J1967" s="50"/>
      <c r="K1967" s="50"/>
      <c r="L1967" s="50"/>
      <c r="M1967" s="50" t="s">
        <v>12291</v>
      </c>
      <c r="N1967" s="50"/>
      <c r="O1967" s="53" t="s">
        <v>70</v>
      </c>
      <c r="P1967" s="55" t="s">
        <v>12292</v>
      </c>
      <c r="Q1967" s="50">
        <v>1826.0</v>
      </c>
      <c r="R1967" s="50">
        <v>3402.0</v>
      </c>
      <c r="S1967" s="50" t="s">
        <v>379</v>
      </c>
      <c r="T1967" s="56" t="s">
        <v>12293</v>
      </c>
      <c r="U1967" s="53" t="s">
        <v>4237</v>
      </c>
    </row>
    <row r="1968">
      <c r="A1968" s="54" t="s">
        <v>12294</v>
      </c>
      <c r="B1968" s="50" t="s">
        <v>5696</v>
      </c>
      <c r="C1968" s="51" t="s">
        <v>316</v>
      </c>
      <c r="D1968" s="51"/>
      <c r="E1968" s="51"/>
      <c r="F1968" s="51"/>
      <c r="G1968" s="50" t="s">
        <v>12295</v>
      </c>
      <c r="H1968" s="52">
        <v>44683.27604166667</v>
      </c>
      <c r="I1968" s="50"/>
      <c r="J1968" s="50"/>
      <c r="K1968" s="50"/>
      <c r="L1968" s="50"/>
      <c r="M1968" s="50" t="s">
        <v>5699</v>
      </c>
      <c r="N1968" s="50"/>
      <c r="O1968" s="53" t="s">
        <v>92</v>
      </c>
      <c r="P1968" s="55" t="s">
        <v>5700</v>
      </c>
      <c r="Q1968" s="50">
        <v>1163.0</v>
      </c>
      <c r="R1968" s="50">
        <v>3096.0</v>
      </c>
      <c r="S1968" s="50"/>
      <c r="T1968" s="56" t="s">
        <v>12296</v>
      </c>
      <c r="U1968" s="53" t="s">
        <v>322</v>
      </c>
    </row>
    <row r="1969">
      <c r="A1969" s="54" t="s">
        <v>12297</v>
      </c>
      <c r="B1969" s="50" t="s">
        <v>5696</v>
      </c>
      <c r="C1969" s="51" t="s">
        <v>329</v>
      </c>
      <c r="D1969" s="51"/>
      <c r="E1969" s="51"/>
      <c r="F1969" s="51"/>
      <c r="G1969" s="50" t="s">
        <v>12298</v>
      </c>
      <c r="H1969" s="52">
        <v>44683.27594907407</v>
      </c>
      <c r="I1969" s="50"/>
      <c r="J1969" s="50"/>
      <c r="K1969" s="50"/>
      <c r="L1969" s="50"/>
      <c r="M1969" s="50" t="s">
        <v>5699</v>
      </c>
      <c r="N1969" s="50"/>
      <c r="O1969" s="53" t="s">
        <v>92</v>
      </c>
      <c r="P1969" s="55" t="s">
        <v>5700</v>
      </c>
      <c r="Q1969" s="50">
        <v>1163.0</v>
      </c>
      <c r="R1969" s="50">
        <v>3096.0</v>
      </c>
      <c r="S1969" s="50"/>
      <c r="T1969" s="56" t="s">
        <v>12299</v>
      </c>
      <c r="U1969" s="53" t="s">
        <v>332</v>
      </c>
    </row>
    <row r="1970">
      <c r="A1970" s="54" t="s">
        <v>12300</v>
      </c>
      <c r="B1970" s="50" t="s">
        <v>4389</v>
      </c>
      <c r="C1970" s="51" t="s">
        <v>10044</v>
      </c>
      <c r="D1970" s="51"/>
      <c r="E1970" s="51"/>
      <c r="F1970" s="51"/>
      <c r="G1970" s="50" t="s">
        <v>12301</v>
      </c>
      <c r="H1970" s="52">
        <v>44683.27583333333</v>
      </c>
      <c r="I1970" s="50"/>
      <c r="J1970" s="50"/>
      <c r="K1970" s="50"/>
      <c r="L1970" s="50"/>
      <c r="M1970" s="50" t="s">
        <v>4391</v>
      </c>
      <c r="N1970" s="50"/>
      <c r="O1970" s="53" t="s">
        <v>70</v>
      </c>
      <c r="P1970" s="55" t="s">
        <v>4392</v>
      </c>
      <c r="Q1970" s="50">
        <v>8141.0</v>
      </c>
      <c r="R1970" s="50">
        <v>4878.0</v>
      </c>
      <c r="S1970" s="50" t="s">
        <v>805</v>
      </c>
      <c r="T1970" s="56" t="s">
        <v>12302</v>
      </c>
      <c r="U1970" s="53" t="s">
        <v>10049</v>
      </c>
    </row>
    <row r="1971">
      <c r="A1971" s="54" t="s">
        <v>12303</v>
      </c>
      <c r="B1971" s="50" t="s">
        <v>4389</v>
      </c>
      <c r="C1971" s="51" t="s">
        <v>12304</v>
      </c>
      <c r="D1971" s="51"/>
      <c r="E1971" s="51"/>
      <c r="F1971" s="51"/>
      <c r="G1971" s="50" t="s">
        <v>12305</v>
      </c>
      <c r="H1971" s="52">
        <v>44683.27569444444</v>
      </c>
      <c r="I1971" s="50"/>
      <c r="J1971" s="50"/>
      <c r="K1971" s="50" t="s">
        <v>12306</v>
      </c>
      <c r="L1971" s="50" t="s">
        <v>12307</v>
      </c>
      <c r="M1971" s="50" t="s">
        <v>4391</v>
      </c>
      <c r="N1971" s="50" t="s">
        <v>12308</v>
      </c>
      <c r="O1971" s="53" t="s">
        <v>70</v>
      </c>
      <c r="P1971" s="55" t="s">
        <v>4392</v>
      </c>
      <c r="Q1971" s="50">
        <v>8141.0</v>
      </c>
      <c r="R1971" s="50">
        <v>4878.0</v>
      </c>
      <c r="S1971" s="50" t="s">
        <v>805</v>
      </c>
      <c r="T1971" s="56" t="s">
        <v>12309</v>
      </c>
      <c r="U1971" s="53" t="s">
        <v>12310</v>
      </c>
    </row>
    <row r="1972">
      <c r="A1972" s="54" t="s">
        <v>12311</v>
      </c>
      <c r="B1972" s="50" t="s">
        <v>5696</v>
      </c>
      <c r="C1972" s="51" t="s">
        <v>367</v>
      </c>
      <c r="D1972" s="51"/>
      <c r="E1972" s="51"/>
      <c r="F1972" s="51"/>
      <c r="G1972" s="50" t="s">
        <v>12312</v>
      </c>
      <c r="H1972" s="52">
        <v>44683.27564814815</v>
      </c>
      <c r="I1972" s="50"/>
      <c r="J1972" s="50"/>
      <c r="K1972" s="50"/>
      <c r="L1972" s="50"/>
      <c r="M1972" s="50" t="s">
        <v>5699</v>
      </c>
      <c r="N1972" s="50"/>
      <c r="O1972" s="53" t="s">
        <v>92</v>
      </c>
      <c r="P1972" s="55" t="s">
        <v>5700</v>
      </c>
      <c r="Q1972" s="50">
        <v>1163.0</v>
      </c>
      <c r="R1972" s="50">
        <v>3096.0</v>
      </c>
      <c r="S1972" s="50"/>
      <c r="T1972" s="56" t="s">
        <v>12313</v>
      </c>
      <c r="U1972" s="53" t="s">
        <v>370</v>
      </c>
    </row>
    <row r="1973">
      <c r="A1973" s="54" t="s">
        <v>12314</v>
      </c>
      <c r="B1973" s="50" t="s">
        <v>5696</v>
      </c>
      <c r="C1973" s="51" t="s">
        <v>363</v>
      </c>
      <c r="D1973" s="51"/>
      <c r="E1973" s="51"/>
      <c r="F1973" s="51"/>
      <c r="G1973" s="50" t="s">
        <v>12315</v>
      </c>
      <c r="H1973" s="52">
        <v>44683.275613425925</v>
      </c>
      <c r="I1973" s="50"/>
      <c r="J1973" s="50"/>
      <c r="K1973" s="50"/>
      <c r="L1973" s="50"/>
      <c r="M1973" s="50" t="s">
        <v>5699</v>
      </c>
      <c r="N1973" s="50"/>
      <c r="O1973" s="53" t="s">
        <v>92</v>
      </c>
      <c r="P1973" s="55" t="s">
        <v>5700</v>
      </c>
      <c r="Q1973" s="50">
        <v>1163.0</v>
      </c>
      <c r="R1973" s="50">
        <v>3096.0</v>
      </c>
      <c r="S1973" s="50"/>
      <c r="T1973" s="56" t="s">
        <v>12316</v>
      </c>
      <c r="U1973" s="53" t="s">
        <v>332</v>
      </c>
    </row>
    <row r="1974">
      <c r="A1974" s="54" t="s">
        <v>12317</v>
      </c>
      <c r="B1974" s="50" t="s">
        <v>12318</v>
      </c>
      <c r="C1974" s="51" t="s">
        <v>367</v>
      </c>
      <c r="D1974" s="51"/>
      <c r="E1974" s="51"/>
      <c r="F1974" s="51"/>
      <c r="G1974" s="50" t="s">
        <v>12319</v>
      </c>
      <c r="H1974" s="52">
        <v>44683.27532407407</v>
      </c>
      <c r="I1974" s="50"/>
      <c r="J1974" s="50"/>
      <c r="K1974" s="50"/>
      <c r="L1974" s="50"/>
      <c r="M1974" s="50" t="s">
        <v>12320</v>
      </c>
      <c r="N1974" s="50"/>
      <c r="O1974" s="53" t="s">
        <v>70</v>
      </c>
      <c r="P1974" s="55" t="s">
        <v>12321</v>
      </c>
      <c r="Q1974" s="50">
        <v>3768.0</v>
      </c>
      <c r="R1974" s="50">
        <v>4759.0</v>
      </c>
      <c r="S1974" s="50" t="s">
        <v>12322</v>
      </c>
      <c r="T1974" s="56" t="s">
        <v>12323</v>
      </c>
      <c r="U1974" s="53" t="s">
        <v>370</v>
      </c>
    </row>
    <row r="1975">
      <c r="A1975" s="54" t="s">
        <v>12324</v>
      </c>
      <c r="B1975" s="50" t="s">
        <v>12325</v>
      </c>
      <c r="C1975" s="51" t="s">
        <v>367</v>
      </c>
      <c r="D1975" s="51"/>
      <c r="E1975" s="51"/>
      <c r="F1975" s="51"/>
      <c r="G1975" s="50" t="s">
        <v>12326</v>
      </c>
      <c r="H1975" s="52">
        <v>44683.275231481486</v>
      </c>
      <c r="I1975" s="50"/>
      <c r="J1975" s="50"/>
      <c r="K1975" s="50"/>
      <c r="L1975" s="50"/>
      <c r="M1975" s="50" t="s">
        <v>12327</v>
      </c>
      <c r="N1975" s="50"/>
      <c r="O1975" s="53" t="s">
        <v>60</v>
      </c>
      <c r="P1975" s="55" t="s">
        <v>12328</v>
      </c>
      <c r="Q1975" s="50">
        <v>523.0</v>
      </c>
      <c r="R1975" s="50">
        <v>636.0</v>
      </c>
      <c r="S1975" s="50"/>
      <c r="T1975" s="56" t="s">
        <v>12329</v>
      </c>
      <c r="U1975" s="53" t="s">
        <v>370</v>
      </c>
    </row>
    <row r="1976">
      <c r="A1976" s="54" t="s">
        <v>12330</v>
      </c>
      <c r="B1976" s="50" t="s">
        <v>12094</v>
      </c>
      <c r="C1976" s="51" t="s">
        <v>12331</v>
      </c>
      <c r="D1976" s="51"/>
      <c r="E1976" s="51"/>
      <c r="F1976" s="51"/>
      <c r="G1976" s="50" t="s">
        <v>12332</v>
      </c>
      <c r="H1976" s="52">
        <v>44683.274930555555</v>
      </c>
      <c r="I1976" s="50"/>
      <c r="J1976" s="50"/>
      <c r="K1976" s="50"/>
      <c r="L1976" s="50"/>
      <c r="M1976" s="50" t="s">
        <v>12096</v>
      </c>
      <c r="N1976" s="50"/>
      <c r="O1976" s="53" t="s">
        <v>70</v>
      </c>
      <c r="P1976" s="55" t="s">
        <v>12097</v>
      </c>
      <c r="Q1976" s="50">
        <v>1872.0</v>
      </c>
      <c r="R1976" s="50">
        <v>1225.0</v>
      </c>
      <c r="S1976" s="50" t="s">
        <v>12098</v>
      </c>
      <c r="T1976" s="56" t="s">
        <v>12333</v>
      </c>
      <c r="U1976" s="53" t="s">
        <v>12334</v>
      </c>
    </row>
    <row r="1977">
      <c r="A1977" s="54" t="s">
        <v>12335</v>
      </c>
      <c r="B1977" s="50" t="s">
        <v>12336</v>
      </c>
      <c r="C1977" s="51" t="s">
        <v>12337</v>
      </c>
      <c r="D1977" s="51"/>
      <c r="E1977" s="51"/>
      <c r="F1977" s="51"/>
      <c r="G1977" s="50" t="s">
        <v>12338</v>
      </c>
      <c r="H1977" s="52">
        <v>44683.27469907407</v>
      </c>
      <c r="I1977" s="50"/>
      <c r="J1977" s="50"/>
      <c r="K1977" s="50"/>
      <c r="L1977" s="50"/>
      <c r="M1977" s="50" t="s">
        <v>12339</v>
      </c>
      <c r="N1977" s="50"/>
      <c r="O1977" s="53" t="s">
        <v>217</v>
      </c>
      <c r="P1977" s="55" t="s">
        <v>354</v>
      </c>
      <c r="Q1977" s="50">
        <v>567.0</v>
      </c>
      <c r="R1977" s="50">
        <v>589.0</v>
      </c>
      <c r="S1977" s="50"/>
      <c r="T1977" s="56" t="s">
        <v>12340</v>
      </c>
      <c r="U1977" s="53" t="s">
        <v>12341</v>
      </c>
    </row>
    <row r="1978">
      <c r="A1978" s="54" t="s">
        <v>12342</v>
      </c>
      <c r="B1978" s="50" t="s">
        <v>12343</v>
      </c>
      <c r="C1978" s="51" t="s">
        <v>12344</v>
      </c>
      <c r="D1978" s="51"/>
      <c r="E1978" s="51"/>
      <c r="F1978" s="51"/>
      <c r="G1978" s="50" t="s">
        <v>12345</v>
      </c>
      <c r="H1978" s="52">
        <v>44683.274675925924</v>
      </c>
      <c r="I1978" s="50"/>
      <c r="J1978" s="50"/>
      <c r="K1978" s="50" t="s">
        <v>12346</v>
      </c>
      <c r="L1978" s="50" t="s">
        <v>12347</v>
      </c>
      <c r="M1978" s="50" t="s">
        <v>12348</v>
      </c>
      <c r="N1978" s="50" t="s">
        <v>12349</v>
      </c>
      <c r="O1978" s="53" t="s">
        <v>92</v>
      </c>
      <c r="P1978" s="55" t="s">
        <v>12350</v>
      </c>
      <c r="Q1978" s="50">
        <v>1165.0</v>
      </c>
      <c r="R1978" s="50">
        <v>1664.0</v>
      </c>
      <c r="S1978" s="50"/>
      <c r="T1978" s="56" t="s">
        <v>12351</v>
      </c>
      <c r="U1978" s="53" t="s">
        <v>12352</v>
      </c>
    </row>
    <row r="1979">
      <c r="A1979" s="54" t="s">
        <v>12353</v>
      </c>
      <c r="B1979" s="50" t="s">
        <v>12354</v>
      </c>
      <c r="C1979" s="51" t="s">
        <v>367</v>
      </c>
      <c r="D1979" s="51"/>
      <c r="E1979" s="51"/>
      <c r="F1979" s="51"/>
      <c r="G1979" s="50" t="s">
        <v>12355</v>
      </c>
      <c r="H1979" s="52">
        <v>44683.27457175926</v>
      </c>
      <c r="I1979" s="50"/>
      <c r="J1979" s="50"/>
      <c r="K1979" s="50"/>
      <c r="L1979" s="50"/>
      <c r="M1979" s="50" t="s">
        <v>12356</v>
      </c>
      <c r="N1979" s="50"/>
      <c r="O1979" s="53" t="s">
        <v>92</v>
      </c>
      <c r="P1979" s="55" t="s">
        <v>12357</v>
      </c>
      <c r="Q1979" s="50">
        <v>2084.0</v>
      </c>
      <c r="R1979" s="50">
        <v>4999.0</v>
      </c>
      <c r="S1979" s="50" t="s">
        <v>12358</v>
      </c>
      <c r="T1979" s="56" t="s">
        <v>12359</v>
      </c>
      <c r="U1979" s="53" t="s">
        <v>370</v>
      </c>
    </row>
    <row r="1980">
      <c r="A1980" s="54" t="s">
        <v>12360</v>
      </c>
      <c r="B1980" s="50" t="s">
        <v>12361</v>
      </c>
      <c r="C1980" s="51" t="s">
        <v>367</v>
      </c>
      <c r="D1980" s="51"/>
      <c r="E1980" s="51"/>
      <c r="F1980" s="51"/>
      <c r="G1980" s="50" t="s">
        <v>12362</v>
      </c>
      <c r="H1980" s="52">
        <v>44683.274560185186</v>
      </c>
      <c r="I1980" s="50"/>
      <c r="J1980" s="50"/>
      <c r="K1980" s="50"/>
      <c r="L1980" s="50"/>
      <c r="M1980" s="50" t="s">
        <v>12363</v>
      </c>
      <c r="N1980" s="50"/>
      <c r="O1980" s="53" t="s">
        <v>70</v>
      </c>
      <c r="P1980" s="55" t="s">
        <v>12364</v>
      </c>
      <c r="Q1980" s="50">
        <v>1124.0</v>
      </c>
      <c r="R1980" s="50">
        <v>1368.0</v>
      </c>
      <c r="S1980" s="50"/>
      <c r="T1980" s="56" t="s">
        <v>12365</v>
      </c>
      <c r="U1980" s="53" t="s">
        <v>370</v>
      </c>
    </row>
    <row r="1981">
      <c r="A1981" s="54" t="s">
        <v>12366</v>
      </c>
      <c r="B1981" s="50" t="s">
        <v>1225</v>
      </c>
      <c r="C1981" s="51" t="s">
        <v>8921</v>
      </c>
      <c r="D1981" s="51"/>
      <c r="E1981" s="51"/>
      <c r="F1981" s="51"/>
      <c r="G1981" s="50" t="s">
        <v>12367</v>
      </c>
      <c r="H1981" s="52">
        <v>44683.27427083333</v>
      </c>
      <c r="I1981" s="50"/>
      <c r="J1981" s="50"/>
      <c r="K1981" s="50"/>
      <c r="L1981" s="50"/>
      <c r="M1981" s="50" t="s">
        <v>1227</v>
      </c>
      <c r="N1981" s="50"/>
      <c r="O1981" s="53" t="s">
        <v>217</v>
      </c>
      <c r="P1981" s="55" t="s">
        <v>1228</v>
      </c>
      <c r="Q1981" s="50">
        <v>776.0</v>
      </c>
      <c r="R1981" s="50">
        <v>883.0</v>
      </c>
      <c r="S1981" s="50" t="s">
        <v>1229</v>
      </c>
      <c r="T1981" s="56" t="s">
        <v>12368</v>
      </c>
      <c r="U1981" s="53" t="s">
        <v>8927</v>
      </c>
    </row>
    <row r="1982">
      <c r="A1982" s="54" t="s">
        <v>12369</v>
      </c>
      <c r="B1982" s="50" t="s">
        <v>11419</v>
      </c>
      <c r="C1982" s="51" t="s">
        <v>367</v>
      </c>
      <c r="D1982" s="51"/>
      <c r="E1982" s="51"/>
      <c r="F1982" s="51"/>
      <c r="G1982" s="50" t="s">
        <v>12370</v>
      </c>
      <c r="H1982" s="52">
        <v>44683.27408564815</v>
      </c>
      <c r="I1982" s="50"/>
      <c r="J1982" s="50"/>
      <c r="K1982" s="50"/>
      <c r="L1982" s="50"/>
      <c r="M1982" s="50" t="s">
        <v>11421</v>
      </c>
      <c r="N1982" s="50"/>
      <c r="O1982" s="53" t="s">
        <v>70</v>
      </c>
      <c r="P1982" s="55" t="s">
        <v>11422</v>
      </c>
      <c r="Q1982" s="50">
        <v>3731.0</v>
      </c>
      <c r="R1982" s="50">
        <v>4997.0</v>
      </c>
      <c r="S1982" s="50" t="s">
        <v>11423</v>
      </c>
      <c r="T1982" s="56" t="s">
        <v>12371</v>
      </c>
      <c r="U1982" s="53" t="s">
        <v>370</v>
      </c>
    </row>
    <row r="1983">
      <c r="A1983" s="54" t="s">
        <v>12372</v>
      </c>
      <c r="B1983" s="50" t="s">
        <v>12373</v>
      </c>
      <c r="C1983" s="51" t="s">
        <v>316</v>
      </c>
      <c r="D1983" s="51"/>
      <c r="E1983" s="51"/>
      <c r="F1983" s="51"/>
      <c r="G1983" s="50" t="s">
        <v>12374</v>
      </c>
      <c r="H1983" s="52">
        <v>44683.27377314815</v>
      </c>
      <c r="I1983" s="50"/>
      <c r="J1983" s="50"/>
      <c r="K1983" s="50"/>
      <c r="L1983" s="50"/>
      <c r="M1983" s="50" t="s">
        <v>12375</v>
      </c>
      <c r="N1983" s="50"/>
      <c r="O1983" s="53" t="s">
        <v>70</v>
      </c>
      <c r="P1983" s="55" t="s">
        <v>12376</v>
      </c>
      <c r="Q1983" s="50">
        <v>4097.0</v>
      </c>
      <c r="R1983" s="50">
        <v>4366.0</v>
      </c>
      <c r="S1983" s="50"/>
      <c r="T1983" s="56" t="s">
        <v>12377</v>
      </c>
      <c r="U1983" s="53" t="s">
        <v>322</v>
      </c>
    </row>
    <row r="1984">
      <c r="A1984" s="54" t="s">
        <v>12378</v>
      </c>
      <c r="B1984" s="50" t="s">
        <v>12379</v>
      </c>
      <c r="C1984" s="51" t="s">
        <v>363</v>
      </c>
      <c r="D1984" s="51"/>
      <c r="E1984" s="51"/>
      <c r="F1984" s="51"/>
      <c r="G1984" s="50" t="s">
        <v>12380</v>
      </c>
      <c r="H1984" s="52">
        <v>44683.27376157408</v>
      </c>
      <c r="I1984" s="50"/>
      <c r="J1984" s="50"/>
      <c r="K1984" s="50"/>
      <c r="L1984" s="50"/>
      <c r="M1984" s="50" t="s">
        <v>12381</v>
      </c>
      <c r="N1984" s="50"/>
      <c r="O1984" s="53" t="s">
        <v>70</v>
      </c>
      <c r="P1984" s="55" t="s">
        <v>12382</v>
      </c>
      <c r="Q1984" s="50">
        <v>6157.0</v>
      </c>
      <c r="R1984" s="50">
        <v>6353.0</v>
      </c>
      <c r="S1984" s="50"/>
      <c r="T1984" s="56" t="s">
        <v>12383</v>
      </c>
      <c r="U1984" s="53" t="s">
        <v>332</v>
      </c>
    </row>
    <row r="1985">
      <c r="A1985" s="54" t="s">
        <v>12384</v>
      </c>
      <c r="B1985" s="50" t="s">
        <v>12385</v>
      </c>
      <c r="C1985" s="51" t="s">
        <v>367</v>
      </c>
      <c r="D1985" s="51"/>
      <c r="E1985" s="51"/>
      <c r="F1985" s="51"/>
      <c r="G1985" s="50" t="s">
        <v>12380</v>
      </c>
      <c r="H1985" s="52">
        <v>44683.27376157408</v>
      </c>
      <c r="I1985" s="50"/>
      <c r="J1985" s="50"/>
      <c r="K1985" s="50"/>
      <c r="L1985" s="50"/>
      <c r="M1985" s="50" t="s">
        <v>12386</v>
      </c>
      <c r="N1985" s="50"/>
      <c r="O1985" s="53" t="s">
        <v>217</v>
      </c>
      <c r="P1985" s="55" t="s">
        <v>12387</v>
      </c>
      <c r="Q1985" s="50">
        <v>658.0</v>
      </c>
      <c r="R1985" s="50">
        <v>1565.0</v>
      </c>
      <c r="S1985" s="50" t="s">
        <v>1121</v>
      </c>
      <c r="T1985" s="56" t="s">
        <v>12388</v>
      </c>
      <c r="U1985" s="53" t="s">
        <v>370</v>
      </c>
    </row>
    <row r="1986">
      <c r="A1986" s="54" t="s">
        <v>12389</v>
      </c>
      <c r="B1986" s="50" t="s">
        <v>12390</v>
      </c>
      <c r="C1986" s="51" t="s">
        <v>367</v>
      </c>
      <c r="D1986" s="51"/>
      <c r="E1986" s="51"/>
      <c r="F1986" s="51"/>
      <c r="G1986" s="50" t="s">
        <v>12391</v>
      </c>
      <c r="H1986" s="52">
        <v>44683.27375</v>
      </c>
      <c r="I1986" s="50"/>
      <c r="J1986" s="50"/>
      <c r="K1986" s="50"/>
      <c r="L1986" s="50"/>
      <c r="M1986" s="50" t="s">
        <v>12392</v>
      </c>
      <c r="N1986" s="50"/>
      <c r="O1986" s="53" t="s">
        <v>60</v>
      </c>
      <c r="P1986" s="55" t="s">
        <v>12393</v>
      </c>
      <c r="Q1986" s="50">
        <v>333.0</v>
      </c>
      <c r="R1986" s="50">
        <v>602.0</v>
      </c>
      <c r="S1986" s="50" t="s">
        <v>12394</v>
      </c>
      <c r="T1986" s="56" t="s">
        <v>12395</v>
      </c>
      <c r="U1986" s="53" t="s">
        <v>370</v>
      </c>
    </row>
    <row r="1987">
      <c r="A1987" s="54" t="s">
        <v>12396</v>
      </c>
      <c r="B1987" s="50" t="s">
        <v>12397</v>
      </c>
      <c r="C1987" s="51" t="s">
        <v>316</v>
      </c>
      <c r="D1987" s="51"/>
      <c r="E1987" s="51"/>
      <c r="F1987" s="51"/>
      <c r="G1987" s="50" t="s">
        <v>12398</v>
      </c>
      <c r="H1987" s="52">
        <v>44683.273194444446</v>
      </c>
      <c r="I1987" s="50"/>
      <c r="J1987" s="50"/>
      <c r="K1987" s="50"/>
      <c r="L1987" s="50"/>
      <c r="M1987" s="50" t="s">
        <v>12399</v>
      </c>
      <c r="N1987" s="50"/>
      <c r="O1987" s="53" t="s">
        <v>92</v>
      </c>
      <c r="P1987" s="55" t="s">
        <v>12400</v>
      </c>
      <c r="Q1987" s="50">
        <v>2049.0</v>
      </c>
      <c r="R1987" s="50">
        <v>2745.0</v>
      </c>
      <c r="S1987" s="50" t="s">
        <v>219</v>
      </c>
      <c r="T1987" s="56" t="s">
        <v>12401</v>
      </c>
      <c r="U1987" s="53" t="s">
        <v>322</v>
      </c>
    </row>
    <row r="1988">
      <c r="A1988" s="54" t="s">
        <v>12402</v>
      </c>
      <c r="B1988" s="50" t="s">
        <v>12397</v>
      </c>
      <c r="C1988" s="51" t="s">
        <v>329</v>
      </c>
      <c r="D1988" s="51"/>
      <c r="E1988" s="51"/>
      <c r="F1988" s="51"/>
      <c r="G1988" s="50" t="s">
        <v>12403</v>
      </c>
      <c r="H1988" s="52">
        <v>44683.27313657408</v>
      </c>
      <c r="I1988" s="50"/>
      <c r="J1988" s="50"/>
      <c r="K1988" s="50"/>
      <c r="L1988" s="50"/>
      <c r="M1988" s="50" t="s">
        <v>12399</v>
      </c>
      <c r="N1988" s="50"/>
      <c r="O1988" s="53" t="s">
        <v>92</v>
      </c>
      <c r="P1988" s="55" t="s">
        <v>12400</v>
      </c>
      <c r="Q1988" s="50">
        <v>2049.0</v>
      </c>
      <c r="R1988" s="50">
        <v>2745.0</v>
      </c>
      <c r="S1988" s="50" t="s">
        <v>219</v>
      </c>
      <c r="T1988" s="56" t="s">
        <v>12404</v>
      </c>
      <c r="U1988" s="53" t="s">
        <v>332</v>
      </c>
    </row>
    <row r="1989">
      <c r="A1989" s="54" t="s">
        <v>12405</v>
      </c>
      <c r="B1989" s="50" t="s">
        <v>12406</v>
      </c>
      <c r="C1989" s="51" t="s">
        <v>335</v>
      </c>
      <c r="D1989" s="51"/>
      <c r="E1989" s="51"/>
      <c r="F1989" s="51"/>
      <c r="G1989" s="50" t="s">
        <v>12407</v>
      </c>
      <c r="H1989" s="52">
        <v>44683.27311342592</v>
      </c>
      <c r="I1989" s="50"/>
      <c r="J1989" s="50"/>
      <c r="K1989" s="50"/>
      <c r="L1989" s="50"/>
      <c r="M1989" s="50" t="s">
        <v>12408</v>
      </c>
      <c r="N1989" s="50"/>
      <c r="O1989" s="53" t="s">
        <v>60</v>
      </c>
      <c r="P1989" s="55" t="s">
        <v>12409</v>
      </c>
      <c r="Q1989" s="50">
        <v>54.0</v>
      </c>
      <c r="R1989" s="50">
        <v>107.0</v>
      </c>
      <c r="S1989" s="50"/>
      <c r="T1989" s="56" t="s">
        <v>12410</v>
      </c>
      <c r="U1989" s="53" t="s">
        <v>339</v>
      </c>
    </row>
    <row r="1990">
      <c r="A1990" s="54" t="s">
        <v>12411</v>
      </c>
      <c r="B1990" s="50" t="s">
        <v>12397</v>
      </c>
      <c r="C1990" s="51" t="s">
        <v>335</v>
      </c>
      <c r="D1990" s="51"/>
      <c r="E1990" s="51"/>
      <c r="F1990" s="51"/>
      <c r="G1990" s="50" t="s">
        <v>12412</v>
      </c>
      <c r="H1990" s="52">
        <v>44683.27300925926</v>
      </c>
      <c r="I1990" s="50"/>
      <c r="J1990" s="50"/>
      <c r="K1990" s="50"/>
      <c r="L1990" s="50"/>
      <c r="M1990" s="50" t="s">
        <v>12399</v>
      </c>
      <c r="N1990" s="50"/>
      <c r="O1990" s="53" t="s">
        <v>92</v>
      </c>
      <c r="P1990" s="55" t="s">
        <v>12400</v>
      </c>
      <c r="Q1990" s="50">
        <v>2049.0</v>
      </c>
      <c r="R1990" s="50">
        <v>2745.0</v>
      </c>
      <c r="S1990" s="50" t="s">
        <v>219</v>
      </c>
      <c r="T1990" s="56" t="s">
        <v>12413</v>
      </c>
      <c r="U1990" s="53" t="s">
        <v>339</v>
      </c>
    </row>
    <row r="1991">
      <c r="A1991" s="54" t="s">
        <v>12414</v>
      </c>
      <c r="B1991" s="50" t="s">
        <v>12397</v>
      </c>
      <c r="C1991" s="51" t="s">
        <v>367</v>
      </c>
      <c r="D1991" s="51"/>
      <c r="E1991" s="51"/>
      <c r="F1991" s="51"/>
      <c r="G1991" s="50" t="s">
        <v>12415</v>
      </c>
      <c r="H1991" s="52">
        <v>44683.27296296296</v>
      </c>
      <c r="I1991" s="50"/>
      <c r="J1991" s="50"/>
      <c r="K1991" s="50"/>
      <c r="L1991" s="50"/>
      <c r="M1991" s="50" t="s">
        <v>12399</v>
      </c>
      <c r="N1991" s="50"/>
      <c r="O1991" s="53" t="s">
        <v>92</v>
      </c>
      <c r="P1991" s="55" t="s">
        <v>12400</v>
      </c>
      <c r="Q1991" s="50">
        <v>2049.0</v>
      </c>
      <c r="R1991" s="50">
        <v>2745.0</v>
      </c>
      <c r="S1991" s="50" t="s">
        <v>219</v>
      </c>
      <c r="T1991" s="56" t="s">
        <v>12416</v>
      </c>
      <c r="U1991" s="53" t="s">
        <v>370</v>
      </c>
    </row>
    <row r="1992">
      <c r="A1992" s="54" t="s">
        <v>12417</v>
      </c>
      <c r="B1992" s="50" t="s">
        <v>12397</v>
      </c>
      <c r="C1992" s="51" t="s">
        <v>363</v>
      </c>
      <c r="D1992" s="51"/>
      <c r="E1992" s="51"/>
      <c r="F1992" s="51"/>
      <c r="G1992" s="50" t="s">
        <v>12418</v>
      </c>
      <c r="H1992" s="52">
        <v>44683.272939814815</v>
      </c>
      <c r="I1992" s="50"/>
      <c r="J1992" s="50"/>
      <c r="K1992" s="50"/>
      <c r="L1992" s="50"/>
      <c r="M1992" s="50" t="s">
        <v>12399</v>
      </c>
      <c r="N1992" s="50"/>
      <c r="O1992" s="53" t="s">
        <v>92</v>
      </c>
      <c r="P1992" s="55" t="s">
        <v>12400</v>
      </c>
      <c r="Q1992" s="50">
        <v>2049.0</v>
      </c>
      <c r="R1992" s="50">
        <v>2745.0</v>
      </c>
      <c r="S1992" s="50" t="s">
        <v>219</v>
      </c>
      <c r="T1992" s="56" t="s">
        <v>12419</v>
      </c>
      <c r="U1992" s="53" t="s">
        <v>332</v>
      </c>
    </row>
    <row r="1993">
      <c r="A1993" s="54" t="s">
        <v>12420</v>
      </c>
      <c r="B1993" s="50" t="s">
        <v>12421</v>
      </c>
      <c r="C1993" s="51" t="s">
        <v>8921</v>
      </c>
      <c r="D1993" s="51"/>
      <c r="E1993" s="51"/>
      <c r="F1993" s="51"/>
      <c r="G1993" s="50" t="s">
        <v>12422</v>
      </c>
      <c r="H1993" s="52">
        <v>44683.27290509259</v>
      </c>
      <c r="I1993" s="50"/>
      <c r="J1993" s="50"/>
      <c r="K1993" s="50"/>
      <c r="L1993" s="50"/>
      <c r="M1993" s="50" t="s">
        <v>12423</v>
      </c>
      <c r="N1993" s="50"/>
      <c r="O1993" s="53" t="s">
        <v>70</v>
      </c>
      <c r="P1993" s="55" t="s">
        <v>12424</v>
      </c>
      <c r="Q1993" s="50">
        <v>135.0</v>
      </c>
      <c r="R1993" s="50">
        <v>748.0</v>
      </c>
      <c r="S1993" s="50" t="s">
        <v>12425</v>
      </c>
      <c r="T1993" s="56" t="s">
        <v>12426</v>
      </c>
      <c r="U1993" s="53" t="s">
        <v>8927</v>
      </c>
    </row>
    <row r="1994">
      <c r="A1994" s="54" t="s">
        <v>12427</v>
      </c>
      <c r="B1994" s="50" t="s">
        <v>12428</v>
      </c>
      <c r="C1994" s="51" t="s">
        <v>367</v>
      </c>
      <c r="D1994" s="51"/>
      <c r="E1994" s="51"/>
      <c r="F1994" s="51"/>
      <c r="G1994" s="50" t="s">
        <v>12429</v>
      </c>
      <c r="H1994" s="52">
        <v>44683.27283564815</v>
      </c>
      <c r="I1994" s="50"/>
      <c r="J1994" s="50"/>
      <c r="K1994" s="50"/>
      <c r="L1994" s="50"/>
      <c r="M1994" s="50" t="s">
        <v>12430</v>
      </c>
      <c r="N1994" s="50"/>
      <c r="O1994" s="53" t="s">
        <v>70</v>
      </c>
      <c r="P1994" s="55" t="s">
        <v>12431</v>
      </c>
      <c r="Q1994" s="50">
        <v>73.0</v>
      </c>
      <c r="R1994" s="50">
        <v>777.0</v>
      </c>
      <c r="S1994" s="50" t="s">
        <v>1311</v>
      </c>
      <c r="T1994" s="56" t="s">
        <v>12432</v>
      </c>
      <c r="U1994" s="53" t="s">
        <v>370</v>
      </c>
    </row>
    <row r="1995">
      <c r="A1995" s="54" t="s">
        <v>12433</v>
      </c>
      <c r="B1995" s="50" t="s">
        <v>4389</v>
      </c>
      <c r="C1995" s="51" t="s">
        <v>5328</v>
      </c>
      <c r="D1995" s="51"/>
      <c r="E1995" s="51"/>
      <c r="F1995" s="51"/>
      <c r="G1995" s="50" t="s">
        <v>12434</v>
      </c>
      <c r="H1995" s="52">
        <v>44683.272511574076</v>
      </c>
      <c r="I1995" s="50"/>
      <c r="J1995" s="50"/>
      <c r="K1995" s="50"/>
      <c r="L1995" s="50"/>
      <c r="M1995" s="50" t="s">
        <v>4391</v>
      </c>
      <c r="N1995" s="50"/>
      <c r="O1995" s="53" t="s">
        <v>70</v>
      </c>
      <c r="P1995" s="55" t="s">
        <v>4392</v>
      </c>
      <c r="Q1995" s="50">
        <v>8141.0</v>
      </c>
      <c r="R1995" s="50">
        <v>4878.0</v>
      </c>
      <c r="S1995" s="50" t="s">
        <v>805</v>
      </c>
      <c r="T1995" s="56" t="s">
        <v>12435</v>
      </c>
      <c r="U1995" s="53" t="s">
        <v>5333</v>
      </c>
    </row>
    <row r="1996">
      <c r="A1996" s="54" t="s">
        <v>12436</v>
      </c>
      <c r="B1996" s="50" t="s">
        <v>4389</v>
      </c>
      <c r="C1996" s="51" t="s">
        <v>12437</v>
      </c>
      <c r="D1996" s="51"/>
      <c r="E1996" s="51"/>
      <c r="F1996" s="51"/>
      <c r="G1996" s="50" t="s">
        <v>12438</v>
      </c>
      <c r="H1996" s="52">
        <v>44683.27228009259</v>
      </c>
      <c r="I1996" s="50"/>
      <c r="J1996" s="50"/>
      <c r="K1996" s="50" t="s">
        <v>12439</v>
      </c>
      <c r="L1996" s="50" t="s">
        <v>12440</v>
      </c>
      <c r="M1996" s="50" t="s">
        <v>4391</v>
      </c>
      <c r="N1996" s="50" t="s">
        <v>12441</v>
      </c>
      <c r="O1996" s="53" t="s">
        <v>70</v>
      </c>
      <c r="P1996" s="55" t="s">
        <v>4392</v>
      </c>
      <c r="Q1996" s="50">
        <v>8141.0</v>
      </c>
      <c r="R1996" s="50">
        <v>4878.0</v>
      </c>
      <c r="S1996" s="50" t="s">
        <v>805</v>
      </c>
      <c r="T1996" s="56" t="s">
        <v>12442</v>
      </c>
      <c r="U1996" s="53" t="s">
        <v>12443</v>
      </c>
    </row>
    <row r="1997">
      <c r="A1997" s="54" t="s">
        <v>12444</v>
      </c>
      <c r="B1997" s="50" t="s">
        <v>12445</v>
      </c>
      <c r="C1997" s="51" t="s">
        <v>8921</v>
      </c>
      <c r="D1997" s="51"/>
      <c r="E1997" s="51"/>
      <c r="F1997" s="51"/>
      <c r="G1997" s="50" t="s">
        <v>12446</v>
      </c>
      <c r="H1997" s="52">
        <v>44683.272002314814</v>
      </c>
      <c r="I1997" s="50"/>
      <c r="J1997" s="50"/>
      <c r="K1997" s="50"/>
      <c r="L1997" s="50"/>
      <c r="M1997" s="50" t="s">
        <v>12447</v>
      </c>
      <c r="N1997" s="50"/>
      <c r="O1997" s="53" t="s">
        <v>60</v>
      </c>
      <c r="P1997" s="55" t="s">
        <v>12448</v>
      </c>
      <c r="Q1997" s="50">
        <v>28103.0</v>
      </c>
      <c r="R1997" s="50">
        <v>29483.0</v>
      </c>
      <c r="S1997" s="50" t="s">
        <v>12449</v>
      </c>
      <c r="T1997" s="56" t="s">
        <v>12450</v>
      </c>
      <c r="U1997" s="53" t="s">
        <v>8927</v>
      </c>
    </row>
    <row r="1998">
      <c r="A1998" s="54" t="s">
        <v>12451</v>
      </c>
      <c r="B1998" s="50" t="s">
        <v>12452</v>
      </c>
      <c r="C1998" s="51" t="s">
        <v>316</v>
      </c>
      <c r="D1998" s="51"/>
      <c r="E1998" s="51"/>
      <c r="F1998" s="51"/>
      <c r="G1998" s="50" t="s">
        <v>12453</v>
      </c>
      <c r="H1998" s="52">
        <v>44683.27197916667</v>
      </c>
      <c r="I1998" s="50"/>
      <c r="J1998" s="50"/>
      <c r="K1998" s="50"/>
      <c r="L1998" s="50"/>
      <c r="M1998" s="50" t="s">
        <v>12454</v>
      </c>
      <c r="N1998" s="50"/>
      <c r="O1998" s="53" t="s">
        <v>60</v>
      </c>
      <c r="P1998" s="55" t="s">
        <v>12455</v>
      </c>
      <c r="Q1998" s="50">
        <v>3675.0</v>
      </c>
      <c r="R1998" s="50">
        <v>4060.0</v>
      </c>
      <c r="S1998" s="50" t="s">
        <v>12456</v>
      </c>
      <c r="T1998" s="56" t="s">
        <v>12457</v>
      </c>
      <c r="U1998" s="53" t="s">
        <v>322</v>
      </c>
    </row>
    <row r="1999">
      <c r="A1999" s="54" t="s">
        <v>12458</v>
      </c>
      <c r="B1999" s="50" t="s">
        <v>12094</v>
      </c>
      <c r="C1999" s="51" t="s">
        <v>6828</v>
      </c>
      <c r="D1999" s="51"/>
      <c r="E1999" s="51"/>
      <c r="F1999" s="51"/>
      <c r="G1999" s="50" t="s">
        <v>12459</v>
      </c>
      <c r="H1999" s="52">
        <v>44683.271631944444</v>
      </c>
      <c r="I1999" s="50"/>
      <c r="J1999" s="50"/>
      <c r="K1999" s="50"/>
      <c r="L1999" s="50"/>
      <c r="M1999" s="50" t="s">
        <v>12096</v>
      </c>
      <c r="N1999" s="50"/>
      <c r="O1999" s="53" t="s">
        <v>70</v>
      </c>
      <c r="P1999" s="55" t="s">
        <v>12097</v>
      </c>
      <c r="Q1999" s="50">
        <v>1872.0</v>
      </c>
      <c r="R1999" s="50">
        <v>1225.0</v>
      </c>
      <c r="S1999" s="50" t="s">
        <v>12098</v>
      </c>
      <c r="T1999" s="56" t="s">
        <v>12460</v>
      </c>
      <c r="U1999" s="53" t="s">
        <v>6833</v>
      </c>
    </row>
    <row r="2000">
      <c r="A2000" s="54" t="s">
        <v>12461</v>
      </c>
      <c r="B2000" s="50" t="s">
        <v>12462</v>
      </c>
      <c r="C2000" s="51" t="s">
        <v>367</v>
      </c>
      <c r="D2000" s="51"/>
      <c r="E2000" s="51"/>
      <c r="F2000" s="51"/>
      <c r="G2000" s="50" t="s">
        <v>12463</v>
      </c>
      <c r="H2000" s="52">
        <v>44683.27149305555</v>
      </c>
      <c r="I2000" s="50"/>
      <c r="J2000" s="50"/>
      <c r="K2000" s="50"/>
      <c r="L2000" s="50"/>
      <c r="M2000" s="50" t="s">
        <v>12464</v>
      </c>
      <c r="N2000" s="50"/>
      <c r="O2000" s="53" t="s">
        <v>70</v>
      </c>
      <c r="P2000" s="55" t="s">
        <v>12465</v>
      </c>
      <c r="Q2000" s="50">
        <v>110.0</v>
      </c>
      <c r="R2000" s="50">
        <v>113.0</v>
      </c>
      <c r="S2000" s="50"/>
      <c r="T2000" s="56" t="s">
        <v>12466</v>
      </c>
      <c r="U2000" s="53" t="s">
        <v>370</v>
      </c>
    </row>
    <row r="2001">
      <c r="A2001" s="54" t="s">
        <v>12467</v>
      </c>
      <c r="B2001" s="50" t="s">
        <v>12468</v>
      </c>
      <c r="C2001" s="51" t="s">
        <v>12469</v>
      </c>
      <c r="D2001" s="51"/>
      <c r="E2001" s="51"/>
      <c r="F2001" s="51"/>
      <c r="G2001" s="50" t="s">
        <v>12470</v>
      </c>
      <c r="H2001" s="52">
        <v>44683.27141203704</v>
      </c>
      <c r="I2001" s="50"/>
      <c r="J2001" s="50"/>
      <c r="K2001" s="50" t="s">
        <v>12471</v>
      </c>
      <c r="L2001" s="50" t="s">
        <v>12472</v>
      </c>
      <c r="M2001" s="50" t="s">
        <v>12473</v>
      </c>
      <c r="N2001" s="50" t="s">
        <v>12474</v>
      </c>
      <c r="O2001" s="53" t="s">
        <v>70</v>
      </c>
      <c r="P2001" s="55" t="s">
        <v>12475</v>
      </c>
      <c r="Q2001" s="50">
        <v>1424.0</v>
      </c>
      <c r="R2001" s="50">
        <v>4958.0</v>
      </c>
      <c r="S2001" s="50" t="s">
        <v>12476</v>
      </c>
      <c r="T2001" s="56" t="s">
        <v>12477</v>
      </c>
      <c r="U2001" s="53" t="s">
        <v>12478</v>
      </c>
    </row>
    <row r="2002">
      <c r="A2002" s="54" t="s">
        <v>12479</v>
      </c>
      <c r="B2002" s="50" t="s">
        <v>12480</v>
      </c>
      <c r="C2002" s="51" t="s">
        <v>12481</v>
      </c>
      <c r="D2002" s="51"/>
      <c r="E2002" s="51"/>
      <c r="F2002" s="51"/>
      <c r="G2002" s="50" t="s">
        <v>12482</v>
      </c>
      <c r="H2002" s="52">
        <v>44683.27030092593</v>
      </c>
      <c r="I2002" s="50"/>
      <c r="J2002" s="50"/>
      <c r="K2002" s="50"/>
      <c r="L2002" s="50"/>
      <c r="M2002" s="50" t="s">
        <v>12483</v>
      </c>
      <c r="N2002" s="50"/>
      <c r="O2002" s="53" t="s">
        <v>60</v>
      </c>
      <c r="P2002" s="55" t="s">
        <v>12484</v>
      </c>
      <c r="Q2002" s="50">
        <v>9020.0</v>
      </c>
      <c r="R2002" s="50">
        <v>9110.0</v>
      </c>
      <c r="S2002" s="50" t="s">
        <v>12485</v>
      </c>
      <c r="T2002" s="56" t="s">
        <v>12486</v>
      </c>
      <c r="U2002" s="53" t="s">
        <v>12487</v>
      </c>
    </row>
    <row r="2003">
      <c r="A2003" s="54" t="s">
        <v>12488</v>
      </c>
      <c r="B2003" s="50" t="s">
        <v>12489</v>
      </c>
      <c r="C2003" s="51" t="s">
        <v>12490</v>
      </c>
      <c r="D2003" s="51"/>
      <c r="E2003" s="51"/>
      <c r="F2003" s="51"/>
      <c r="G2003" s="50" t="s">
        <v>12491</v>
      </c>
      <c r="H2003" s="52">
        <v>44683.26939814815</v>
      </c>
      <c r="I2003" s="50"/>
      <c r="J2003" s="50"/>
      <c r="K2003" s="50" t="s">
        <v>12492</v>
      </c>
      <c r="L2003" s="50" t="s">
        <v>12493</v>
      </c>
      <c r="M2003" s="50" t="s">
        <v>12494</v>
      </c>
      <c r="N2003" s="50" t="s">
        <v>12495</v>
      </c>
      <c r="O2003" s="53" t="s">
        <v>92</v>
      </c>
      <c r="P2003" s="55" t="s">
        <v>12496</v>
      </c>
      <c r="Q2003" s="50">
        <v>84.0</v>
      </c>
      <c r="R2003" s="50">
        <v>117.0</v>
      </c>
      <c r="S2003" s="50" t="s">
        <v>219</v>
      </c>
      <c r="T2003" s="56" t="s">
        <v>12497</v>
      </c>
      <c r="U2003" s="53" t="s">
        <v>12498</v>
      </c>
    </row>
    <row r="2004">
      <c r="A2004" s="54" t="s">
        <v>12499</v>
      </c>
      <c r="B2004" s="50" t="s">
        <v>12500</v>
      </c>
      <c r="C2004" s="51" t="s">
        <v>367</v>
      </c>
      <c r="D2004" s="51"/>
      <c r="E2004" s="51"/>
      <c r="F2004" s="51"/>
      <c r="G2004" s="50" t="s">
        <v>12501</v>
      </c>
      <c r="H2004" s="52">
        <v>44683.26923611111</v>
      </c>
      <c r="I2004" s="50"/>
      <c r="J2004" s="50"/>
      <c r="K2004" s="50"/>
      <c r="L2004" s="50"/>
      <c r="M2004" s="50" t="s">
        <v>12502</v>
      </c>
      <c r="N2004" s="50"/>
      <c r="O2004" s="53" t="s">
        <v>92</v>
      </c>
      <c r="P2004" s="55" t="s">
        <v>12503</v>
      </c>
      <c r="Q2004" s="50">
        <v>79.0</v>
      </c>
      <c r="R2004" s="50">
        <v>188.0</v>
      </c>
      <c r="S2004" s="50"/>
      <c r="T2004" s="56" t="s">
        <v>12504</v>
      </c>
      <c r="U2004" s="53" t="s">
        <v>370</v>
      </c>
    </row>
    <row r="2005">
      <c r="A2005" s="54" t="s">
        <v>12505</v>
      </c>
      <c r="B2005" s="50" t="s">
        <v>12506</v>
      </c>
      <c r="C2005" s="51" t="s">
        <v>12507</v>
      </c>
      <c r="D2005" s="51"/>
      <c r="E2005" s="51"/>
      <c r="F2005" s="51"/>
      <c r="G2005" s="50" t="s">
        <v>12508</v>
      </c>
      <c r="H2005" s="52">
        <v>44683.26913194444</v>
      </c>
      <c r="I2005" s="50"/>
      <c r="J2005" s="50"/>
      <c r="K2005" s="50" t="s">
        <v>12509</v>
      </c>
      <c r="L2005" s="50" t="s">
        <v>12510</v>
      </c>
      <c r="M2005" s="50" t="s">
        <v>12511</v>
      </c>
      <c r="N2005" s="50" t="s">
        <v>12512</v>
      </c>
      <c r="O2005" s="53" t="s">
        <v>92</v>
      </c>
      <c r="P2005" s="55" t="s">
        <v>12513</v>
      </c>
      <c r="Q2005" s="50">
        <v>172.0</v>
      </c>
      <c r="R2005" s="50">
        <v>68.0</v>
      </c>
      <c r="S2005" s="50" t="s">
        <v>2833</v>
      </c>
      <c r="T2005" s="56" t="s">
        <v>12514</v>
      </c>
      <c r="U2005" s="53" t="s">
        <v>12515</v>
      </c>
    </row>
    <row r="2006">
      <c r="A2006" s="54" t="s">
        <v>12516</v>
      </c>
      <c r="B2006" s="50" t="s">
        <v>12517</v>
      </c>
      <c r="C2006" s="51" t="s">
        <v>12518</v>
      </c>
      <c r="D2006" s="51"/>
      <c r="E2006" s="51"/>
      <c r="F2006" s="51"/>
      <c r="G2006" s="50" t="s">
        <v>12519</v>
      </c>
      <c r="H2006" s="52">
        <v>44683.26902777777</v>
      </c>
      <c r="I2006" s="50"/>
      <c r="J2006" s="50"/>
      <c r="K2006" s="50"/>
      <c r="L2006" s="50"/>
      <c r="M2006" s="50" t="s">
        <v>12520</v>
      </c>
      <c r="N2006" s="50"/>
      <c r="O2006" s="53" t="s">
        <v>92</v>
      </c>
      <c r="P2006" s="55" t="s">
        <v>12521</v>
      </c>
      <c r="Q2006" s="50">
        <v>3287.0</v>
      </c>
      <c r="R2006" s="50">
        <v>2090.0</v>
      </c>
      <c r="S2006" s="50" t="s">
        <v>12522</v>
      </c>
      <c r="T2006" s="56" t="s">
        <v>12523</v>
      </c>
      <c r="U2006" s="53" t="s">
        <v>12524</v>
      </c>
    </row>
    <row r="2007">
      <c r="A2007" s="54" t="s">
        <v>12525</v>
      </c>
      <c r="B2007" s="50" t="s">
        <v>12094</v>
      </c>
      <c r="C2007" s="51" t="s">
        <v>1209</v>
      </c>
      <c r="D2007" s="51"/>
      <c r="E2007" s="51"/>
      <c r="F2007" s="51"/>
      <c r="G2007" s="50" t="s">
        <v>12526</v>
      </c>
      <c r="H2007" s="52">
        <v>44683.26892361111</v>
      </c>
      <c r="I2007" s="50"/>
      <c r="J2007" s="50"/>
      <c r="K2007" s="50"/>
      <c r="L2007" s="50"/>
      <c r="M2007" s="50" t="s">
        <v>12096</v>
      </c>
      <c r="N2007" s="50"/>
      <c r="O2007" s="53" t="s">
        <v>70</v>
      </c>
      <c r="P2007" s="55" t="s">
        <v>12097</v>
      </c>
      <c r="Q2007" s="50">
        <v>1872.0</v>
      </c>
      <c r="R2007" s="50">
        <v>1225.0</v>
      </c>
      <c r="S2007" s="50" t="s">
        <v>12098</v>
      </c>
      <c r="T2007" s="56" t="s">
        <v>12527</v>
      </c>
      <c r="U2007" s="53" t="s">
        <v>1214</v>
      </c>
    </row>
    <row r="2008">
      <c r="A2008" s="54" t="s">
        <v>12528</v>
      </c>
      <c r="B2008" s="50" t="s">
        <v>12468</v>
      </c>
      <c r="C2008" s="51" t="s">
        <v>12529</v>
      </c>
      <c r="D2008" s="51"/>
      <c r="E2008" s="51"/>
      <c r="F2008" s="51"/>
      <c r="G2008" s="50" t="s">
        <v>12530</v>
      </c>
      <c r="H2008" s="52">
        <v>44683.26876157407</v>
      </c>
      <c r="I2008" s="50"/>
      <c r="J2008" s="50"/>
      <c r="K2008" s="50"/>
      <c r="L2008" s="50"/>
      <c r="M2008" s="50" t="s">
        <v>12473</v>
      </c>
      <c r="N2008" s="50"/>
      <c r="O2008" s="53" t="s">
        <v>70</v>
      </c>
      <c r="P2008" s="55" t="s">
        <v>12475</v>
      </c>
      <c r="Q2008" s="50">
        <v>1424.0</v>
      </c>
      <c r="R2008" s="50">
        <v>4958.0</v>
      </c>
      <c r="S2008" s="50" t="s">
        <v>12476</v>
      </c>
      <c r="T2008" s="56" t="s">
        <v>12531</v>
      </c>
      <c r="U2008" s="53" t="s">
        <v>12532</v>
      </c>
    </row>
    <row r="2009">
      <c r="A2009" s="54" t="s">
        <v>12533</v>
      </c>
      <c r="B2009" s="50" t="s">
        <v>12534</v>
      </c>
      <c r="C2009" s="51" t="s">
        <v>1803</v>
      </c>
      <c r="D2009" s="51"/>
      <c r="E2009" s="51"/>
      <c r="F2009" s="51"/>
      <c r="G2009" s="50" t="s">
        <v>12535</v>
      </c>
      <c r="H2009" s="52">
        <v>44683.268645833334</v>
      </c>
      <c r="I2009" s="50"/>
      <c r="J2009" s="50"/>
      <c r="K2009" s="50"/>
      <c r="L2009" s="50"/>
      <c r="M2009" s="50" t="s">
        <v>12536</v>
      </c>
      <c r="N2009" s="50"/>
      <c r="O2009" s="53" t="s">
        <v>70</v>
      </c>
      <c r="P2009" s="55" t="s">
        <v>12537</v>
      </c>
      <c r="Q2009" s="50">
        <v>6797.0</v>
      </c>
      <c r="R2009" s="50">
        <v>7346.0</v>
      </c>
      <c r="S2009" s="50" t="s">
        <v>12538</v>
      </c>
      <c r="T2009" s="56" t="s">
        <v>12539</v>
      </c>
      <c r="U2009" s="53" t="s">
        <v>1809</v>
      </c>
    </row>
    <row r="2010">
      <c r="A2010" s="54" t="s">
        <v>12540</v>
      </c>
      <c r="B2010" s="50" t="s">
        <v>12094</v>
      </c>
      <c r="C2010" s="51" t="s">
        <v>316</v>
      </c>
      <c r="D2010" s="51"/>
      <c r="E2010" s="51"/>
      <c r="F2010" s="51"/>
      <c r="G2010" s="50" t="s">
        <v>12541</v>
      </c>
      <c r="H2010" s="52">
        <v>44683.26849537037</v>
      </c>
      <c r="I2010" s="50"/>
      <c r="J2010" s="50"/>
      <c r="K2010" s="50"/>
      <c r="L2010" s="50"/>
      <c r="M2010" s="50" t="s">
        <v>12096</v>
      </c>
      <c r="N2010" s="50"/>
      <c r="O2010" s="53" t="s">
        <v>70</v>
      </c>
      <c r="P2010" s="55" t="s">
        <v>12097</v>
      </c>
      <c r="Q2010" s="50">
        <v>1872.0</v>
      </c>
      <c r="R2010" s="50">
        <v>1225.0</v>
      </c>
      <c r="S2010" s="50" t="s">
        <v>12098</v>
      </c>
      <c r="T2010" s="56" t="s">
        <v>12542</v>
      </c>
      <c r="U2010" s="53" t="s">
        <v>322</v>
      </c>
    </row>
    <row r="2011">
      <c r="A2011" s="54" t="s">
        <v>12543</v>
      </c>
      <c r="B2011" s="50" t="s">
        <v>12468</v>
      </c>
      <c r="C2011" s="51" t="s">
        <v>12544</v>
      </c>
      <c r="D2011" s="51"/>
      <c r="E2011" s="51"/>
      <c r="F2011" s="51"/>
      <c r="G2011" s="50" t="s">
        <v>12545</v>
      </c>
      <c r="H2011" s="52">
        <v>44683.268425925926</v>
      </c>
      <c r="I2011" s="50"/>
      <c r="J2011" s="50"/>
      <c r="K2011" s="50" t="s">
        <v>12546</v>
      </c>
      <c r="L2011" s="50" t="s">
        <v>12547</v>
      </c>
      <c r="M2011" s="50" t="s">
        <v>12473</v>
      </c>
      <c r="N2011" s="50" t="s">
        <v>12548</v>
      </c>
      <c r="O2011" s="53" t="s">
        <v>70</v>
      </c>
      <c r="P2011" s="55" t="s">
        <v>12475</v>
      </c>
      <c r="Q2011" s="50">
        <v>1424.0</v>
      </c>
      <c r="R2011" s="50">
        <v>4958.0</v>
      </c>
      <c r="S2011" s="50" t="s">
        <v>12476</v>
      </c>
      <c r="T2011" s="56" t="s">
        <v>12549</v>
      </c>
      <c r="U2011" s="53" t="s">
        <v>12550</v>
      </c>
    </row>
    <row r="2012">
      <c r="A2012" s="54" t="s">
        <v>12551</v>
      </c>
      <c r="B2012" s="50" t="s">
        <v>12094</v>
      </c>
      <c r="C2012" s="51" t="s">
        <v>329</v>
      </c>
      <c r="D2012" s="51"/>
      <c r="E2012" s="51"/>
      <c r="F2012" s="51"/>
      <c r="G2012" s="50" t="s">
        <v>12552</v>
      </c>
      <c r="H2012" s="52">
        <v>44683.268414351856</v>
      </c>
      <c r="I2012" s="50"/>
      <c r="J2012" s="50"/>
      <c r="K2012" s="50"/>
      <c r="L2012" s="50"/>
      <c r="M2012" s="50" t="s">
        <v>12096</v>
      </c>
      <c r="N2012" s="50"/>
      <c r="O2012" s="53" t="s">
        <v>70</v>
      </c>
      <c r="P2012" s="55" t="s">
        <v>12097</v>
      </c>
      <c r="Q2012" s="50">
        <v>1872.0</v>
      </c>
      <c r="R2012" s="50">
        <v>1225.0</v>
      </c>
      <c r="S2012" s="50" t="s">
        <v>12098</v>
      </c>
      <c r="T2012" s="56" t="s">
        <v>12553</v>
      </c>
      <c r="U2012" s="53" t="s">
        <v>332</v>
      </c>
    </row>
    <row r="2013">
      <c r="A2013" s="54" t="s">
        <v>12554</v>
      </c>
      <c r="B2013" s="50" t="s">
        <v>12094</v>
      </c>
      <c r="C2013" s="51" t="s">
        <v>335</v>
      </c>
      <c r="D2013" s="51"/>
      <c r="E2013" s="51"/>
      <c r="F2013" s="51"/>
      <c r="G2013" s="50" t="s">
        <v>12555</v>
      </c>
      <c r="H2013" s="52">
        <v>44683.26834490741</v>
      </c>
      <c r="I2013" s="50"/>
      <c r="J2013" s="50"/>
      <c r="K2013" s="50"/>
      <c r="L2013" s="50"/>
      <c r="M2013" s="50" t="s">
        <v>12096</v>
      </c>
      <c r="N2013" s="50"/>
      <c r="O2013" s="53" t="s">
        <v>70</v>
      </c>
      <c r="P2013" s="55" t="s">
        <v>12097</v>
      </c>
      <c r="Q2013" s="50">
        <v>1872.0</v>
      </c>
      <c r="R2013" s="50">
        <v>1225.0</v>
      </c>
      <c r="S2013" s="50" t="s">
        <v>12098</v>
      </c>
      <c r="T2013" s="56" t="s">
        <v>12556</v>
      </c>
      <c r="U2013" s="53" t="s">
        <v>339</v>
      </c>
    </row>
    <row r="2014">
      <c r="A2014" s="54" t="s">
        <v>12557</v>
      </c>
      <c r="B2014" s="50" t="s">
        <v>12094</v>
      </c>
      <c r="C2014" s="51" t="s">
        <v>363</v>
      </c>
      <c r="D2014" s="51"/>
      <c r="E2014" s="51"/>
      <c r="F2014" s="51"/>
      <c r="G2014" s="50" t="s">
        <v>12558</v>
      </c>
      <c r="H2014" s="52">
        <v>44683.268171296295</v>
      </c>
      <c r="I2014" s="50"/>
      <c r="J2014" s="50"/>
      <c r="K2014" s="50"/>
      <c r="L2014" s="50"/>
      <c r="M2014" s="50" t="s">
        <v>12096</v>
      </c>
      <c r="N2014" s="50"/>
      <c r="O2014" s="53" t="s">
        <v>70</v>
      </c>
      <c r="P2014" s="55" t="s">
        <v>12097</v>
      </c>
      <c r="Q2014" s="50">
        <v>1872.0</v>
      </c>
      <c r="R2014" s="50">
        <v>1225.0</v>
      </c>
      <c r="S2014" s="50" t="s">
        <v>12098</v>
      </c>
      <c r="T2014" s="56" t="s">
        <v>12559</v>
      </c>
      <c r="U2014" s="53" t="s">
        <v>332</v>
      </c>
    </row>
    <row r="2015">
      <c r="A2015" s="54" t="s">
        <v>12560</v>
      </c>
      <c r="B2015" s="50" t="s">
        <v>3523</v>
      </c>
      <c r="C2015" s="51" t="s">
        <v>12561</v>
      </c>
      <c r="D2015" s="51"/>
      <c r="E2015" s="51"/>
      <c r="F2015" s="51"/>
      <c r="G2015" s="50" t="s">
        <v>12562</v>
      </c>
      <c r="H2015" s="52">
        <v>44683.268159722225</v>
      </c>
      <c r="I2015" s="50"/>
      <c r="J2015" s="50"/>
      <c r="K2015" s="50"/>
      <c r="L2015" s="50"/>
      <c r="M2015" s="50" t="s">
        <v>3526</v>
      </c>
      <c r="N2015" s="50"/>
      <c r="O2015" s="53" t="s">
        <v>60</v>
      </c>
      <c r="P2015" s="55" t="s">
        <v>3527</v>
      </c>
      <c r="Q2015" s="50">
        <v>105.0</v>
      </c>
      <c r="R2015" s="50">
        <v>202.0</v>
      </c>
      <c r="S2015" s="50" t="s">
        <v>3528</v>
      </c>
      <c r="T2015" s="56" t="s">
        <v>12563</v>
      </c>
      <c r="U2015" s="53" t="s">
        <v>12564</v>
      </c>
    </row>
    <row r="2016">
      <c r="A2016" s="54" t="s">
        <v>12565</v>
      </c>
      <c r="B2016" s="50" t="s">
        <v>12566</v>
      </c>
      <c r="C2016" s="51" t="s">
        <v>367</v>
      </c>
      <c r="D2016" s="51"/>
      <c r="E2016" s="51"/>
      <c r="F2016" s="51"/>
      <c r="G2016" s="50" t="s">
        <v>12567</v>
      </c>
      <c r="H2016" s="52">
        <v>44683.26809027778</v>
      </c>
      <c r="I2016" s="50"/>
      <c r="J2016" s="50"/>
      <c r="K2016" s="50"/>
      <c r="L2016" s="50"/>
      <c r="M2016" s="50" t="s">
        <v>12568</v>
      </c>
      <c r="N2016" s="50"/>
      <c r="O2016" s="53" t="s">
        <v>92</v>
      </c>
      <c r="P2016" s="55" t="s">
        <v>12569</v>
      </c>
      <c r="Q2016" s="50">
        <v>13945.0</v>
      </c>
      <c r="R2016" s="50">
        <v>12600.0</v>
      </c>
      <c r="S2016" s="50" t="s">
        <v>2833</v>
      </c>
      <c r="T2016" s="56" t="s">
        <v>12570</v>
      </c>
      <c r="U2016" s="53" t="s">
        <v>370</v>
      </c>
    </row>
    <row r="2017">
      <c r="A2017" s="54" t="s">
        <v>12571</v>
      </c>
      <c r="B2017" s="50" t="s">
        <v>12572</v>
      </c>
      <c r="C2017" s="51" t="s">
        <v>367</v>
      </c>
      <c r="D2017" s="51"/>
      <c r="E2017" s="51"/>
      <c r="F2017" s="51"/>
      <c r="G2017" s="50" t="s">
        <v>12573</v>
      </c>
      <c r="H2017" s="52">
        <v>44683.26729166666</v>
      </c>
      <c r="I2017" s="50"/>
      <c r="J2017" s="50"/>
      <c r="K2017" s="50"/>
      <c r="L2017" s="50"/>
      <c r="M2017" s="50" t="s">
        <v>12574</v>
      </c>
      <c r="N2017" s="50"/>
      <c r="O2017" s="53" t="s">
        <v>92</v>
      </c>
      <c r="P2017" s="55" t="s">
        <v>12575</v>
      </c>
      <c r="Q2017" s="50">
        <v>1738.0</v>
      </c>
      <c r="R2017" s="50">
        <v>2323.0</v>
      </c>
      <c r="S2017" s="50"/>
      <c r="T2017" s="56" t="s">
        <v>12576</v>
      </c>
      <c r="U2017" s="53" t="s">
        <v>370</v>
      </c>
    </row>
    <row r="2018">
      <c r="A2018" s="54" t="s">
        <v>12577</v>
      </c>
      <c r="B2018" s="50" t="s">
        <v>12578</v>
      </c>
      <c r="C2018" s="51" t="s">
        <v>12579</v>
      </c>
      <c r="D2018" s="51"/>
      <c r="E2018" s="51"/>
      <c r="F2018" s="51"/>
      <c r="G2018" s="50" t="s">
        <v>12580</v>
      </c>
      <c r="H2018" s="52">
        <v>44683.26712962963</v>
      </c>
      <c r="I2018" s="50"/>
      <c r="J2018" s="50"/>
      <c r="K2018" s="50"/>
      <c r="L2018" s="50"/>
      <c r="M2018" s="50" t="s">
        <v>12581</v>
      </c>
      <c r="N2018" s="50"/>
      <c r="O2018" s="53" t="s">
        <v>70</v>
      </c>
      <c r="P2018" s="55" t="s">
        <v>12582</v>
      </c>
      <c r="Q2018" s="50">
        <v>583.0</v>
      </c>
      <c r="R2018" s="50">
        <v>651.0</v>
      </c>
      <c r="S2018" s="50" t="s">
        <v>12583</v>
      </c>
      <c r="T2018" s="56" t="s">
        <v>12584</v>
      </c>
      <c r="U2018" s="53" t="s">
        <v>12585</v>
      </c>
    </row>
    <row r="2019">
      <c r="A2019" s="54" t="s">
        <v>12586</v>
      </c>
      <c r="B2019" s="50" t="s">
        <v>12587</v>
      </c>
      <c r="C2019" s="51" t="s">
        <v>367</v>
      </c>
      <c r="D2019" s="51"/>
      <c r="E2019" s="51"/>
      <c r="F2019" s="51"/>
      <c r="G2019" s="50" t="s">
        <v>12588</v>
      </c>
      <c r="H2019" s="52">
        <v>44683.266643518524</v>
      </c>
      <c r="I2019" s="50"/>
      <c r="J2019" s="50"/>
      <c r="K2019" s="50"/>
      <c r="L2019" s="50"/>
      <c r="M2019" s="50" t="s">
        <v>12589</v>
      </c>
      <c r="N2019" s="50"/>
      <c r="O2019" s="53" t="s">
        <v>1070</v>
      </c>
      <c r="P2019" s="55" t="s">
        <v>12590</v>
      </c>
      <c r="Q2019" s="50">
        <v>24.0</v>
      </c>
      <c r="R2019" s="50">
        <v>305.0</v>
      </c>
      <c r="S2019" s="50"/>
      <c r="T2019" s="56" t="s">
        <v>12591</v>
      </c>
      <c r="U2019" s="53" t="s">
        <v>370</v>
      </c>
    </row>
    <row r="2020">
      <c r="A2020" s="54" t="s">
        <v>12592</v>
      </c>
      <c r="B2020" s="50" t="s">
        <v>12593</v>
      </c>
      <c r="C2020" s="51" t="s">
        <v>367</v>
      </c>
      <c r="D2020" s="51"/>
      <c r="E2020" s="51"/>
      <c r="F2020" s="51"/>
      <c r="G2020" s="50" t="s">
        <v>12594</v>
      </c>
      <c r="H2020" s="52">
        <v>44683.266493055555</v>
      </c>
      <c r="I2020" s="50"/>
      <c r="J2020" s="50"/>
      <c r="K2020" s="50"/>
      <c r="L2020" s="50"/>
      <c r="M2020" s="50" t="s">
        <v>12595</v>
      </c>
      <c r="N2020" s="50"/>
      <c r="O2020" s="53" t="s">
        <v>60</v>
      </c>
      <c r="P2020" s="55" t="s">
        <v>12596</v>
      </c>
      <c r="Q2020" s="50">
        <v>1539.0</v>
      </c>
      <c r="R2020" s="50">
        <v>2302.0</v>
      </c>
      <c r="S2020" s="50" t="s">
        <v>12597</v>
      </c>
      <c r="T2020" s="56" t="s">
        <v>12598</v>
      </c>
      <c r="U2020" s="53" t="s">
        <v>370</v>
      </c>
    </row>
    <row r="2021">
      <c r="A2021" s="54" t="s">
        <v>12599</v>
      </c>
      <c r="B2021" s="50" t="s">
        <v>12600</v>
      </c>
      <c r="C2021" s="51" t="s">
        <v>367</v>
      </c>
      <c r="D2021" s="51"/>
      <c r="E2021" s="51"/>
      <c r="F2021" s="51"/>
      <c r="G2021" s="50" t="s">
        <v>12601</v>
      </c>
      <c r="H2021" s="52">
        <v>44683.266435185185</v>
      </c>
      <c r="I2021" s="50"/>
      <c r="J2021" s="50"/>
      <c r="K2021" s="50"/>
      <c r="L2021" s="50"/>
      <c r="M2021" s="50" t="s">
        <v>12602</v>
      </c>
      <c r="N2021" s="50"/>
      <c r="O2021" s="53" t="s">
        <v>92</v>
      </c>
      <c r="P2021" s="55" t="s">
        <v>12603</v>
      </c>
      <c r="Q2021" s="50">
        <v>1326.0</v>
      </c>
      <c r="R2021" s="50">
        <v>1046.0</v>
      </c>
      <c r="S2021" s="50"/>
      <c r="T2021" s="56" t="s">
        <v>12604</v>
      </c>
      <c r="U2021" s="53" t="s">
        <v>370</v>
      </c>
    </row>
    <row r="2022">
      <c r="A2022" s="54" t="s">
        <v>12605</v>
      </c>
      <c r="B2022" s="50" t="s">
        <v>12094</v>
      </c>
      <c r="C2022" s="51" t="s">
        <v>367</v>
      </c>
      <c r="D2022" s="51"/>
      <c r="E2022" s="51"/>
      <c r="F2022" s="51"/>
      <c r="G2022" s="50" t="s">
        <v>12606</v>
      </c>
      <c r="H2022" s="52">
        <v>44683.26609953704</v>
      </c>
      <c r="I2022" s="50"/>
      <c r="J2022" s="50"/>
      <c r="K2022" s="50"/>
      <c r="L2022" s="50"/>
      <c r="M2022" s="50" t="s">
        <v>12096</v>
      </c>
      <c r="N2022" s="50"/>
      <c r="O2022" s="53" t="s">
        <v>70</v>
      </c>
      <c r="P2022" s="55" t="s">
        <v>12097</v>
      </c>
      <c r="Q2022" s="50">
        <v>1872.0</v>
      </c>
      <c r="R2022" s="50">
        <v>1225.0</v>
      </c>
      <c r="S2022" s="50" t="s">
        <v>12098</v>
      </c>
      <c r="T2022" s="56" t="s">
        <v>12607</v>
      </c>
      <c r="U2022" s="53" t="s">
        <v>370</v>
      </c>
    </row>
    <row r="2023">
      <c r="A2023" s="54" t="s">
        <v>12608</v>
      </c>
      <c r="B2023" s="50" t="s">
        <v>12609</v>
      </c>
      <c r="C2023" s="51" t="s">
        <v>367</v>
      </c>
      <c r="D2023" s="51"/>
      <c r="E2023" s="51"/>
      <c r="F2023" s="51"/>
      <c r="G2023" s="50" t="s">
        <v>12610</v>
      </c>
      <c r="H2023" s="52">
        <v>44683.265868055554</v>
      </c>
      <c r="I2023" s="50"/>
      <c r="J2023" s="50"/>
      <c r="K2023" s="50"/>
      <c r="L2023" s="50"/>
      <c r="M2023" s="50" t="s">
        <v>12611</v>
      </c>
      <c r="N2023" s="50"/>
      <c r="O2023" s="53" t="s">
        <v>92</v>
      </c>
      <c r="P2023" s="55" t="s">
        <v>12612</v>
      </c>
      <c r="Q2023" s="50">
        <v>35.0</v>
      </c>
      <c r="R2023" s="50">
        <v>166.0</v>
      </c>
      <c r="S2023" s="50"/>
      <c r="T2023" s="56" t="s">
        <v>12613</v>
      </c>
      <c r="U2023" s="53" t="s">
        <v>370</v>
      </c>
    </row>
    <row r="2024">
      <c r="A2024" s="54" t="s">
        <v>12614</v>
      </c>
      <c r="B2024" s="50" t="s">
        <v>12615</v>
      </c>
      <c r="C2024" s="51" t="s">
        <v>8049</v>
      </c>
      <c r="D2024" s="51"/>
      <c r="E2024" s="51"/>
      <c r="F2024" s="51"/>
      <c r="G2024" s="50" t="s">
        <v>12616</v>
      </c>
      <c r="H2024" s="52">
        <v>44683.26556712963</v>
      </c>
      <c r="I2024" s="50"/>
      <c r="J2024" s="50"/>
      <c r="K2024" s="50"/>
      <c r="L2024" s="50"/>
      <c r="M2024" s="50" t="s">
        <v>12617</v>
      </c>
      <c r="N2024" s="50"/>
      <c r="O2024" s="53" t="s">
        <v>60</v>
      </c>
      <c r="P2024" s="55" t="s">
        <v>354</v>
      </c>
      <c r="Q2024" s="50">
        <v>5997.0</v>
      </c>
      <c r="R2024" s="50">
        <v>6300.0</v>
      </c>
      <c r="S2024" s="50" t="s">
        <v>12618</v>
      </c>
      <c r="T2024" s="56" t="s">
        <v>12619</v>
      </c>
      <c r="U2024" s="53" t="s">
        <v>8054</v>
      </c>
    </row>
    <row r="2025">
      <c r="A2025" s="54" t="s">
        <v>12620</v>
      </c>
      <c r="B2025" s="50" t="s">
        <v>12621</v>
      </c>
      <c r="C2025" s="51" t="s">
        <v>363</v>
      </c>
      <c r="D2025" s="51"/>
      <c r="E2025" s="51"/>
      <c r="F2025" s="51"/>
      <c r="G2025" s="50" t="s">
        <v>12622</v>
      </c>
      <c r="H2025" s="52">
        <v>44683.26537037037</v>
      </c>
      <c r="I2025" s="50"/>
      <c r="J2025" s="50"/>
      <c r="K2025" s="50"/>
      <c r="L2025" s="50"/>
      <c r="M2025" s="50" t="s">
        <v>12623</v>
      </c>
      <c r="N2025" s="50"/>
      <c r="O2025" s="53" t="s">
        <v>60</v>
      </c>
      <c r="P2025" s="55" t="s">
        <v>12624</v>
      </c>
      <c r="Q2025" s="50">
        <v>835.0</v>
      </c>
      <c r="R2025" s="50">
        <v>1318.0</v>
      </c>
      <c r="S2025" s="50" t="s">
        <v>12625</v>
      </c>
      <c r="T2025" s="56" t="s">
        <v>12626</v>
      </c>
      <c r="U2025" s="53" t="s">
        <v>332</v>
      </c>
    </row>
    <row r="2026">
      <c r="A2026" s="54" t="s">
        <v>12627</v>
      </c>
      <c r="B2026" s="50" t="s">
        <v>12628</v>
      </c>
      <c r="C2026" s="51" t="s">
        <v>316</v>
      </c>
      <c r="D2026" s="51"/>
      <c r="E2026" s="51"/>
      <c r="F2026" s="51"/>
      <c r="G2026" s="50" t="s">
        <v>12629</v>
      </c>
      <c r="H2026" s="52">
        <v>44683.26523148148</v>
      </c>
      <c r="I2026" s="50"/>
      <c r="J2026" s="50"/>
      <c r="K2026" s="50"/>
      <c r="L2026" s="50"/>
      <c r="M2026" s="50" t="s">
        <v>12630</v>
      </c>
      <c r="N2026" s="50"/>
      <c r="O2026" s="53" t="s">
        <v>217</v>
      </c>
      <c r="P2026" s="55" t="s">
        <v>12631</v>
      </c>
      <c r="Q2026" s="50">
        <v>893.0</v>
      </c>
      <c r="R2026" s="50">
        <v>779.0</v>
      </c>
      <c r="S2026" s="50" t="s">
        <v>12632</v>
      </c>
      <c r="T2026" s="56" t="s">
        <v>12633</v>
      </c>
      <c r="U2026" s="53" t="s">
        <v>322</v>
      </c>
    </row>
    <row r="2027">
      <c r="A2027" s="54" t="s">
        <v>12634</v>
      </c>
      <c r="B2027" s="50" t="s">
        <v>12635</v>
      </c>
      <c r="C2027" s="51" t="s">
        <v>367</v>
      </c>
      <c r="D2027" s="51"/>
      <c r="E2027" s="51"/>
      <c r="F2027" s="51"/>
      <c r="G2027" s="50" t="s">
        <v>12636</v>
      </c>
      <c r="H2027" s="52">
        <v>44683.264652777776</v>
      </c>
      <c r="I2027" s="50"/>
      <c r="J2027" s="50"/>
      <c r="K2027" s="50"/>
      <c r="L2027" s="50"/>
      <c r="M2027" s="50" t="s">
        <v>12637</v>
      </c>
      <c r="N2027" s="50"/>
      <c r="O2027" s="53" t="s">
        <v>70</v>
      </c>
      <c r="P2027" s="55" t="s">
        <v>12638</v>
      </c>
      <c r="Q2027" s="50">
        <v>4565.0</v>
      </c>
      <c r="R2027" s="50">
        <v>4995.0</v>
      </c>
      <c r="S2027" s="50" t="s">
        <v>12639</v>
      </c>
      <c r="T2027" s="56" t="s">
        <v>12640</v>
      </c>
      <c r="U2027" s="53" t="s">
        <v>370</v>
      </c>
    </row>
    <row r="2028">
      <c r="A2028" s="54" t="s">
        <v>12641</v>
      </c>
      <c r="B2028" s="50" t="s">
        <v>12642</v>
      </c>
      <c r="C2028" s="51" t="s">
        <v>329</v>
      </c>
      <c r="D2028" s="51"/>
      <c r="E2028" s="51"/>
      <c r="F2028" s="51"/>
      <c r="G2028" s="50" t="s">
        <v>12643</v>
      </c>
      <c r="H2028" s="52">
        <v>44683.263715277775</v>
      </c>
      <c r="I2028" s="50"/>
      <c r="J2028" s="50"/>
      <c r="K2028" s="50"/>
      <c r="L2028" s="50"/>
      <c r="M2028" s="50" t="s">
        <v>12644</v>
      </c>
      <c r="N2028" s="50"/>
      <c r="O2028" s="53" t="s">
        <v>70</v>
      </c>
      <c r="P2028" s="55" t="s">
        <v>12645</v>
      </c>
      <c r="Q2028" s="50">
        <v>4574.0</v>
      </c>
      <c r="R2028" s="50">
        <v>2655.0</v>
      </c>
      <c r="S2028" s="50" t="s">
        <v>12646</v>
      </c>
      <c r="T2028" s="56" t="s">
        <v>12647</v>
      </c>
      <c r="U2028" s="53" t="s">
        <v>332</v>
      </c>
    </row>
    <row r="2029">
      <c r="A2029" s="54" t="s">
        <v>12648</v>
      </c>
      <c r="B2029" s="50" t="s">
        <v>12649</v>
      </c>
      <c r="C2029" s="51" t="s">
        <v>367</v>
      </c>
      <c r="D2029" s="51"/>
      <c r="E2029" s="51"/>
      <c r="F2029" s="51"/>
      <c r="G2029" s="50" t="s">
        <v>12650</v>
      </c>
      <c r="H2029" s="52">
        <v>44683.26349537037</v>
      </c>
      <c r="I2029" s="50"/>
      <c r="J2029" s="50"/>
      <c r="K2029" s="50"/>
      <c r="L2029" s="50"/>
      <c r="M2029" s="50" t="s">
        <v>12651</v>
      </c>
      <c r="N2029" s="50"/>
      <c r="O2029" s="53" t="s">
        <v>70</v>
      </c>
      <c r="P2029" s="55" t="s">
        <v>12652</v>
      </c>
      <c r="Q2029" s="50">
        <v>341.0</v>
      </c>
      <c r="R2029" s="50">
        <v>3464.0</v>
      </c>
      <c r="S2029" s="50" t="s">
        <v>2397</v>
      </c>
      <c r="T2029" s="56" t="s">
        <v>12653</v>
      </c>
      <c r="U2029" s="53" t="s">
        <v>370</v>
      </c>
    </row>
    <row r="2030">
      <c r="A2030" s="54" t="s">
        <v>12654</v>
      </c>
      <c r="B2030" s="50" t="s">
        <v>12655</v>
      </c>
      <c r="C2030" s="51" t="s">
        <v>367</v>
      </c>
      <c r="D2030" s="51"/>
      <c r="E2030" s="51"/>
      <c r="F2030" s="51"/>
      <c r="G2030" s="50" t="s">
        <v>12656</v>
      </c>
      <c r="H2030" s="52">
        <v>44683.263333333336</v>
      </c>
      <c r="I2030" s="50"/>
      <c r="J2030" s="50"/>
      <c r="K2030" s="50"/>
      <c r="L2030" s="50"/>
      <c r="M2030" s="50" t="s">
        <v>12657</v>
      </c>
      <c r="N2030" s="50"/>
      <c r="O2030" s="53" t="s">
        <v>70</v>
      </c>
      <c r="P2030" s="55" t="s">
        <v>12658</v>
      </c>
      <c r="Q2030" s="50">
        <v>181.0</v>
      </c>
      <c r="R2030" s="50">
        <v>63.0</v>
      </c>
      <c r="S2030" s="50" t="s">
        <v>12659</v>
      </c>
      <c r="T2030" s="56" t="s">
        <v>12660</v>
      </c>
      <c r="U2030" s="53" t="s">
        <v>370</v>
      </c>
    </row>
    <row r="2031">
      <c r="A2031" s="54" t="s">
        <v>12661</v>
      </c>
      <c r="B2031" s="50" t="s">
        <v>12662</v>
      </c>
      <c r="C2031" s="51" t="s">
        <v>316</v>
      </c>
      <c r="D2031" s="51"/>
      <c r="E2031" s="51"/>
      <c r="F2031" s="51"/>
      <c r="G2031" s="50" t="s">
        <v>12663</v>
      </c>
      <c r="H2031" s="52">
        <v>44683.2632175926</v>
      </c>
      <c r="I2031" s="50"/>
      <c r="J2031" s="50"/>
      <c r="K2031" s="50"/>
      <c r="L2031" s="50"/>
      <c r="M2031" s="50" t="s">
        <v>12664</v>
      </c>
      <c r="N2031" s="50"/>
      <c r="O2031" s="53" t="s">
        <v>92</v>
      </c>
      <c r="P2031" s="55" t="s">
        <v>12665</v>
      </c>
      <c r="Q2031" s="50">
        <v>2715.0</v>
      </c>
      <c r="R2031" s="50">
        <v>3876.0</v>
      </c>
      <c r="S2031" s="50"/>
      <c r="T2031" s="56" t="s">
        <v>12666</v>
      </c>
      <c r="U2031" s="53" t="s">
        <v>322</v>
      </c>
    </row>
    <row r="2032">
      <c r="A2032" s="54" t="s">
        <v>12667</v>
      </c>
      <c r="B2032" s="50" t="s">
        <v>12662</v>
      </c>
      <c r="C2032" s="51" t="s">
        <v>363</v>
      </c>
      <c r="D2032" s="51"/>
      <c r="E2032" s="51"/>
      <c r="F2032" s="51"/>
      <c r="G2032" s="50" t="s">
        <v>12668</v>
      </c>
      <c r="H2032" s="52">
        <v>44683.26292824074</v>
      </c>
      <c r="I2032" s="50"/>
      <c r="J2032" s="50"/>
      <c r="K2032" s="50"/>
      <c r="L2032" s="50"/>
      <c r="M2032" s="50" t="s">
        <v>12664</v>
      </c>
      <c r="N2032" s="50"/>
      <c r="O2032" s="53" t="s">
        <v>92</v>
      </c>
      <c r="P2032" s="55" t="s">
        <v>12665</v>
      </c>
      <c r="Q2032" s="50">
        <v>2715.0</v>
      </c>
      <c r="R2032" s="50">
        <v>3876.0</v>
      </c>
      <c r="S2032" s="50"/>
      <c r="T2032" s="56" t="s">
        <v>12669</v>
      </c>
      <c r="U2032" s="53" t="s">
        <v>332</v>
      </c>
    </row>
    <row r="2033">
      <c r="A2033" s="54" t="s">
        <v>12670</v>
      </c>
      <c r="B2033" s="50" t="s">
        <v>12662</v>
      </c>
      <c r="C2033" s="51" t="s">
        <v>367</v>
      </c>
      <c r="D2033" s="51"/>
      <c r="E2033" s="51"/>
      <c r="F2033" s="51"/>
      <c r="G2033" s="50" t="s">
        <v>12671</v>
      </c>
      <c r="H2033" s="52">
        <v>44683.26277777778</v>
      </c>
      <c r="I2033" s="50"/>
      <c r="J2033" s="50"/>
      <c r="K2033" s="50"/>
      <c r="L2033" s="50"/>
      <c r="M2033" s="50" t="s">
        <v>12664</v>
      </c>
      <c r="N2033" s="50"/>
      <c r="O2033" s="53" t="s">
        <v>92</v>
      </c>
      <c r="P2033" s="55" t="s">
        <v>12665</v>
      </c>
      <c r="Q2033" s="50">
        <v>2715.0</v>
      </c>
      <c r="R2033" s="50">
        <v>3876.0</v>
      </c>
      <c r="S2033" s="50"/>
      <c r="T2033" s="56" t="s">
        <v>12672</v>
      </c>
      <c r="U2033" s="53" t="s">
        <v>370</v>
      </c>
    </row>
    <row r="2034">
      <c r="A2034" s="54" t="s">
        <v>12673</v>
      </c>
      <c r="B2034" s="50" t="s">
        <v>12674</v>
      </c>
      <c r="C2034" s="51" t="s">
        <v>316</v>
      </c>
      <c r="D2034" s="51"/>
      <c r="E2034" s="51"/>
      <c r="F2034" s="51"/>
      <c r="G2034" s="50" t="s">
        <v>12675</v>
      </c>
      <c r="H2034" s="52">
        <v>44683.26239583333</v>
      </c>
      <c r="I2034" s="50"/>
      <c r="J2034" s="50"/>
      <c r="K2034" s="50"/>
      <c r="L2034" s="50"/>
      <c r="M2034" s="50" t="s">
        <v>12676</v>
      </c>
      <c r="N2034" s="50"/>
      <c r="O2034" s="53" t="s">
        <v>92</v>
      </c>
      <c r="P2034" s="55" t="s">
        <v>12677</v>
      </c>
      <c r="Q2034" s="50">
        <v>255.0</v>
      </c>
      <c r="R2034" s="50">
        <v>124.0</v>
      </c>
      <c r="S2034" s="50"/>
      <c r="T2034" s="56" t="s">
        <v>12678</v>
      </c>
      <c r="U2034" s="53" t="s">
        <v>322</v>
      </c>
    </row>
    <row r="2035">
      <c r="A2035" s="54" t="s">
        <v>12679</v>
      </c>
      <c r="B2035" s="50" t="s">
        <v>12680</v>
      </c>
      <c r="C2035" s="51" t="s">
        <v>367</v>
      </c>
      <c r="D2035" s="51"/>
      <c r="E2035" s="51"/>
      <c r="F2035" s="51"/>
      <c r="G2035" s="50" t="s">
        <v>12681</v>
      </c>
      <c r="H2035" s="52">
        <v>44683.26232638889</v>
      </c>
      <c r="I2035" s="50"/>
      <c r="J2035" s="50"/>
      <c r="K2035" s="50"/>
      <c r="L2035" s="50"/>
      <c r="M2035" s="50" t="s">
        <v>12682</v>
      </c>
      <c r="N2035" s="50"/>
      <c r="O2035" s="53" t="s">
        <v>92</v>
      </c>
      <c r="P2035" s="55" t="s">
        <v>12683</v>
      </c>
      <c r="Q2035" s="50">
        <v>202.0</v>
      </c>
      <c r="R2035" s="50">
        <v>609.0</v>
      </c>
      <c r="S2035" s="50"/>
      <c r="T2035" s="56" t="s">
        <v>12684</v>
      </c>
      <c r="U2035" s="53" t="s">
        <v>370</v>
      </c>
    </row>
    <row r="2036">
      <c r="A2036" s="54" t="s">
        <v>12685</v>
      </c>
      <c r="B2036" s="50" t="s">
        <v>12686</v>
      </c>
      <c r="C2036" s="51" t="s">
        <v>367</v>
      </c>
      <c r="D2036" s="51"/>
      <c r="E2036" s="51"/>
      <c r="F2036" s="51"/>
      <c r="G2036" s="50" t="s">
        <v>12687</v>
      </c>
      <c r="H2036" s="52">
        <v>44683.26157407407</v>
      </c>
      <c r="I2036" s="50"/>
      <c r="J2036" s="50"/>
      <c r="K2036" s="50"/>
      <c r="L2036" s="50"/>
      <c r="M2036" s="50" t="s">
        <v>12688</v>
      </c>
      <c r="N2036" s="50"/>
      <c r="O2036" s="53" t="s">
        <v>70</v>
      </c>
      <c r="P2036" s="55" t="s">
        <v>12689</v>
      </c>
      <c r="Q2036" s="50">
        <v>5046.0</v>
      </c>
      <c r="R2036" s="50">
        <v>5312.0</v>
      </c>
      <c r="S2036" s="50" t="s">
        <v>6559</v>
      </c>
      <c r="T2036" s="56" t="s">
        <v>12690</v>
      </c>
      <c r="U2036" s="53" t="s">
        <v>370</v>
      </c>
    </row>
    <row r="2037">
      <c r="A2037" s="54" t="s">
        <v>12691</v>
      </c>
      <c r="B2037" s="50" t="s">
        <v>12534</v>
      </c>
      <c r="C2037" s="51" t="s">
        <v>367</v>
      </c>
      <c r="D2037" s="51"/>
      <c r="E2037" s="51"/>
      <c r="F2037" s="51"/>
      <c r="G2037" s="50" t="s">
        <v>12692</v>
      </c>
      <c r="H2037" s="52">
        <v>44683.26123842593</v>
      </c>
      <c r="I2037" s="50"/>
      <c r="J2037" s="50"/>
      <c r="K2037" s="50"/>
      <c r="L2037" s="50"/>
      <c r="M2037" s="50" t="s">
        <v>12536</v>
      </c>
      <c r="N2037" s="50"/>
      <c r="O2037" s="53" t="s">
        <v>70</v>
      </c>
      <c r="P2037" s="55" t="s">
        <v>12537</v>
      </c>
      <c r="Q2037" s="50">
        <v>6797.0</v>
      </c>
      <c r="R2037" s="50">
        <v>7346.0</v>
      </c>
      <c r="S2037" s="50" t="s">
        <v>12538</v>
      </c>
      <c r="T2037" s="56" t="s">
        <v>12693</v>
      </c>
      <c r="U2037" s="53" t="s">
        <v>370</v>
      </c>
    </row>
    <row r="2038">
      <c r="A2038" s="54" t="s">
        <v>12694</v>
      </c>
      <c r="B2038" s="50" t="s">
        <v>12695</v>
      </c>
      <c r="C2038" s="51" t="s">
        <v>2869</v>
      </c>
      <c r="D2038" s="51"/>
      <c r="E2038" s="51"/>
      <c r="F2038" s="51"/>
      <c r="G2038" s="50" t="s">
        <v>12696</v>
      </c>
      <c r="H2038" s="52">
        <v>44683.26122685186</v>
      </c>
      <c r="I2038" s="50"/>
      <c r="J2038" s="50"/>
      <c r="K2038" s="50"/>
      <c r="L2038" s="50"/>
      <c r="M2038" s="50" t="s">
        <v>12697</v>
      </c>
      <c r="N2038" s="50"/>
      <c r="O2038" s="53" t="s">
        <v>217</v>
      </c>
      <c r="P2038" s="55" t="s">
        <v>12698</v>
      </c>
      <c r="Q2038" s="50">
        <v>598.0</v>
      </c>
      <c r="R2038" s="50">
        <v>2406.0</v>
      </c>
      <c r="S2038" s="50" t="s">
        <v>12699</v>
      </c>
      <c r="T2038" s="56" t="s">
        <v>12700</v>
      </c>
      <c r="U2038" s="53" t="s">
        <v>2874</v>
      </c>
    </row>
    <row r="2039">
      <c r="A2039" s="54" t="s">
        <v>12701</v>
      </c>
      <c r="B2039" s="50" t="s">
        <v>12702</v>
      </c>
      <c r="C2039" s="51" t="s">
        <v>12703</v>
      </c>
      <c r="D2039" s="51"/>
      <c r="E2039" s="51"/>
      <c r="F2039" s="51"/>
      <c r="G2039" s="50" t="s">
        <v>12704</v>
      </c>
      <c r="H2039" s="52">
        <v>44683.26121527777</v>
      </c>
      <c r="I2039" s="50"/>
      <c r="J2039" s="50"/>
      <c r="K2039" s="50" t="s">
        <v>12705</v>
      </c>
      <c r="L2039" s="50" t="s">
        <v>12706</v>
      </c>
      <c r="M2039" s="50" t="s">
        <v>12707</v>
      </c>
      <c r="N2039" s="50" t="s">
        <v>12708</v>
      </c>
      <c r="O2039" s="53" t="s">
        <v>60</v>
      </c>
      <c r="P2039" s="55" t="s">
        <v>12709</v>
      </c>
      <c r="Q2039" s="50">
        <v>2194.0</v>
      </c>
      <c r="R2039" s="50">
        <v>2133.0</v>
      </c>
      <c r="S2039" s="50"/>
      <c r="T2039" s="56" t="s">
        <v>12710</v>
      </c>
      <c r="U2039" s="53" t="s">
        <v>12711</v>
      </c>
    </row>
    <row r="2040">
      <c r="A2040" s="54" t="s">
        <v>12712</v>
      </c>
      <c r="B2040" s="50" t="s">
        <v>11099</v>
      </c>
      <c r="C2040" s="51" t="s">
        <v>1803</v>
      </c>
      <c r="D2040" s="51"/>
      <c r="E2040" s="51"/>
      <c r="F2040" s="51"/>
      <c r="G2040" s="50" t="s">
        <v>12713</v>
      </c>
      <c r="H2040" s="52">
        <v>44683.26101851852</v>
      </c>
      <c r="I2040" s="50"/>
      <c r="J2040" s="50"/>
      <c r="K2040" s="50"/>
      <c r="L2040" s="50"/>
      <c r="M2040" s="50" t="s">
        <v>11102</v>
      </c>
      <c r="N2040" s="50"/>
      <c r="O2040" s="53" t="s">
        <v>11103</v>
      </c>
      <c r="P2040" s="55" t="s">
        <v>11104</v>
      </c>
      <c r="Q2040" s="50">
        <v>1585.0</v>
      </c>
      <c r="R2040" s="50">
        <v>12.0</v>
      </c>
      <c r="S2040" s="50"/>
      <c r="T2040" s="56" t="s">
        <v>12714</v>
      </c>
      <c r="U2040" s="53" t="s">
        <v>1809</v>
      </c>
    </row>
    <row r="2041">
      <c r="A2041" s="54" t="s">
        <v>12715</v>
      </c>
      <c r="B2041" s="50" t="s">
        <v>12716</v>
      </c>
      <c r="C2041" s="51" t="s">
        <v>367</v>
      </c>
      <c r="D2041" s="51"/>
      <c r="E2041" s="51"/>
      <c r="F2041" s="51"/>
      <c r="G2041" s="50" t="s">
        <v>12717</v>
      </c>
      <c r="H2041" s="52">
        <v>44683.26091435185</v>
      </c>
      <c r="I2041" s="50"/>
      <c r="J2041" s="50"/>
      <c r="K2041" s="50"/>
      <c r="L2041" s="50"/>
      <c r="M2041" s="50" t="s">
        <v>12718</v>
      </c>
      <c r="N2041" s="50"/>
      <c r="O2041" s="53" t="s">
        <v>60</v>
      </c>
      <c r="P2041" s="55" t="s">
        <v>12719</v>
      </c>
      <c r="Q2041" s="50">
        <v>1417.0</v>
      </c>
      <c r="R2041" s="50">
        <v>1512.0</v>
      </c>
      <c r="S2041" s="50" t="s">
        <v>219</v>
      </c>
      <c r="T2041" s="56" t="s">
        <v>12720</v>
      </c>
      <c r="U2041" s="53" t="s">
        <v>370</v>
      </c>
    </row>
    <row r="2042">
      <c r="A2042" s="54" t="s">
        <v>12721</v>
      </c>
      <c r="B2042" s="50" t="s">
        <v>12722</v>
      </c>
      <c r="C2042" s="51" t="s">
        <v>335</v>
      </c>
      <c r="D2042" s="51"/>
      <c r="E2042" s="51"/>
      <c r="F2042" s="51"/>
      <c r="G2042" s="50" t="s">
        <v>12723</v>
      </c>
      <c r="H2042" s="52">
        <v>44683.260775462964</v>
      </c>
      <c r="I2042" s="50"/>
      <c r="J2042" s="50"/>
      <c r="K2042" s="50"/>
      <c r="L2042" s="50"/>
      <c r="M2042" s="50" t="s">
        <v>12724</v>
      </c>
      <c r="N2042" s="50"/>
      <c r="O2042" s="53" t="s">
        <v>92</v>
      </c>
      <c r="P2042" s="55" t="s">
        <v>12725</v>
      </c>
      <c r="Q2042" s="50">
        <v>2.0</v>
      </c>
      <c r="R2042" s="50">
        <v>58.0</v>
      </c>
      <c r="S2042" s="50" t="s">
        <v>12726</v>
      </c>
      <c r="T2042" s="56" t="s">
        <v>12727</v>
      </c>
      <c r="U2042" s="53" t="s">
        <v>339</v>
      </c>
    </row>
    <row r="2043">
      <c r="A2043" s="54" t="s">
        <v>12728</v>
      </c>
      <c r="B2043" s="50" t="s">
        <v>12729</v>
      </c>
      <c r="C2043" s="51" t="s">
        <v>363</v>
      </c>
      <c r="D2043" s="51"/>
      <c r="E2043" s="51"/>
      <c r="F2043" s="51"/>
      <c r="G2043" s="50" t="s">
        <v>12730</v>
      </c>
      <c r="H2043" s="52">
        <v>44683.26070601852</v>
      </c>
      <c r="I2043" s="50"/>
      <c r="J2043" s="50"/>
      <c r="K2043" s="50"/>
      <c r="L2043" s="50"/>
      <c r="M2043" s="50" t="s">
        <v>12731</v>
      </c>
      <c r="N2043" s="50"/>
      <c r="O2043" s="53" t="s">
        <v>70</v>
      </c>
      <c r="P2043" s="55" t="s">
        <v>12732</v>
      </c>
      <c r="Q2043" s="50">
        <v>1871.0</v>
      </c>
      <c r="R2043" s="50">
        <v>4739.0</v>
      </c>
      <c r="S2043" s="50"/>
      <c r="T2043" s="56" t="s">
        <v>12733</v>
      </c>
      <c r="U2043" s="53" t="s">
        <v>332</v>
      </c>
    </row>
    <row r="2044">
      <c r="A2044" s="54" t="s">
        <v>12734</v>
      </c>
      <c r="B2044" s="50" t="s">
        <v>12735</v>
      </c>
      <c r="C2044" s="51" t="s">
        <v>367</v>
      </c>
      <c r="D2044" s="51"/>
      <c r="E2044" s="51"/>
      <c r="F2044" s="51"/>
      <c r="G2044" s="50" t="s">
        <v>12736</v>
      </c>
      <c r="H2044" s="52">
        <v>44683.260601851856</v>
      </c>
      <c r="I2044" s="50"/>
      <c r="J2044" s="50"/>
      <c r="K2044" s="50"/>
      <c r="L2044" s="50"/>
      <c r="M2044" s="50" t="s">
        <v>12737</v>
      </c>
      <c r="N2044" s="50"/>
      <c r="O2044" s="53" t="s">
        <v>92</v>
      </c>
      <c r="P2044" s="55" t="s">
        <v>12738</v>
      </c>
      <c r="Q2044" s="50">
        <v>20.0</v>
      </c>
      <c r="R2044" s="50">
        <v>47.0</v>
      </c>
      <c r="S2044" s="50" t="s">
        <v>379</v>
      </c>
      <c r="T2044" s="56" t="s">
        <v>12739</v>
      </c>
      <c r="U2044" s="53" t="s">
        <v>370</v>
      </c>
    </row>
    <row r="2045">
      <c r="A2045" s="54" t="s">
        <v>12740</v>
      </c>
      <c r="B2045" s="50" t="s">
        <v>12741</v>
      </c>
      <c r="C2045" s="51" t="s">
        <v>367</v>
      </c>
      <c r="D2045" s="51"/>
      <c r="E2045" s="51"/>
      <c r="F2045" s="51"/>
      <c r="G2045" s="50" t="s">
        <v>12742</v>
      </c>
      <c r="H2045" s="52">
        <v>44683.259722222225</v>
      </c>
      <c r="I2045" s="50"/>
      <c r="J2045" s="50"/>
      <c r="K2045" s="50"/>
      <c r="L2045" s="50"/>
      <c r="M2045" s="50" t="s">
        <v>12743</v>
      </c>
      <c r="N2045" s="50"/>
      <c r="O2045" s="53" t="s">
        <v>217</v>
      </c>
      <c r="P2045" s="55" t="s">
        <v>354</v>
      </c>
      <c r="Q2045" s="50">
        <v>39.0</v>
      </c>
      <c r="R2045" s="50">
        <v>117.0</v>
      </c>
      <c r="S2045" s="50"/>
      <c r="T2045" s="56" t="s">
        <v>12744</v>
      </c>
      <c r="U2045" s="53" t="s">
        <v>370</v>
      </c>
    </row>
    <row r="2046">
      <c r="A2046" s="54" t="s">
        <v>12745</v>
      </c>
      <c r="B2046" s="50" t="s">
        <v>12746</v>
      </c>
      <c r="C2046" s="51" t="s">
        <v>316</v>
      </c>
      <c r="D2046" s="51"/>
      <c r="E2046" s="51"/>
      <c r="F2046" s="51"/>
      <c r="G2046" s="50" t="s">
        <v>12742</v>
      </c>
      <c r="H2046" s="52">
        <v>44683.259722222225</v>
      </c>
      <c r="I2046" s="50"/>
      <c r="J2046" s="50"/>
      <c r="K2046" s="50"/>
      <c r="L2046" s="50"/>
      <c r="M2046" s="50" t="s">
        <v>12747</v>
      </c>
      <c r="N2046" s="50"/>
      <c r="O2046" s="53" t="s">
        <v>60</v>
      </c>
      <c r="P2046" s="55" t="s">
        <v>12748</v>
      </c>
      <c r="Q2046" s="50">
        <v>819.0</v>
      </c>
      <c r="R2046" s="50">
        <v>1285.0</v>
      </c>
      <c r="S2046" s="50" t="s">
        <v>5083</v>
      </c>
      <c r="T2046" s="56" t="s">
        <v>12749</v>
      </c>
      <c r="U2046" s="53" t="s">
        <v>322</v>
      </c>
    </row>
    <row r="2047">
      <c r="A2047" s="54" t="s">
        <v>12750</v>
      </c>
      <c r="B2047" s="50" t="s">
        <v>12751</v>
      </c>
      <c r="C2047" s="51" t="s">
        <v>363</v>
      </c>
      <c r="D2047" s="51"/>
      <c r="E2047" s="51"/>
      <c r="F2047" s="51"/>
      <c r="G2047" s="50" t="s">
        <v>12752</v>
      </c>
      <c r="H2047" s="52">
        <v>44683.25969907407</v>
      </c>
      <c r="I2047" s="50"/>
      <c r="J2047" s="50"/>
      <c r="K2047" s="50"/>
      <c r="L2047" s="50"/>
      <c r="M2047" s="50" t="s">
        <v>12753</v>
      </c>
      <c r="N2047" s="50"/>
      <c r="O2047" s="53" t="s">
        <v>92</v>
      </c>
      <c r="P2047" s="55" t="s">
        <v>12754</v>
      </c>
      <c r="Q2047" s="50">
        <v>1364.0</v>
      </c>
      <c r="R2047" s="50">
        <v>2797.0</v>
      </c>
      <c r="S2047" s="50" t="s">
        <v>12755</v>
      </c>
      <c r="T2047" s="56" t="s">
        <v>12756</v>
      </c>
      <c r="U2047" s="53" t="s">
        <v>332</v>
      </c>
    </row>
    <row r="2048">
      <c r="A2048" s="54" t="s">
        <v>12757</v>
      </c>
      <c r="B2048" s="50" t="s">
        <v>12751</v>
      </c>
      <c r="C2048" s="51" t="s">
        <v>367</v>
      </c>
      <c r="D2048" s="51"/>
      <c r="E2048" s="51"/>
      <c r="F2048" s="51"/>
      <c r="G2048" s="50" t="s">
        <v>12758</v>
      </c>
      <c r="H2048" s="52">
        <v>44683.25957175926</v>
      </c>
      <c r="I2048" s="50"/>
      <c r="J2048" s="50"/>
      <c r="K2048" s="50"/>
      <c r="L2048" s="50"/>
      <c r="M2048" s="50" t="s">
        <v>12753</v>
      </c>
      <c r="N2048" s="50"/>
      <c r="O2048" s="53" t="s">
        <v>92</v>
      </c>
      <c r="P2048" s="55" t="s">
        <v>12754</v>
      </c>
      <c r="Q2048" s="50">
        <v>1364.0</v>
      </c>
      <c r="R2048" s="50">
        <v>2797.0</v>
      </c>
      <c r="S2048" s="50" t="s">
        <v>12755</v>
      </c>
      <c r="T2048" s="56" t="s">
        <v>12759</v>
      </c>
      <c r="U2048" s="53" t="s">
        <v>370</v>
      </c>
    </row>
    <row r="2049">
      <c r="A2049" s="54" t="s">
        <v>12760</v>
      </c>
      <c r="B2049" s="50" t="s">
        <v>12746</v>
      </c>
      <c r="C2049" s="51" t="s">
        <v>363</v>
      </c>
      <c r="D2049" s="51"/>
      <c r="E2049" s="51"/>
      <c r="F2049" s="51"/>
      <c r="G2049" s="50" t="s">
        <v>12761</v>
      </c>
      <c r="H2049" s="52">
        <v>44683.25954861111</v>
      </c>
      <c r="I2049" s="50"/>
      <c r="J2049" s="50"/>
      <c r="K2049" s="50"/>
      <c r="L2049" s="50"/>
      <c r="M2049" s="50" t="s">
        <v>12747</v>
      </c>
      <c r="N2049" s="50"/>
      <c r="O2049" s="53" t="s">
        <v>60</v>
      </c>
      <c r="P2049" s="55" t="s">
        <v>12748</v>
      </c>
      <c r="Q2049" s="50">
        <v>819.0</v>
      </c>
      <c r="R2049" s="50">
        <v>1285.0</v>
      </c>
      <c r="S2049" s="50" t="s">
        <v>5083</v>
      </c>
      <c r="T2049" s="56" t="s">
        <v>12762</v>
      </c>
      <c r="U2049" s="53" t="s">
        <v>332</v>
      </c>
    </row>
    <row r="2050">
      <c r="A2050" s="54" t="s">
        <v>12763</v>
      </c>
      <c r="B2050" s="50" t="s">
        <v>12764</v>
      </c>
      <c r="C2050" s="51" t="s">
        <v>10281</v>
      </c>
      <c r="D2050" s="51"/>
      <c r="E2050" s="51"/>
      <c r="F2050" s="51"/>
      <c r="G2050" s="50" t="s">
        <v>12765</v>
      </c>
      <c r="H2050" s="52">
        <v>44683.25943287037</v>
      </c>
      <c r="I2050" s="50"/>
      <c r="J2050" s="50"/>
      <c r="K2050" s="50"/>
      <c r="L2050" s="50"/>
      <c r="M2050" s="50" t="s">
        <v>12766</v>
      </c>
      <c r="N2050" s="50"/>
      <c r="O2050" s="53" t="s">
        <v>70</v>
      </c>
      <c r="P2050" s="55" t="s">
        <v>12767</v>
      </c>
      <c r="Q2050" s="50">
        <v>1177.0</v>
      </c>
      <c r="R2050" s="50">
        <v>2987.0</v>
      </c>
      <c r="S2050" s="50" t="s">
        <v>12768</v>
      </c>
      <c r="T2050" s="56" t="s">
        <v>12769</v>
      </c>
      <c r="U2050" s="53" t="s">
        <v>10284</v>
      </c>
    </row>
    <row r="2051">
      <c r="A2051" s="54" t="s">
        <v>12770</v>
      </c>
      <c r="B2051" s="50" t="s">
        <v>12771</v>
      </c>
      <c r="C2051" s="51" t="s">
        <v>367</v>
      </c>
      <c r="D2051" s="51"/>
      <c r="E2051" s="51"/>
      <c r="F2051" s="51"/>
      <c r="G2051" s="50" t="s">
        <v>12772</v>
      </c>
      <c r="H2051" s="52">
        <v>44683.259305555555</v>
      </c>
      <c r="I2051" s="50"/>
      <c r="J2051" s="50"/>
      <c r="K2051" s="50"/>
      <c r="L2051" s="50"/>
      <c r="M2051" s="50" t="s">
        <v>12773</v>
      </c>
      <c r="N2051" s="50"/>
      <c r="O2051" s="53" t="s">
        <v>60</v>
      </c>
      <c r="P2051" s="55" t="s">
        <v>12774</v>
      </c>
      <c r="Q2051" s="50">
        <v>2725.0</v>
      </c>
      <c r="R2051" s="50">
        <v>2944.0</v>
      </c>
      <c r="S2051" s="50" t="s">
        <v>12775</v>
      </c>
      <c r="T2051" s="56" t="s">
        <v>12776</v>
      </c>
      <c r="U2051" s="53" t="s">
        <v>370</v>
      </c>
    </row>
    <row r="2052">
      <c r="A2052" s="54" t="s">
        <v>12777</v>
      </c>
      <c r="B2052" s="50" t="s">
        <v>12778</v>
      </c>
      <c r="C2052" s="51" t="s">
        <v>12779</v>
      </c>
      <c r="D2052" s="51"/>
      <c r="E2052" s="51"/>
      <c r="F2052" s="51"/>
      <c r="G2052" s="50" t="s">
        <v>12780</v>
      </c>
      <c r="H2052" s="52">
        <v>44683.25929398148</v>
      </c>
      <c r="I2052" s="50"/>
      <c r="J2052" s="50"/>
      <c r="K2052" s="50"/>
      <c r="L2052" s="50"/>
      <c r="M2052" s="50" t="s">
        <v>12781</v>
      </c>
      <c r="N2052" s="50"/>
      <c r="O2052" s="53" t="s">
        <v>70</v>
      </c>
      <c r="P2052" s="55" t="s">
        <v>12782</v>
      </c>
      <c r="Q2052" s="50">
        <v>91.0</v>
      </c>
      <c r="R2052" s="50">
        <v>175.0</v>
      </c>
      <c r="S2052" s="50" t="s">
        <v>12783</v>
      </c>
      <c r="T2052" s="56" t="s">
        <v>12784</v>
      </c>
      <c r="U2052" s="53" t="s">
        <v>12785</v>
      </c>
    </row>
    <row r="2053">
      <c r="A2053" s="54" t="s">
        <v>12786</v>
      </c>
      <c r="B2053" s="50" t="s">
        <v>12787</v>
      </c>
      <c r="C2053" s="51" t="s">
        <v>367</v>
      </c>
      <c r="D2053" s="51"/>
      <c r="E2053" s="51"/>
      <c r="F2053" s="51"/>
      <c r="G2053" s="50" t="s">
        <v>12788</v>
      </c>
      <c r="H2053" s="52">
        <v>44683.259259259255</v>
      </c>
      <c r="I2053" s="50"/>
      <c r="J2053" s="50"/>
      <c r="K2053" s="50"/>
      <c r="L2053" s="50"/>
      <c r="M2053" s="50" t="s">
        <v>12789</v>
      </c>
      <c r="N2053" s="50"/>
      <c r="O2053" s="53" t="s">
        <v>60</v>
      </c>
      <c r="P2053" s="55" t="s">
        <v>12790</v>
      </c>
      <c r="Q2053" s="50">
        <v>2900.0</v>
      </c>
      <c r="R2053" s="50">
        <v>4477.0</v>
      </c>
      <c r="S2053" s="50" t="s">
        <v>6559</v>
      </c>
      <c r="T2053" s="56" t="s">
        <v>12791</v>
      </c>
      <c r="U2053" s="53" t="s">
        <v>370</v>
      </c>
    </row>
    <row r="2054">
      <c r="A2054" s="54" t="s">
        <v>12792</v>
      </c>
      <c r="B2054" s="50" t="s">
        <v>1575</v>
      </c>
      <c r="C2054" s="51" t="s">
        <v>2973</v>
      </c>
      <c r="D2054" s="51"/>
      <c r="E2054" s="51"/>
      <c r="F2054" s="51"/>
      <c r="G2054" s="50" t="s">
        <v>12793</v>
      </c>
      <c r="H2054" s="52">
        <v>44683.25886574074</v>
      </c>
      <c r="I2054" s="50"/>
      <c r="J2054" s="50"/>
      <c r="K2054" s="50"/>
      <c r="L2054" s="50"/>
      <c r="M2054" s="50" t="s">
        <v>1574</v>
      </c>
      <c r="N2054" s="50"/>
      <c r="O2054" s="53" t="s">
        <v>60</v>
      </c>
      <c r="P2054" s="55" t="s">
        <v>8662</v>
      </c>
      <c r="Q2054" s="50">
        <v>3033.0</v>
      </c>
      <c r="R2054" s="50">
        <v>4246.0</v>
      </c>
      <c r="S2054" s="50" t="s">
        <v>8663</v>
      </c>
      <c r="T2054" s="56" t="s">
        <v>12794</v>
      </c>
      <c r="U2054" s="53" t="s">
        <v>2978</v>
      </c>
    </row>
    <row r="2055">
      <c r="A2055" s="54" t="s">
        <v>12795</v>
      </c>
      <c r="B2055" s="50" t="s">
        <v>12796</v>
      </c>
      <c r="C2055" s="51" t="s">
        <v>2076</v>
      </c>
      <c r="D2055" s="51"/>
      <c r="E2055" s="51"/>
      <c r="F2055" s="51"/>
      <c r="G2055" s="50" t="s">
        <v>12797</v>
      </c>
      <c r="H2055" s="52">
        <v>44683.2584375</v>
      </c>
      <c r="I2055" s="50"/>
      <c r="J2055" s="50"/>
      <c r="K2055" s="50"/>
      <c r="L2055" s="50"/>
      <c r="M2055" s="50" t="s">
        <v>12798</v>
      </c>
      <c r="N2055" s="50"/>
      <c r="O2055" s="53" t="s">
        <v>60</v>
      </c>
      <c r="P2055" s="55" t="s">
        <v>354</v>
      </c>
      <c r="Q2055" s="50">
        <v>417.0</v>
      </c>
      <c r="R2055" s="50">
        <v>106.0</v>
      </c>
      <c r="S2055" s="50"/>
      <c r="T2055" s="56" t="s">
        <v>12799</v>
      </c>
      <c r="U2055" s="53" t="s">
        <v>691</v>
      </c>
    </row>
    <row r="2056">
      <c r="A2056" s="54" t="s">
        <v>12800</v>
      </c>
      <c r="B2056" s="50" t="s">
        <v>12801</v>
      </c>
      <c r="C2056" s="51" t="s">
        <v>367</v>
      </c>
      <c r="D2056" s="51"/>
      <c r="E2056" s="51"/>
      <c r="F2056" s="51"/>
      <c r="G2056" s="50" t="s">
        <v>12802</v>
      </c>
      <c r="H2056" s="52">
        <v>44683.25841435185</v>
      </c>
      <c r="I2056" s="50"/>
      <c r="J2056" s="50"/>
      <c r="K2056" s="50"/>
      <c r="L2056" s="50"/>
      <c r="M2056" s="50" t="s">
        <v>12803</v>
      </c>
      <c r="N2056" s="50"/>
      <c r="O2056" s="53" t="s">
        <v>217</v>
      </c>
      <c r="P2056" s="55" t="s">
        <v>12804</v>
      </c>
      <c r="Q2056" s="50">
        <v>895.0</v>
      </c>
      <c r="R2056" s="50">
        <v>1335.0</v>
      </c>
      <c r="S2056" s="50" t="s">
        <v>12805</v>
      </c>
      <c r="T2056" s="56" t="s">
        <v>12806</v>
      </c>
      <c r="U2056" s="53" t="s">
        <v>370</v>
      </c>
    </row>
    <row r="2057">
      <c r="A2057" s="54" t="s">
        <v>12807</v>
      </c>
      <c r="B2057" s="50" t="s">
        <v>12102</v>
      </c>
      <c r="C2057" s="51" t="s">
        <v>12808</v>
      </c>
      <c r="D2057" s="51"/>
      <c r="E2057" s="51"/>
      <c r="F2057" s="51"/>
      <c r="G2057" s="50" t="s">
        <v>12809</v>
      </c>
      <c r="H2057" s="52">
        <v>44683.25771990741</v>
      </c>
      <c r="I2057" s="50"/>
      <c r="J2057" s="50"/>
      <c r="K2057" s="50"/>
      <c r="L2057" s="50"/>
      <c r="M2057" s="50" t="s">
        <v>12105</v>
      </c>
      <c r="N2057" s="50"/>
      <c r="O2057" s="53" t="s">
        <v>92</v>
      </c>
      <c r="P2057" s="55" t="s">
        <v>12106</v>
      </c>
      <c r="Q2057" s="50">
        <v>2017.0</v>
      </c>
      <c r="R2057" s="50">
        <v>2458.0</v>
      </c>
      <c r="S2057" s="50"/>
      <c r="T2057" s="56" t="s">
        <v>12810</v>
      </c>
      <c r="U2057" s="53" t="s">
        <v>12811</v>
      </c>
    </row>
    <row r="2058">
      <c r="A2058" s="54" t="s">
        <v>12812</v>
      </c>
      <c r="B2058" s="50" t="s">
        <v>12813</v>
      </c>
      <c r="C2058" s="51" t="s">
        <v>12814</v>
      </c>
      <c r="D2058" s="51"/>
      <c r="E2058" s="51"/>
      <c r="F2058" s="51"/>
      <c r="G2058" s="50" t="s">
        <v>12815</v>
      </c>
      <c r="H2058" s="52">
        <v>44683.25769675926</v>
      </c>
      <c r="I2058" s="50"/>
      <c r="J2058" s="50"/>
      <c r="K2058" s="50"/>
      <c r="L2058" s="50"/>
      <c r="M2058" s="50" t="s">
        <v>12816</v>
      </c>
      <c r="N2058" s="50"/>
      <c r="O2058" s="53" t="s">
        <v>70</v>
      </c>
      <c r="P2058" s="55" t="s">
        <v>12817</v>
      </c>
      <c r="Q2058" s="50">
        <v>6.0</v>
      </c>
      <c r="R2058" s="50">
        <v>66.0</v>
      </c>
      <c r="S2058" s="50" t="s">
        <v>12818</v>
      </c>
      <c r="T2058" s="56" t="s">
        <v>12819</v>
      </c>
      <c r="U2058" s="53" t="s">
        <v>12820</v>
      </c>
    </row>
    <row r="2059">
      <c r="A2059" s="54" t="s">
        <v>12821</v>
      </c>
      <c r="B2059" s="50" t="s">
        <v>12822</v>
      </c>
      <c r="C2059" s="51" t="s">
        <v>8881</v>
      </c>
      <c r="D2059" s="51"/>
      <c r="E2059" s="51"/>
      <c r="F2059" s="51"/>
      <c r="G2059" s="50" t="s">
        <v>12823</v>
      </c>
      <c r="H2059" s="52">
        <v>44683.25748842592</v>
      </c>
      <c r="I2059" s="50"/>
      <c r="J2059" s="50"/>
      <c r="K2059" s="50"/>
      <c r="L2059" s="50"/>
      <c r="M2059" s="50" t="s">
        <v>12824</v>
      </c>
      <c r="N2059" s="50"/>
      <c r="O2059" s="53" t="s">
        <v>92</v>
      </c>
      <c r="P2059" s="55" t="s">
        <v>12825</v>
      </c>
      <c r="Q2059" s="50">
        <v>299.0</v>
      </c>
      <c r="R2059" s="50">
        <v>449.0</v>
      </c>
      <c r="S2059" s="50" t="s">
        <v>5076</v>
      </c>
      <c r="T2059" s="56" t="s">
        <v>12826</v>
      </c>
      <c r="U2059" s="53" t="s">
        <v>8886</v>
      </c>
    </row>
    <row r="2060">
      <c r="A2060" s="54" t="s">
        <v>12827</v>
      </c>
      <c r="B2060" s="50" t="s">
        <v>12828</v>
      </c>
      <c r="C2060" s="51" t="s">
        <v>367</v>
      </c>
      <c r="D2060" s="51"/>
      <c r="E2060" s="51"/>
      <c r="F2060" s="51"/>
      <c r="G2060" s="50" t="s">
        <v>12829</v>
      </c>
      <c r="H2060" s="52">
        <v>44683.25738425926</v>
      </c>
      <c r="I2060" s="50"/>
      <c r="J2060" s="50"/>
      <c r="K2060" s="50"/>
      <c r="L2060" s="50"/>
      <c r="M2060" s="50" t="s">
        <v>12830</v>
      </c>
      <c r="N2060" s="50"/>
      <c r="O2060" s="53" t="s">
        <v>92</v>
      </c>
      <c r="P2060" s="55" t="s">
        <v>12831</v>
      </c>
      <c r="Q2060" s="50">
        <v>3852.0</v>
      </c>
      <c r="R2060" s="50">
        <v>3807.0</v>
      </c>
      <c r="S2060" s="50" t="s">
        <v>226</v>
      </c>
      <c r="T2060" s="56" t="s">
        <v>12832</v>
      </c>
      <c r="U2060" s="53" t="s">
        <v>370</v>
      </c>
    </row>
    <row r="2061">
      <c r="A2061" s="54" t="s">
        <v>12833</v>
      </c>
      <c r="B2061" s="50" t="s">
        <v>1188</v>
      </c>
      <c r="C2061" s="51" t="s">
        <v>3498</v>
      </c>
      <c r="D2061" s="51"/>
      <c r="E2061" s="51"/>
      <c r="F2061" s="51"/>
      <c r="G2061" s="50" t="s">
        <v>12834</v>
      </c>
      <c r="H2061" s="52">
        <v>44683.257268518515</v>
      </c>
      <c r="I2061" s="50"/>
      <c r="J2061" s="50"/>
      <c r="K2061" s="50"/>
      <c r="L2061" s="50"/>
      <c r="M2061" s="50" t="s">
        <v>1190</v>
      </c>
      <c r="N2061" s="50"/>
      <c r="O2061" s="53" t="s">
        <v>70</v>
      </c>
      <c r="P2061" s="55" t="s">
        <v>1191</v>
      </c>
      <c r="Q2061" s="50">
        <v>118.0</v>
      </c>
      <c r="R2061" s="50">
        <v>1120.0</v>
      </c>
      <c r="S2061" s="50" t="s">
        <v>805</v>
      </c>
      <c r="T2061" s="56" t="s">
        <v>12835</v>
      </c>
      <c r="U2061" s="53" t="s">
        <v>3503</v>
      </c>
    </row>
    <row r="2062">
      <c r="A2062" s="54" t="s">
        <v>12836</v>
      </c>
      <c r="B2062" s="50" t="s">
        <v>12828</v>
      </c>
      <c r="C2062" s="51" t="s">
        <v>12337</v>
      </c>
      <c r="D2062" s="51"/>
      <c r="E2062" s="51"/>
      <c r="F2062" s="51"/>
      <c r="G2062" s="50" t="s">
        <v>12837</v>
      </c>
      <c r="H2062" s="52">
        <v>44683.25703703704</v>
      </c>
      <c r="I2062" s="50"/>
      <c r="J2062" s="50"/>
      <c r="K2062" s="50"/>
      <c r="L2062" s="50"/>
      <c r="M2062" s="50" t="s">
        <v>12830</v>
      </c>
      <c r="N2062" s="50"/>
      <c r="O2062" s="53" t="s">
        <v>92</v>
      </c>
      <c r="P2062" s="55" t="s">
        <v>12831</v>
      </c>
      <c r="Q2062" s="50">
        <v>3852.0</v>
      </c>
      <c r="R2062" s="50">
        <v>3807.0</v>
      </c>
      <c r="S2062" s="50" t="s">
        <v>226</v>
      </c>
      <c r="T2062" s="56" t="s">
        <v>12838</v>
      </c>
      <c r="U2062" s="53" t="s">
        <v>12341</v>
      </c>
    </row>
    <row r="2063">
      <c r="A2063" s="54" t="s">
        <v>12839</v>
      </c>
      <c r="B2063" s="50" t="s">
        <v>12840</v>
      </c>
      <c r="C2063" s="51" t="s">
        <v>12841</v>
      </c>
      <c r="D2063" s="51"/>
      <c r="E2063" s="51"/>
      <c r="F2063" s="51"/>
      <c r="G2063" s="50" t="s">
        <v>12842</v>
      </c>
      <c r="H2063" s="52">
        <v>44683.25678240741</v>
      </c>
      <c r="I2063" s="50"/>
      <c r="J2063" s="50"/>
      <c r="K2063" s="50"/>
      <c r="L2063" s="50"/>
      <c r="M2063" s="50" t="s">
        <v>12843</v>
      </c>
      <c r="N2063" s="50"/>
      <c r="O2063" s="53" t="s">
        <v>12844</v>
      </c>
      <c r="P2063" s="55" t="s">
        <v>12845</v>
      </c>
      <c r="Q2063" s="50">
        <v>2773.0</v>
      </c>
      <c r="R2063" s="50">
        <v>13.0</v>
      </c>
      <c r="S2063" s="50" t="s">
        <v>12846</v>
      </c>
      <c r="T2063" s="56" t="s">
        <v>12847</v>
      </c>
      <c r="U2063" s="53" t="s">
        <v>12848</v>
      </c>
    </row>
    <row r="2064">
      <c r="A2064" s="54" t="s">
        <v>12849</v>
      </c>
      <c r="B2064" s="50" t="s">
        <v>12850</v>
      </c>
      <c r="C2064" s="51" t="s">
        <v>329</v>
      </c>
      <c r="D2064" s="51"/>
      <c r="E2064" s="51"/>
      <c r="F2064" s="51"/>
      <c r="G2064" s="50" t="s">
        <v>12851</v>
      </c>
      <c r="H2064" s="52">
        <v>44683.25582175926</v>
      </c>
      <c r="I2064" s="50"/>
      <c r="J2064" s="50"/>
      <c r="K2064" s="50"/>
      <c r="L2064" s="50"/>
      <c r="M2064" s="50" t="s">
        <v>12852</v>
      </c>
      <c r="N2064" s="50"/>
      <c r="O2064" s="53" t="s">
        <v>92</v>
      </c>
      <c r="P2064" s="55" t="s">
        <v>12853</v>
      </c>
      <c r="Q2064" s="50">
        <v>957.0</v>
      </c>
      <c r="R2064" s="50">
        <v>4359.0</v>
      </c>
      <c r="S2064" s="50" t="s">
        <v>219</v>
      </c>
      <c r="T2064" s="56" t="s">
        <v>12854</v>
      </c>
      <c r="U2064" s="53" t="s">
        <v>332</v>
      </c>
    </row>
    <row r="2065">
      <c r="A2065" s="54" t="s">
        <v>12855</v>
      </c>
      <c r="B2065" s="50" t="s">
        <v>6039</v>
      </c>
      <c r="C2065" s="51" t="s">
        <v>363</v>
      </c>
      <c r="D2065" s="51"/>
      <c r="E2065" s="51"/>
      <c r="F2065" s="51"/>
      <c r="G2065" s="50" t="s">
        <v>12856</v>
      </c>
      <c r="H2065" s="52">
        <v>44683.25571759259</v>
      </c>
      <c r="I2065" s="50"/>
      <c r="J2065" s="50"/>
      <c r="K2065" s="50"/>
      <c r="L2065" s="50"/>
      <c r="M2065" s="50" t="s">
        <v>6041</v>
      </c>
      <c r="N2065" s="50"/>
      <c r="O2065" s="53" t="s">
        <v>70</v>
      </c>
      <c r="P2065" s="55" t="s">
        <v>6042</v>
      </c>
      <c r="Q2065" s="50">
        <v>1381.0</v>
      </c>
      <c r="R2065" s="50">
        <v>1950.0</v>
      </c>
      <c r="S2065" s="50"/>
      <c r="T2065" s="56" t="s">
        <v>12857</v>
      </c>
      <c r="U2065" s="53" t="s">
        <v>332</v>
      </c>
    </row>
    <row r="2066">
      <c r="A2066" s="54" t="s">
        <v>12858</v>
      </c>
      <c r="B2066" s="50" t="s">
        <v>12850</v>
      </c>
      <c r="C2066" s="51" t="s">
        <v>367</v>
      </c>
      <c r="D2066" s="51"/>
      <c r="E2066" s="51"/>
      <c r="F2066" s="51"/>
      <c r="G2066" s="50" t="s">
        <v>12859</v>
      </c>
      <c r="H2066" s="52">
        <v>44683.255520833336</v>
      </c>
      <c r="I2066" s="50"/>
      <c r="J2066" s="50"/>
      <c r="K2066" s="50"/>
      <c r="L2066" s="50"/>
      <c r="M2066" s="50" t="s">
        <v>12852</v>
      </c>
      <c r="N2066" s="50"/>
      <c r="O2066" s="53" t="s">
        <v>92</v>
      </c>
      <c r="P2066" s="55" t="s">
        <v>12853</v>
      </c>
      <c r="Q2066" s="50">
        <v>957.0</v>
      </c>
      <c r="R2066" s="50">
        <v>4359.0</v>
      </c>
      <c r="S2066" s="50" t="s">
        <v>219</v>
      </c>
      <c r="T2066" s="56" t="s">
        <v>12860</v>
      </c>
      <c r="U2066" s="53" t="s">
        <v>370</v>
      </c>
    </row>
    <row r="2067">
      <c r="A2067" s="54" t="s">
        <v>12861</v>
      </c>
      <c r="B2067" s="50" t="s">
        <v>12862</v>
      </c>
      <c r="C2067" s="51" t="s">
        <v>316</v>
      </c>
      <c r="D2067" s="51"/>
      <c r="E2067" s="51"/>
      <c r="F2067" s="51"/>
      <c r="G2067" s="50" t="s">
        <v>12863</v>
      </c>
      <c r="H2067" s="52">
        <v>44683.255381944444</v>
      </c>
      <c r="I2067" s="50"/>
      <c r="J2067" s="50"/>
      <c r="K2067" s="50"/>
      <c r="L2067" s="50"/>
      <c r="M2067" s="50" t="s">
        <v>12864</v>
      </c>
      <c r="N2067" s="50"/>
      <c r="O2067" s="53" t="s">
        <v>92</v>
      </c>
      <c r="P2067" s="55" t="s">
        <v>12865</v>
      </c>
      <c r="Q2067" s="50">
        <v>212.0</v>
      </c>
      <c r="R2067" s="50">
        <v>168.0</v>
      </c>
      <c r="S2067" s="50"/>
      <c r="T2067" s="56" t="s">
        <v>12866</v>
      </c>
      <c r="U2067" s="53" t="s">
        <v>322</v>
      </c>
    </row>
    <row r="2068">
      <c r="A2068" s="54" t="s">
        <v>12867</v>
      </c>
      <c r="B2068" s="50" t="s">
        <v>12868</v>
      </c>
      <c r="C2068" s="51" t="s">
        <v>2973</v>
      </c>
      <c r="D2068" s="51"/>
      <c r="E2068" s="51"/>
      <c r="F2068" s="51"/>
      <c r="G2068" s="50" t="s">
        <v>12869</v>
      </c>
      <c r="H2068" s="52">
        <v>44683.25533564815</v>
      </c>
      <c r="I2068" s="50"/>
      <c r="J2068" s="50"/>
      <c r="K2068" s="50"/>
      <c r="L2068" s="50"/>
      <c r="M2068" s="50" t="s">
        <v>12870</v>
      </c>
      <c r="N2068" s="50"/>
      <c r="O2068" s="53" t="s">
        <v>70</v>
      </c>
      <c r="P2068" s="55" t="s">
        <v>12871</v>
      </c>
      <c r="Q2068" s="50">
        <v>719.0</v>
      </c>
      <c r="R2068" s="50">
        <v>586.0</v>
      </c>
      <c r="S2068" s="50" t="s">
        <v>129</v>
      </c>
      <c r="T2068" s="56" t="s">
        <v>12872</v>
      </c>
      <c r="U2068" s="53" t="s">
        <v>2978</v>
      </c>
    </row>
    <row r="2069">
      <c r="A2069" s="54" t="s">
        <v>12873</v>
      </c>
      <c r="B2069" s="50" t="s">
        <v>6039</v>
      </c>
      <c r="C2069" s="51" t="s">
        <v>316</v>
      </c>
      <c r="D2069" s="51"/>
      <c r="E2069" s="51"/>
      <c r="F2069" s="51"/>
      <c r="G2069" s="50" t="s">
        <v>12874</v>
      </c>
      <c r="H2069" s="52">
        <v>44683.25528935185</v>
      </c>
      <c r="I2069" s="50"/>
      <c r="J2069" s="50"/>
      <c r="K2069" s="50"/>
      <c r="L2069" s="50"/>
      <c r="M2069" s="50" t="s">
        <v>6041</v>
      </c>
      <c r="N2069" s="50"/>
      <c r="O2069" s="53" t="s">
        <v>70</v>
      </c>
      <c r="P2069" s="55" t="s">
        <v>6042</v>
      </c>
      <c r="Q2069" s="50">
        <v>1381.0</v>
      </c>
      <c r="R2069" s="50">
        <v>1950.0</v>
      </c>
      <c r="S2069" s="50"/>
      <c r="T2069" s="56" t="s">
        <v>12875</v>
      </c>
      <c r="U2069" s="53" t="s">
        <v>322</v>
      </c>
    </row>
    <row r="2070">
      <c r="A2070" s="54" t="s">
        <v>12876</v>
      </c>
      <c r="B2070" s="50" t="s">
        <v>12877</v>
      </c>
      <c r="C2070" s="51" t="s">
        <v>363</v>
      </c>
      <c r="D2070" s="51"/>
      <c r="E2070" s="51"/>
      <c r="F2070" s="51"/>
      <c r="G2070" s="50" t="s">
        <v>12878</v>
      </c>
      <c r="H2070" s="52">
        <v>44683.25525462963</v>
      </c>
      <c r="I2070" s="50"/>
      <c r="J2070" s="50"/>
      <c r="K2070" s="50"/>
      <c r="L2070" s="50"/>
      <c r="M2070" s="50" t="s">
        <v>12879</v>
      </c>
      <c r="N2070" s="50"/>
      <c r="O2070" s="53" t="s">
        <v>70</v>
      </c>
      <c r="P2070" s="55" t="s">
        <v>12880</v>
      </c>
      <c r="Q2070" s="50">
        <v>555.0</v>
      </c>
      <c r="R2070" s="50">
        <v>1456.0</v>
      </c>
      <c r="S2070" s="50" t="s">
        <v>246</v>
      </c>
      <c r="T2070" s="56" t="s">
        <v>12881</v>
      </c>
      <c r="U2070" s="53" t="s">
        <v>332</v>
      </c>
    </row>
    <row r="2071">
      <c r="A2071" s="54" t="s">
        <v>12882</v>
      </c>
      <c r="B2071" s="50" t="s">
        <v>12883</v>
      </c>
      <c r="C2071" s="51" t="s">
        <v>367</v>
      </c>
      <c r="D2071" s="51"/>
      <c r="E2071" s="51"/>
      <c r="F2071" s="51"/>
      <c r="G2071" s="50" t="s">
        <v>12884</v>
      </c>
      <c r="H2071" s="52">
        <v>44683.25487268518</v>
      </c>
      <c r="I2071" s="50"/>
      <c r="J2071" s="50"/>
      <c r="K2071" s="50"/>
      <c r="L2071" s="50"/>
      <c r="M2071" s="50" t="s">
        <v>12885</v>
      </c>
      <c r="N2071" s="50"/>
      <c r="O2071" s="53" t="s">
        <v>92</v>
      </c>
      <c r="P2071" s="55" t="s">
        <v>12886</v>
      </c>
      <c r="Q2071" s="50">
        <v>244.0</v>
      </c>
      <c r="R2071" s="50">
        <v>936.0</v>
      </c>
      <c r="S2071" s="50"/>
      <c r="T2071" s="56" t="s">
        <v>12887</v>
      </c>
      <c r="U2071" s="53" t="s">
        <v>370</v>
      </c>
    </row>
    <row r="2072">
      <c r="A2072" s="54" t="s">
        <v>12888</v>
      </c>
      <c r="B2072" s="50" t="s">
        <v>12889</v>
      </c>
      <c r="C2072" s="51" t="s">
        <v>10281</v>
      </c>
      <c r="D2072" s="51"/>
      <c r="E2072" s="51"/>
      <c r="F2072" s="51"/>
      <c r="G2072" s="50" t="s">
        <v>12890</v>
      </c>
      <c r="H2072" s="52">
        <v>44683.2547337963</v>
      </c>
      <c r="I2072" s="50"/>
      <c r="J2072" s="50"/>
      <c r="K2072" s="50"/>
      <c r="L2072" s="50"/>
      <c r="M2072" s="50" t="s">
        <v>12891</v>
      </c>
      <c r="N2072" s="50"/>
      <c r="O2072" s="53" t="s">
        <v>92</v>
      </c>
      <c r="P2072" s="55" t="s">
        <v>12892</v>
      </c>
      <c r="Q2072" s="50">
        <v>1067.0</v>
      </c>
      <c r="R2072" s="50">
        <v>1514.0</v>
      </c>
      <c r="S2072" s="50" t="s">
        <v>7690</v>
      </c>
      <c r="T2072" s="56" t="s">
        <v>12893</v>
      </c>
      <c r="U2072" s="53" t="s">
        <v>10284</v>
      </c>
    </row>
    <row r="2073">
      <c r="A2073" s="54" t="s">
        <v>12894</v>
      </c>
      <c r="B2073" s="50" t="s">
        <v>12895</v>
      </c>
      <c r="C2073" s="51" t="s">
        <v>2630</v>
      </c>
      <c r="D2073" s="51"/>
      <c r="E2073" s="51"/>
      <c r="F2073" s="51"/>
      <c r="G2073" s="50" t="s">
        <v>12896</v>
      </c>
      <c r="H2073" s="52">
        <v>44683.25409722222</v>
      </c>
      <c r="I2073" s="50"/>
      <c r="J2073" s="50"/>
      <c r="K2073" s="50"/>
      <c r="L2073" s="50"/>
      <c r="M2073" s="50" t="s">
        <v>12897</v>
      </c>
      <c r="N2073" s="50"/>
      <c r="O2073" s="53" t="s">
        <v>92</v>
      </c>
      <c r="P2073" s="55" t="s">
        <v>12898</v>
      </c>
      <c r="Q2073" s="50">
        <v>10.0</v>
      </c>
      <c r="R2073" s="50">
        <v>28.0</v>
      </c>
      <c r="S2073" s="50"/>
      <c r="T2073" s="56" t="s">
        <v>12899</v>
      </c>
      <c r="U2073" s="53" t="s">
        <v>691</v>
      </c>
    </row>
    <row r="2074">
      <c r="A2074" s="54" t="s">
        <v>12900</v>
      </c>
      <c r="B2074" s="50" t="s">
        <v>4389</v>
      </c>
      <c r="C2074" s="51" t="s">
        <v>10281</v>
      </c>
      <c r="D2074" s="51"/>
      <c r="E2074" s="51"/>
      <c r="F2074" s="51"/>
      <c r="G2074" s="50" t="s">
        <v>12901</v>
      </c>
      <c r="H2074" s="52">
        <v>44683.25262731481</v>
      </c>
      <c r="I2074" s="50"/>
      <c r="J2074" s="50"/>
      <c r="K2074" s="50"/>
      <c r="L2074" s="50"/>
      <c r="M2074" s="50" t="s">
        <v>4391</v>
      </c>
      <c r="N2074" s="50"/>
      <c r="O2074" s="53" t="s">
        <v>70</v>
      </c>
      <c r="P2074" s="55" t="s">
        <v>4392</v>
      </c>
      <c r="Q2074" s="50">
        <v>8141.0</v>
      </c>
      <c r="R2074" s="50">
        <v>4878.0</v>
      </c>
      <c r="S2074" s="50" t="s">
        <v>805</v>
      </c>
      <c r="T2074" s="56" t="s">
        <v>12902</v>
      </c>
      <c r="U2074" s="53" t="s">
        <v>10284</v>
      </c>
    </row>
    <row r="2075">
      <c r="A2075" s="54" t="s">
        <v>12903</v>
      </c>
      <c r="B2075" s="50" t="s">
        <v>12904</v>
      </c>
      <c r="C2075" s="51" t="s">
        <v>367</v>
      </c>
      <c r="D2075" s="51"/>
      <c r="E2075" s="51"/>
      <c r="F2075" s="51"/>
      <c r="G2075" s="50" t="s">
        <v>12905</v>
      </c>
      <c r="H2075" s="52">
        <v>44683.25255787037</v>
      </c>
      <c r="I2075" s="50"/>
      <c r="J2075" s="50"/>
      <c r="K2075" s="50"/>
      <c r="L2075" s="50"/>
      <c r="M2075" s="50" t="s">
        <v>12906</v>
      </c>
      <c r="N2075" s="50"/>
      <c r="O2075" s="53" t="s">
        <v>60</v>
      </c>
      <c r="P2075" s="55" t="s">
        <v>12907</v>
      </c>
      <c r="Q2075" s="50">
        <v>422.0</v>
      </c>
      <c r="R2075" s="50">
        <v>2521.0</v>
      </c>
      <c r="S2075" s="50" t="s">
        <v>12908</v>
      </c>
      <c r="T2075" s="56" t="s">
        <v>12909</v>
      </c>
      <c r="U2075" s="53" t="s">
        <v>370</v>
      </c>
    </row>
    <row r="2076">
      <c r="A2076" s="54" t="s">
        <v>12910</v>
      </c>
      <c r="B2076" s="50" t="s">
        <v>8762</v>
      </c>
      <c r="C2076" s="51" t="s">
        <v>12911</v>
      </c>
      <c r="D2076" s="51"/>
      <c r="E2076" s="51"/>
      <c r="F2076" s="51"/>
      <c r="G2076" s="50" t="s">
        <v>12912</v>
      </c>
      <c r="H2076" s="52">
        <v>44683.252546296295</v>
      </c>
      <c r="I2076" s="50"/>
      <c r="J2076" s="50"/>
      <c r="K2076" s="50" t="s">
        <v>3317</v>
      </c>
      <c r="L2076" s="50" t="s">
        <v>3318</v>
      </c>
      <c r="M2076" s="50" t="s">
        <v>8767</v>
      </c>
      <c r="N2076" s="50" t="s">
        <v>3426</v>
      </c>
      <c r="O2076" s="53" t="s">
        <v>70</v>
      </c>
      <c r="P2076" s="55" t="s">
        <v>8769</v>
      </c>
      <c r="Q2076" s="50">
        <v>2794.0</v>
      </c>
      <c r="R2076" s="50">
        <v>5001.0</v>
      </c>
      <c r="S2076" s="50" t="s">
        <v>1153</v>
      </c>
      <c r="T2076" s="56" t="s">
        <v>12913</v>
      </c>
      <c r="U2076" s="53" t="s">
        <v>12914</v>
      </c>
    </row>
    <row r="2077">
      <c r="A2077" s="54" t="s">
        <v>12915</v>
      </c>
      <c r="B2077" s="50" t="s">
        <v>12916</v>
      </c>
      <c r="C2077" s="51" t="s">
        <v>363</v>
      </c>
      <c r="D2077" s="51"/>
      <c r="E2077" s="51"/>
      <c r="F2077" s="51"/>
      <c r="G2077" s="50" t="s">
        <v>12917</v>
      </c>
      <c r="H2077" s="52">
        <v>44683.252442129626</v>
      </c>
      <c r="I2077" s="50"/>
      <c r="J2077" s="50"/>
      <c r="K2077" s="50"/>
      <c r="L2077" s="50"/>
      <c r="M2077" s="50" t="s">
        <v>12918</v>
      </c>
      <c r="N2077" s="50"/>
      <c r="O2077" s="53" t="s">
        <v>92</v>
      </c>
      <c r="P2077" s="55" t="s">
        <v>12919</v>
      </c>
      <c r="Q2077" s="50">
        <v>1391.0</v>
      </c>
      <c r="R2077" s="50">
        <v>1957.0</v>
      </c>
      <c r="S2077" s="50" t="s">
        <v>658</v>
      </c>
      <c r="T2077" s="56" t="s">
        <v>12920</v>
      </c>
      <c r="U2077" s="53" t="s">
        <v>332</v>
      </c>
    </row>
    <row r="2078">
      <c r="A2078" s="54" t="s">
        <v>12921</v>
      </c>
      <c r="B2078" s="50" t="s">
        <v>4389</v>
      </c>
      <c r="C2078" s="51" t="s">
        <v>12922</v>
      </c>
      <c r="D2078" s="51"/>
      <c r="E2078" s="51"/>
      <c r="F2078" s="51"/>
      <c r="G2078" s="50" t="s">
        <v>12923</v>
      </c>
      <c r="H2078" s="52">
        <v>44683.252430555556</v>
      </c>
      <c r="I2078" s="50"/>
      <c r="J2078" s="50"/>
      <c r="K2078" s="50" t="s">
        <v>12924</v>
      </c>
      <c r="L2078" s="50" t="s">
        <v>12925</v>
      </c>
      <c r="M2078" s="50" t="s">
        <v>4391</v>
      </c>
      <c r="N2078" s="50" t="s">
        <v>12926</v>
      </c>
      <c r="O2078" s="53" t="s">
        <v>70</v>
      </c>
      <c r="P2078" s="55" t="s">
        <v>4392</v>
      </c>
      <c r="Q2078" s="50">
        <v>8141.0</v>
      </c>
      <c r="R2078" s="50">
        <v>4878.0</v>
      </c>
      <c r="S2078" s="50" t="s">
        <v>805</v>
      </c>
      <c r="T2078" s="56" t="s">
        <v>12927</v>
      </c>
      <c r="U2078" s="53" t="s">
        <v>12928</v>
      </c>
    </row>
    <row r="2079">
      <c r="A2079" s="54" t="s">
        <v>12929</v>
      </c>
      <c r="B2079" s="50" t="s">
        <v>12930</v>
      </c>
      <c r="C2079" s="51" t="s">
        <v>363</v>
      </c>
      <c r="D2079" s="51"/>
      <c r="E2079" s="51"/>
      <c r="F2079" s="51"/>
      <c r="G2079" s="50" t="s">
        <v>12931</v>
      </c>
      <c r="H2079" s="52">
        <v>44683.25234953704</v>
      </c>
      <c r="I2079" s="50"/>
      <c r="J2079" s="50"/>
      <c r="K2079" s="50"/>
      <c r="L2079" s="50"/>
      <c r="M2079" s="50" t="s">
        <v>12932</v>
      </c>
      <c r="N2079" s="50"/>
      <c r="O2079" s="53" t="s">
        <v>60</v>
      </c>
      <c r="P2079" s="55" t="s">
        <v>12933</v>
      </c>
      <c r="Q2079" s="50">
        <v>2646.0</v>
      </c>
      <c r="R2079" s="50">
        <v>2708.0</v>
      </c>
      <c r="S2079" s="50" t="s">
        <v>12934</v>
      </c>
      <c r="T2079" s="56" t="s">
        <v>12935</v>
      </c>
      <c r="U2079" s="53" t="s">
        <v>332</v>
      </c>
    </row>
    <row r="2080">
      <c r="A2080" s="54" t="s">
        <v>12936</v>
      </c>
      <c r="B2080" s="50" t="s">
        <v>12937</v>
      </c>
      <c r="C2080" s="51" t="s">
        <v>12938</v>
      </c>
      <c r="D2080" s="51"/>
      <c r="E2080" s="51"/>
      <c r="F2080" s="51"/>
      <c r="G2080" s="50" t="s">
        <v>12939</v>
      </c>
      <c r="H2080" s="52">
        <v>44683.25208333333</v>
      </c>
      <c r="I2080" s="50"/>
      <c r="J2080" s="50"/>
      <c r="K2080" s="50" t="s">
        <v>12940</v>
      </c>
      <c r="L2080" s="50" t="s">
        <v>12941</v>
      </c>
      <c r="M2080" s="50" t="s">
        <v>12942</v>
      </c>
      <c r="N2080" s="50" t="s">
        <v>12943</v>
      </c>
      <c r="O2080" s="53" t="s">
        <v>92</v>
      </c>
      <c r="P2080" s="55" t="s">
        <v>12944</v>
      </c>
      <c r="Q2080" s="50">
        <v>82.0</v>
      </c>
      <c r="R2080" s="50">
        <v>907.0</v>
      </c>
      <c r="S2080" s="50"/>
      <c r="T2080" s="56" t="s">
        <v>12945</v>
      </c>
      <c r="U2080" s="53" t="s">
        <v>12946</v>
      </c>
    </row>
    <row r="2081">
      <c r="A2081" s="54" t="s">
        <v>12947</v>
      </c>
      <c r="B2081" s="50" t="s">
        <v>12948</v>
      </c>
      <c r="C2081" s="51" t="s">
        <v>367</v>
      </c>
      <c r="D2081" s="51"/>
      <c r="E2081" s="51"/>
      <c r="F2081" s="51"/>
      <c r="G2081" s="50" t="s">
        <v>12949</v>
      </c>
      <c r="H2081" s="52">
        <v>44683.251967592594</v>
      </c>
      <c r="I2081" s="50"/>
      <c r="J2081" s="50"/>
      <c r="K2081" s="50"/>
      <c r="L2081" s="50"/>
      <c r="M2081" s="50" t="s">
        <v>12950</v>
      </c>
      <c r="N2081" s="50"/>
      <c r="O2081" s="53" t="s">
        <v>92</v>
      </c>
      <c r="P2081" s="55" t="s">
        <v>12951</v>
      </c>
      <c r="Q2081" s="50">
        <v>11003.0</v>
      </c>
      <c r="R2081" s="50">
        <v>3547.0</v>
      </c>
      <c r="S2081" s="50"/>
      <c r="T2081" s="56" t="s">
        <v>12952</v>
      </c>
      <c r="U2081" s="53" t="s">
        <v>370</v>
      </c>
    </row>
    <row r="2082">
      <c r="A2082" s="54" t="s">
        <v>12953</v>
      </c>
      <c r="B2082" s="50" t="s">
        <v>12954</v>
      </c>
      <c r="C2082" s="51" t="s">
        <v>363</v>
      </c>
      <c r="D2082" s="51"/>
      <c r="E2082" s="51"/>
      <c r="F2082" s="51"/>
      <c r="G2082" s="50" t="s">
        <v>12955</v>
      </c>
      <c r="H2082" s="52">
        <v>44683.2518287037</v>
      </c>
      <c r="I2082" s="50"/>
      <c r="J2082" s="50"/>
      <c r="K2082" s="50"/>
      <c r="L2082" s="50"/>
      <c r="M2082" s="50" t="s">
        <v>12956</v>
      </c>
      <c r="N2082" s="50"/>
      <c r="O2082" s="53" t="s">
        <v>60</v>
      </c>
      <c r="P2082" s="55" t="s">
        <v>12957</v>
      </c>
      <c r="Q2082" s="50">
        <v>2080.0</v>
      </c>
      <c r="R2082" s="50">
        <v>4999.0</v>
      </c>
      <c r="S2082" s="50"/>
      <c r="T2082" s="56" t="s">
        <v>12958</v>
      </c>
      <c r="U2082" s="53" t="s">
        <v>332</v>
      </c>
    </row>
    <row r="2083">
      <c r="A2083" s="54" t="s">
        <v>12959</v>
      </c>
      <c r="B2083" s="50" t="s">
        <v>12960</v>
      </c>
      <c r="C2083" s="51" t="s">
        <v>367</v>
      </c>
      <c r="D2083" s="51"/>
      <c r="E2083" s="51"/>
      <c r="F2083" s="51"/>
      <c r="G2083" s="50" t="s">
        <v>12961</v>
      </c>
      <c r="H2083" s="52">
        <v>44683.25142361112</v>
      </c>
      <c r="I2083" s="50"/>
      <c r="J2083" s="50"/>
      <c r="K2083" s="50"/>
      <c r="L2083" s="50"/>
      <c r="M2083" s="50" t="s">
        <v>12962</v>
      </c>
      <c r="N2083" s="50"/>
      <c r="O2083" s="53" t="s">
        <v>60</v>
      </c>
      <c r="P2083" s="55" t="s">
        <v>354</v>
      </c>
      <c r="Q2083" s="50">
        <v>755.0</v>
      </c>
      <c r="R2083" s="50">
        <v>814.0</v>
      </c>
      <c r="S2083" s="50"/>
      <c r="T2083" s="56" t="s">
        <v>12963</v>
      </c>
      <c r="U2083" s="53" t="s">
        <v>370</v>
      </c>
    </row>
    <row r="2084">
      <c r="A2084" s="54" t="s">
        <v>12964</v>
      </c>
      <c r="B2084" s="50" t="s">
        <v>12965</v>
      </c>
      <c r="C2084" s="51" t="s">
        <v>367</v>
      </c>
      <c r="D2084" s="51"/>
      <c r="E2084" s="51"/>
      <c r="F2084" s="51"/>
      <c r="G2084" s="50" t="s">
        <v>12966</v>
      </c>
      <c r="H2084" s="52">
        <v>44683.25109953704</v>
      </c>
      <c r="I2084" s="50"/>
      <c r="J2084" s="50"/>
      <c r="K2084" s="50"/>
      <c r="L2084" s="50"/>
      <c r="M2084" s="50" t="s">
        <v>12967</v>
      </c>
      <c r="N2084" s="50"/>
      <c r="O2084" s="53" t="s">
        <v>92</v>
      </c>
      <c r="P2084" s="55" t="s">
        <v>12968</v>
      </c>
      <c r="Q2084" s="50">
        <v>4246.0</v>
      </c>
      <c r="R2084" s="50">
        <v>1840.0</v>
      </c>
      <c r="S2084" s="50" t="s">
        <v>12969</v>
      </c>
      <c r="T2084" s="56" t="s">
        <v>12970</v>
      </c>
      <c r="U2084" s="53" t="s">
        <v>370</v>
      </c>
    </row>
    <row r="2085">
      <c r="A2085" s="54" t="s">
        <v>12971</v>
      </c>
      <c r="B2085" s="50" t="s">
        <v>12972</v>
      </c>
      <c r="C2085" s="51" t="s">
        <v>367</v>
      </c>
      <c r="D2085" s="51"/>
      <c r="E2085" s="51"/>
      <c r="F2085" s="51"/>
      <c r="G2085" s="50" t="s">
        <v>12973</v>
      </c>
      <c r="H2085" s="52">
        <v>44683.25047453704</v>
      </c>
      <c r="I2085" s="50"/>
      <c r="J2085" s="50"/>
      <c r="K2085" s="50"/>
      <c r="L2085" s="50"/>
      <c r="M2085" s="50" t="s">
        <v>12974</v>
      </c>
      <c r="N2085" s="50"/>
      <c r="O2085" s="53" t="s">
        <v>92</v>
      </c>
      <c r="P2085" s="55" t="s">
        <v>12975</v>
      </c>
      <c r="Q2085" s="50">
        <v>9889.0</v>
      </c>
      <c r="R2085" s="50">
        <v>7429.0</v>
      </c>
      <c r="S2085" s="50" t="s">
        <v>246</v>
      </c>
      <c r="T2085" s="56" t="s">
        <v>12976</v>
      </c>
      <c r="U2085" s="53" t="s">
        <v>370</v>
      </c>
    </row>
    <row r="2086">
      <c r="A2086" s="54" t="s">
        <v>12977</v>
      </c>
      <c r="B2086" s="50" t="s">
        <v>12978</v>
      </c>
      <c r="C2086" s="51" t="s">
        <v>363</v>
      </c>
      <c r="D2086" s="51"/>
      <c r="E2086" s="51"/>
      <c r="F2086" s="51"/>
      <c r="G2086" s="50" t="s">
        <v>12979</v>
      </c>
      <c r="H2086" s="52">
        <v>44683.25009259259</v>
      </c>
      <c r="I2086" s="50"/>
      <c r="J2086" s="50"/>
      <c r="K2086" s="50"/>
      <c r="L2086" s="50"/>
      <c r="M2086" s="50" t="s">
        <v>12980</v>
      </c>
      <c r="N2086" s="50"/>
      <c r="O2086" s="53" t="s">
        <v>92</v>
      </c>
      <c r="P2086" s="55" t="s">
        <v>12981</v>
      </c>
      <c r="Q2086" s="50">
        <v>1048.0</v>
      </c>
      <c r="R2086" s="50">
        <v>1171.0</v>
      </c>
      <c r="S2086" s="50" t="s">
        <v>12982</v>
      </c>
      <c r="T2086" s="56" t="s">
        <v>12983</v>
      </c>
      <c r="U2086" s="53" t="s">
        <v>332</v>
      </c>
    </row>
    <row r="2087">
      <c r="A2087" s="54" t="s">
        <v>12984</v>
      </c>
      <c r="B2087" s="50" t="s">
        <v>12985</v>
      </c>
      <c r="C2087" s="51" t="s">
        <v>12986</v>
      </c>
      <c r="D2087" s="51"/>
      <c r="E2087" s="51"/>
      <c r="F2087" s="51"/>
      <c r="G2087" s="50" t="s">
        <v>12987</v>
      </c>
      <c r="H2087" s="52">
        <v>44683.25001157407</v>
      </c>
      <c r="I2087" s="50"/>
      <c r="J2087" s="50"/>
      <c r="K2087" s="50" t="s">
        <v>12988</v>
      </c>
      <c r="L2087" s="50" t="s">
        <v>12989</v>
      </c>
      <c r="M2087" s="50" t="s">
        <v>12990</v>
      </c>
      <c r="N2087" s="50" t="s">
        <v>12991</v>
      </c>
      <c r="O2087" s="53" t="s">
        <v>92</v>
      </c>
      <c r="P2087" s="55" t="s">
        <v>12992</v>
      </c>
      <c r="Q2087" s="50">
        <v>252.0</v>
      </c>
      <c r="R2087" s="50">
        <v>916.0</v>
      </c>
      <c r="S2087" s="50" t="s">
        <v>12993</v>
      </c>
      <c r="T2087" s="56" t="s">
        <v>12994</v>
      </c>
      <c r="U2087" s="53" t="s">
        <v>12995</v>
      </c>
    </row>
    <row r="2088">
      <c r="A2088" s="54" t="s">
        <v>12996</v>
      </c>
      <c r="B2088" s="50" t="s">
        <v>12997</v>
      </c>
      <c r="C2088" s="51" t="s">
        <v>363</v>
      </c>
      <c r="D2088" s="51"/>
      <c r="E2088" s="51"/>
      <c r="F2088" s="51"/>
      <c r="G2088" s="50" t="s">
        <v>12998</v>
      </c>
      <c r="H2088" s="52">
        <v>44683.249872685185</v>
      </c>
      <c r="I2088" s="50"/>
      <c r="J2088" s="50"/>
      <c r="K2088" s="50"/>
      <c r="L2088" s="50"/>
      <c r="M2088" s="50" t="s">
        <v>12999</v>
      </c>
      <c r="N2088" s="50"/>
      <c r="O2088" s="53" t="s">
        <v>70</v>
      </c>
      <c r="P2088" s="55" t="s">
        <v>354</v>
      </c>
      <c r="Q2088" s="50">
        <v>11.0</v>
      </c>
      <c r="R2088" s="50">
        <v>73.0</v>
      </c>
      <c r="S2088" s="50"/>
      <c r="T2088" s="56" t="s">
        <v>13000</v>
      </c>
      <c r="U2088" s="53" t="s">
        <v>332</v>
      </c>
    </row>
    <row r="2089">
      <c r="A2089" s="54" t="s">
        <v>13001</v>
      </c>
      <c r="B2089" s="50" t="s">
        <v>13002</v>
      </c>
      <c r="C2089" s="51" t="s">
        <v>367</v>
      </c>
      <c r="D2089" s="51"/>
      <c r="E2089" s="51"/>
      <c r="F2089" s="51"/>
      <c r="G2089" s="50" t="s">
        <v>13003</v>
      </c>
      <c r="H2089" s="52">
        <v>44683.24974537037</v>
      </c>
      <c r="I2089" s="50"/>
      <c r="J2089" s="50"/>
      <c r="K2089" s="50"/>
      <c r="L2089" s="50"/>
      <c r="M2089" s="50" t="s">
        <v>13004</v>
      </c>
      <c r="N2089" s="50"/>
      <c r="O2089" s="53" t="s">
        <v>92</v>
      </c>
      <c r="P2089" s="55" t="s">
        <v>13005</v>
      </c>
      <c r="Q2089" s="50">
        <v>58.0</v>
      </c>
      <c r="R2089" s="50">
        <v>144.0</v>
      </c>
      <c r="S2089" s="50"/>
      <c r="T2089" s="56" t="s">
        <v>13006</v>
      </c>
      <c r="U2089" s="53" t="s">
        <v>370</v>
      </c>
    </row>
    <row r="2090">
      <c r="A2090" s="54" t="s">
        <v>13007</v>
      </c>
      <c r="B2090" s="50" t="s">
        <v>12930</v>
      </c>
      <c r="C2090" s="51" t="s">
        <v>316</v>
      </c>
      <c r="D2090" s="51"/>
      <c r="E2090" s="51"/>
      <c r="F2090" s="51"/>
      <c r="G2090" s="50" t="s">
        <v>13008</v>
      </c>
      <c r="H2090" s="52">
        <v>44683.24953703704</v>
      </c>
      <c r="I2090" s="50"/>
      <c r="J2090" s="50"/>
      <c r="K2090" s="50"/>
      <c r="L2090" s="50"/>
      <c r="M2090" s="50" t="s">
        <v>12932</v>
      </c>
      <c r="N2090" s="50"/>
      <c r="O2090" s="53" t="s">
        <v>60</v>
      </c>
      <c r="P2090" s="55" t="s">
        <v>12933</v>
      </c>
      <c r="Q2090" s="50">
        <v>2646.0</v>
      </c>
      <c r="R2090" s="50">
        <v>2708.0</v>
      </c>
      <c r="S2090" s="50" t="s">
        <v>12934</v>
      </c>
      <c r="T2090" s="56" t="s">
        <v>13009</v>
      </c>
      <c r="U2090" s="53" t="s">
        <v>322</v>
      </c>
    </row>
    <row r="2091">
      <c r="A2091" s="54" t="s">
        <v>13010</v>
      </c>
      <c r="B2091" s="50" t="s">
        <v>13011</v>
      </c>
      <c r="C2091" s="51" t="s">
        <v>367</v>
      </c>
      <c r="D2091" s="51"/>
      <c r="E2091" s="51"/>
      <c r="F2091" s="51"/>
      <c r="G2091" s="50" t="s">
        <v>13012</v>
      </c>
      <c r="H2091" s="52">
        <v>44683.248831018514</v>
      </c>
      <c r="I2091" s="50"/>
      <c r="J2091" s="50"/>
      <c r="K2091" s="50"/>
      <c r="L2091" s="50"/>
      <c r="M2091" s="50" t="s">
        <v>13013</v>
      </c>
      <c r="N2091" s="50"/>
      <c r="O2091" s="53" t="s">
        <v>92</v>
      </c>
      <c r="P2091" s="55" t="s">
        <v>13014</v>
      </c>
      <c r="Q2091" s="50">
        <v>45.0</v>
      </c>
      <c r="R2091" s="50">
        <v>298.0</v>
      </c>
      <c r="S2091" s="50"/>
      <c r="T2091" s="56" t="s">
        <v>13015</v>
      </c>
      <c r="U2091" s="53" t="s">
        <v>370</v>
      </c>
    </row>
    <row r="2092">
      <c r="A2092" s="54" t="s">
        <v>13016</v>
      </c>
      <c r="B2092" s="50" t="s">
        <v>13017</v>
      </c>
      <c r="C2092" s="51" t="s">
        <v>367</v>
      </c>
      <c r="D2092" s="51"/>
      <c r="E2092" s="51"/>
      <c r="F2092" s="51"/>
      <c r="G2092" s="50" t="s">
        <v>13018</v>
      </c>
      <c r="H2092" s="52">
        <v>44683.24868055555</v>
      </c>
      <c r="I2092" s="50"/>
      <c r="J2092" s="50"/>
      <c r="K2092" s="50"/>
      <c r="L2092" s="50"/>
      <c r="M2092" s="50" t="s">
        <v>13019</v>
      </c>
      <c r="N2092" s="50"/>
      <c r="O2092" s="53" t="s">
        <v>92</v>
      </c>
      <c r="P2092" s="55" t="s">
        <v>13020</v>
      </c>
      <c r="Q2092" s="50">
        <v>2480.0</v>
      </c>
      <c r="R2092" s="50">
        <v>3735.0</v>
      </c>
      <c r="S2092" s="50" t="s">
        <v>13021</v>
      </c>
      <c r="T2092" s="56" t="s">
        <v>13022</v>
      </c>
      <c r="U2092" s="53" t="s">
        <v>370</v>
      </c>
    </row>
    <row r="2093">
      <c r="A2093" s="54" t="s">
        <v>13023</v>
      </c>
      <c r="B2093" s="50" t="s">
        <v>13024</v>
      </c>
      <c r="C2093" s="51" t="s">
        <v>363</v>
      </c>
      <c r="D2093" s="51"/>
      <c r="E2093" s="51"/>
      <c r="F2093" s="51"/>
      <c r="G2093" s="50" t="s">
        <v>13025</v>
      </c>
      <c r="H2093" s="52">
        <v>44683.24857638888</v>
      </c>
      <c r="I2093" s="50"/>
      <c r="J2093" s="50"/>
      <c r="K2093" s="50"/>
      <c r="L2093" s="50"/>
      <c r="M2093" s="50" t="s">
        <v>13026</v>
      </c>
      <c r="N2093" s="50"/>
      <c r="O2093" s="53" t="s">
        <v>92</v>
      </c>
      <c r="P2093" s="55" t="s">
        <v>13027</v>
      </c>
      <c r="Q2093" s="50">
        <v>5588.0</v>
      </c>
      <c r="R2093" s="50">
        <v>5611.0</v>
      </c>
      <c r="S2093" s="50" t="s">
        <v>13028</v>
      </c>
      <c r="T2093" s="56" t="s">
        <v>13029</v>
      </c>
      <c r="U2093" s="53" t="s">
        <v>332</v>
      </c>
    </row>
    <row r="2094">
      <c r="A2094" s="54" t="s">
        <v>13030</v>
      </c>
      <c r="B2094" s="50" t="s">
        <v>13031</v>
      </c>
      <c r="C2094" s="51" t="s">
        <v>367</v>
      </c>
      <c r="D2094" s="51"/>
      <c r="E2094" s="51"/>
      <c r="F2094" s="51"/>
      <c r="G2094" s="50" t="s">
        <v>13032</v>
      </c>
      <c r="H2094" s="52">
        <v>44683.24847222222</v>
      </c>
      <c r="I2094" s="50"/>
      <c r="J2094" s="50"/>
      <c r="K2094" s="50"/>
      <c r="L2094" s="50"/>
      <c r="M2094" s="50" t="s">
        <v>13033</v>
      </c>
      <c r="N2094" s="50"/>
      <c r="O2094" s="53" t="s">
        <v>70</v>
      </c>
      <c r="P2094" s="55" t="s">
        <v>13034</v>
      </c>
      <c r="Q2094" s="50">
        <v>3900.0</v>
      </c>
      <c r="R2094" s="50">
        <v>4992.0</v>
      </c>
      <c r="S2094" s="50" t="s">
        <v>13035</v>
      </c>
      <c r="T2094" s="56" t="s">
        <v>13036</v>
      </c>
      <c r="U2094" s="53" t="s">
        <v>370</v>
      </c>
    </row>
    <row r="2095">
      <c r="A2095" s="54" t="s">
        <v>13037</v>
      </c>
      <c r="B2095" s="50" t="s">
        <v>13024</v>
      </c>
      <c r="C2095" s="51" t="s">
        <v>367</v>
      </c>
      <c r="D2095" s="51"/>
      <c r="E2095" s="51"/>
      <c r="F2095" s="51"/>
      <c r="G2095" s="50" t="s">
        <v>13038</v>
      </c>
      <c r="H2095" s="52">
        <v>44683.248125</v>
      </c>
      <c r="I2095" s="50"/>
      <c r="J2095" s="50"/>
      <c r="K2095" s="50"/>
      <c r="L2095" s="50"/>
      <c r="M2095" s="50" t="s">
        <v>13026</v>
      </c>
      <c r="N2095" s="50"/>
      <c r="O2095" s="53" t="s">
        <v>92</v>
      </c>
      <c r="P2095" s="55" t="s">
        <v>13027</v>
      </c>
      <c r="Q2095" s="50">
        <v>5588.0</v>
      </c>
      <c r="R2095" s="50">
        <v>5611.0</v>
      </c>
      <c r="S2095" s="50" t="s">
        <v>13028</v>
      </c>
      <c r="T2095" s="56" t="s">
        <v>13039</v>
      </c>
      <c r="U2095" s="53" t="s">
        <v>370</v>
      </c>
    </row>
    <row r="2096">
      <c r="A2096" s="54" t="s">
        <v>13040</v>
      </c>
      <c r="B2096" s="50" t="s">
        <v>10425</v>
      </c>
      <c r="C2096" s="51" t="s">
        <v>316</v>
      </c>
      <c r="D2096" s="51"/>
      <c r="E2096" s="51"/>
      <c r="F2096" s="51"/>
      <c r="G2096" s="50" t="s">
        <v>13041</v>
      </c>
      <c r="H2096" s="52">
        <v>44683.248078703706</v>
      </c>
      <c r="I2096" s="50"/>
      <c r="J2096" s="50"/>
      <c r="K2096" s="50"/>
      <c r="L2096" s="50"/>
      <c r="M2096" s="50" t="s">
        <v>10426</v>
      </c>
      <c r="N2096" s="50"/>
      <c r="O2096" s="53" t="s">
        <v>70</v>
      </c>
      <c r="P2096" s="55" t="s">
        <v>10427</v>
      </c>
      <c r="Q2096" s="50">
        <v>4453.0</v>
      </c>
      <c r="R2096" s="50">
        <v>5001.0</v>
      </c>
      <c r="S2096" s="50" t="s">
        <v>10428</v>
      </c>
      <c r="T2096" s="56" t="s">
        <v>13042</v>
      </c>
      <c r="U2096" s="53" t="s">
        <v>322</v>
      </c>
    </row>
    <row r="2097">
      <c r="A2097" s="54" t="s">
        <v>13043</v>
      </c>
      <c r="B2097" s="50" t="s">
        <v>13002</v>
      </c>
      <c r="C2097" s="51" t="s">
        <v>316</v>
      </c>
      <c r="D2097" s="51"/>
      <c r="E2097" s="51"/>
      <c r="F2097" s="51"/>
      <c r="G2097" s="50" t="s">
        <v>13044</v>
      </c>
      <c r="H2097" s="52">
        <v>44683.24806712963</v>
      </c>
      <c r="I2097" s="50"/>
      <c r="J2097" s="50"/>
      <c r="K2097" s="50"/>
      <c r="L2097" s="50"/>
      <c r="M2097" s="50" t="s">
        <v>13004</v>
      </c>
      <c r="N2097" s="50"/>
      <c r="O2097" s="53" t="s">
        <v>92</v>
      </c>
      <c r="P2097" s="55" t="s">
        <v>13005</v>
      </c>
      <c r="Q2097" s="50">
        <v>58.0</v>
      </c>
      <c r="R2097" s="50">
        <v>144.0</v>
      </c>
      <c r="S2097" s="50"/>
      <c r="T2097" s="56" t="s">
        <v>13045</v>
      </c>
      <c r="U2097" s="53" t="s">
        <v>322</v>
      </c>
    </row>
    <row r="2098">
      <c r="A2098" s="54" t="s">
        <v>13046</v>
      </c>
      <c r="B2098" s="50" t="s">
        <v>13047</v>
      </c>
      <c r="C2098" s="51" t="s">
        <v>363</v>
      </c>
      <c r="D2098" s="51"/>
      <c r="E2098" s="51"/>
      <c r="F2098" s="51"/>
      <c r="G2098" s="50" t="s">
        <v>13048</v>
      </c>
      <c r="H2098" s="52">
        <v>44683.247986111106</v>
      </c>
      <c r="I2098" s="50"/>
      <c r="J2098" s="50"/>
      <c r="K2098" s="50"/>
      <c r="L2098" s="50"/>
      <c r="M2098" s="50" t="s">
        <v>13049</v>
      </c>
      <c r="N2098" s="50"/>
      <c r="O2098" s="53" t="s">
        <v>60</v>
      </c>
      <c r="P2098" s="55" t="s">
        <v>13050</v>
      </c>
      <c r="Q2098" s="50">
        <v>24432.0</v>
      </c>
      <c r="R2098" s="50">
        <v>26031.0</v>
      </c>
      <c r="S2098" s="50" t="s">
        <v>13051</v>
      </c>
      <c r="T2098" s="56" t="s">
        <v>13052</v>
      </c>
      <c r="U2098" s="53" t="s">
        <v>332</v>
      </c>
    </row>
    <row r="2099">
      <c r="A2099" s="54" t="s">
        <v>13053</v>
      </c>
      <c r="B2099" s="50" t="s">
        <v>13054</v>
      </c>
      <c r="C2099" s="51" t="s">
        <v>13055</v>
      </c>
      <c r="D2099" s="51"/>
      <c r="E2099" s="51"/>
      <c r="F2099" s="51"/>
      <c r="G2099" s="50" t="s">
        <v>13056</v>
      </c>
      <c r="H2099" s="52">
        <v>44683.2478587963</v>
      </c>
      <c r="I2099" s="50"/>
      <c r="J2099" s="50"/>
      <c r="K2099" s="50"/>
      <c r="L2099" s="50"/>
      <c r="M2099" s="50" t="s">
        <v>13057</v>
      </c>
      <c r="N2099" s="50"/>
      <c r="O2099" s="53" t="s">
        <v>70</v>
      </c>
      <c r="P2099" s="55" t="s">
        <v>354</v>
      </c>
      <c r="Q2099" s="50">
        <v>185.0</v>
      </c>
      <c r="R2099" s="50">
        <v>83.0</v>
      </c>
      <c r="S2099" s="50"/>
      <c r="T2099" s="56" t="s">
        <v>13058</v>
      </c>
      <c r="U2099" s="53" t="s">
        <v>13059</v>
      </c>
    </row>
    <row r="2100">
      <c r="A2100" s="54" t="s">
        <v>13060</v>
      </c>
      <c r="B2100" s="50" t="s">
        <v>13061</v>
      </c>
      <c r="C2100" s="51" t="s">
        <v>367</v>
      </c>
      <c r="D2100" s="51"/>
      <c r="E2100" s="51"/>
      <c r="F2100" s="51"/>
      <c r="G2100" s="50" t="s">
        <v>13062</v>
      </c>
      <c r="H2100" s="52">
        <v>44683.24732638889</v>
      </c>
      <c r="I2100" s="50"/>
      <c r="J2100" s="50"/>
      <c r="K2100" s="50"/>
      <c r="L2100" s="50"/>
      <c r="M2100" s="50" t="s">
        <v>13063</v>
      </c>
      <c r="N2100" s="50"/>
      <c r="O2100" s="53" t="s">
        <v>70</v>
      </c>
      <c r="P2100" s="55" t="s">
        <v>13064</v>
      </c>
      <c r="Q2100" s="50">
        <v>76.0</v>
      </c>
      <c r="R2100" s="50">
        <v>88.0</v>
      </c>
      <c r="S2100" s="50"/>
      <c r="T2100" s="56" t="s">
        <v>13065</v>
      </c>
      <c r="U2100" s="53" t="s">
        <v>370</v>
      </c>
    </row>
    <row r="2101">
      <c r="A2101" s="54" t="s">
        <v>13066</v>
      </c>
      <c r="B2101" s="50" t="s">
        <v>13067</v>
      </c>
      <c r="C2101" s="51" t="s">
        <v>13068</v>
      </c>
      <c r="D2101" s="51"/>
      <c r="E2101" s="51"/>
      <c r="F2101" s="51"/>
      <c r="G2101" s="50" t="s">
        <v>13069</v>
      </c>
      <c r="H2101" s="52">
        <v>44683.24729166667</v>
      </c>
      <c r="I2101" s="50"/>
      <c r="J2101" s="50"/>
      <c r="K2101" s="50"/>
      <c r="L2101" s="50"/>
      <c r="M2101" s="50" t="s">
        <v>13070</v>
      </c>
      <c r="N2101" s="50"/>
      <c r="O2101" s="53" t="s">
        <v>13071</v>
      </c>
      <c r="P2101" s="55" t="s">
        <v>13072</v>
      </c>
      <c r="Q2101" s="50">
        <v>10944.0</v>
      </c>
      <c r="R2101" s="50">
        <v>18.0</v>
      </c>
      <c r="S2101" s="50"/>
      <c r="T2101" s="56" t="s">
        <v>13073</v>
      </c>
      <c r="U2101" s="53" t="s">
        <v>13074</v>
      </c>
    </row>
    <row r="2102">
      <c r="A2102" s="54" t="s">
        <v>13075</v>
      </c>
      <c r="B2102" s="50" t="s">
        <v>13076</v>
      </c>
      <c r="C2102" s="51" t="s">
        <v>367</v>
      </c>
      <c r="D2102" s="51"/>
      <c r="E2102" s="51"/>
      <c r="F2102" s="51"/>
      <c r="G2102" s="50" t="s">
        <v>13077</v>
      </c>
      <c r="H2102" s="52">
        <v>44683.247141203705</v>
      </c>
      <c r="I2102" s="50"/>
      <c r="J2102" s="50"/>
      <c r="K2102" s="50"/>
      <c r="L2102" s="50"/>
      <c r="M2102" s="50" t="s">
        <v>13078</v>
      </c>
      <c r="N2102" s="50"/>
      <c r="O2102" s="53" t="s">
        <v>60</v>
      </c>
      <c r="P2102" s="55" t="s">
        <v>13079</v>
      </c>
      <c r="Q2102" s="50">
        <v>10279.0</v>
      </c>
      <c r="R2102" s="50">
        <v>10024.0</v>
      </c>
      <c r="S2102" s="50" t="s">
        <v>13080</v>
      </c>
      <c r="T2102" s="56" t="s">
        <v>13081</v>
      </c>
      <c r="U2102" s="53" t="s">
        <v>370</v>
      </c>
    </row>
    <row r="2103">
      <c r="A2103" s="54" t="s">
        <v>13082</v>
      </c>
      <c r="B2103" s="50" t="s">
        <v>13083</v>
      </c>
      <c r="C2103" s="51" t="s">
        <v>13084</v>
      </c>
      <c r="D2103" s="51"/>
      <c r="E2103" s="51"/>
      <c r="F2103" s="51"/>
      <c r="G2103" s="50" t="s">
        <v>13085</v>
      </c>
      <c r="H2103" s="52">
        <v>44683.245983796296</v>
      </c>
      <c r="I2103" s="50"/>
      <c r="J2103" s="50"/>
      <c r="K2103" s="50"/>
      <c r="L2103" s="50"/>
      <c r="M2103" s="50" t="s">
        <v>13086</v>
      </c>
      <c r="N2103" s="50"/>
      <c r="O2103" s="53" t="s">
        <v>70</v>
      </c>
      <c r="P2103" s="55" t="s">
        <v>13087</v>
      </c>
      <c r="Q2103" s="50">
        <v>4333.0</v>
      </c>
      <c r="R2103" s="50">
        <v>4405.0</v>
      </c>
      <c r="S2103" s="50" t="s">
        <v>13088</v>
      </c>
      <c r="T2103" s="56" t="s">
        <v>13089</v>
      </c>
      <c r="U2103" s="53" t="s">
        <v>13090</v>
      </c>
    </row>
    <row r="2104">
      <c r="A2104" s="54" t="s">
        <v>13091</v>
      </c>
      <c r="B2104" s="50" t="s">
        <v>13092</v>
      </c>
      <c r="C2104" s="51" t="s">
        <v>367</v>
      </c>
      <c r="D2104" s="51"/>
      <c r="E2104" s="51"/>
      <c r="F2104" s="51"/>
      <c r="G2104" s="50" t="s">
        <v>13093</v>
      </c>
      <c r="H2104" s="52">
        <v>44683.245254629626</v>
      </c>
      <c r="I2104" s="50"/>
      <c r="J2104" s="50"/>
      <c r="K2104" s="50"/>
      <c r="L2104" s="50"/>
      <c r="M2104" s="50" t="s">
        <v>13094</v>
      </c>
      <c r="N2104" s="50"/>
      <c r="O2104" s="53" t="s">
        <v>70</v>
      </c>
      <c r="P2104" s="55" t="s">
        <v>13095</v>
      </c>
      <c r="Q2104" s="50">
        <v>10663.0</v>
      </c>
      <c r="R2104" s="50">
        <v>10681.0</v>
      </c>
      <c r="S2104" s="50"/>
      <c r="T2104" s="56" t="s">
        <v>13096</v>
      </c>
      <c r="U2104" s="53" t="s">
        <v>370</v>
      </c>
    </row>
    <row r="2105">
      <c r="A2105" s="54" t="s">
        <v>13097</v>
      </c>
      <c r="B2105" s="50" t="s">
        <v>1575</v>
      </c>
      <c r="C2105" s="51" t="s">
        <v>13098</v>
      </c>
      <c r="D2105" s="51"/>
      <c r="E2105" s="51"/>
      <c r="F2105" s="51"/>
      <c r="G2105" s="50" t="s">
        <v>13099</v>
      </c>
      <c r="H2105" s="52">
        <v>44683.24496527778</v>
      </c>
      <c r="I2105" s="50"/>
      <c r="J2105" s="50"/>
      <c r="K2105" s="50" t="s">
        <v>13100</v>
      </c>
      <c r="L2105" s="50" t="s">
        <v>13101</v>
      </c>
      <c r="M2105" s="50" t="s">
        <v>1574</v>
      </c>
      <c r="N2105" s="50" t="s">
        <v>13102</v>
      </c>
      <c r="O2105" s="53" t="s">
        <v>60</v>
      </c>
      <c r="P2105" s="55" t="s">
        <v>8662</v>
      </c>
      <c r="Q2105" s="50">
        <v>3033.0</v>
      </c>
      <c r="R2105" s="50">
        <v>4246.0</v>
      </c>
      <c r="S2105" s="50" t="s">
        <v>8663</v>
      </c>
      <c r="T2105" s="56" t="s">
        <v>13103</v>
      </c>
      <c r="U2105" s="53" t="s">
        <v>13104</v>
      </c>
    </row>
    <row r="2106">
      <c r="A2106" s="54" t="s">
        <v>13105</v>
      </c>
      <c r="B2106" s="50" t="s">
        <v>13106</v>
      </c>
      <c r="C2106" s="51" t="s">
        <v>316</v>
      </c>
      <c r="D2106" s="51"/>
      <c r="E2106" s="51"/>
      <c r="F2106" s="51"/>
      <c r="G2106" s="50" t="s">
        <v>13107</v>
      </c>
      <c r="H2106" s="52">
        <v>44683.243263888886</v>
      </c>
      <c r="I2106" s="50"/>
      <c r="J2106" s="50"/>
      <c r="K2106" s="50"/>
      <c r="L2106" s="50"/>
      <c r="M2106" s="50" t="s">
        <v>13108</v>
      </c>
      <c r="N2106" s="50"/>
      <c r="O2106" s="53" t="s">
        <v>92</v>
      </c>
      <c r="P2106" s="55" t="s">
        <v>13109</v>
      </c>
      <c r="Q2106" s="50">
        <v>233.0</v>
      </c>
      <c r="R2106" s="50">
        <v>337.0</v>
      </c>
      <c r="S2106" s="50" t="s">
        <v>13110</v>
      </c>
      <c r="T2106" s="56" t="s">
        <v>13111</v>
      </c>
      <c r="U2106" s="53" t="s">
        <v>322</v>
      </c>
    </row>
    <row r="2107">
      <c r="A2107" s="54" t="s">
        <v>13112</v>
      </c>
      <c r="B2107" s="50" t="s">
        <v>13113</v>
      </c>
      <c r="C2107" s="51" t="s">
        <v>367</v>
      </c>
      <c r="D2107" s="51"/>
      <c r="E2107" s="51"/>
      <c r="F2107" s="51"/>
      <c r="G2107" s="50" t="s">
        <v>13114</v>
      </c>
      <c r="H2107" s="52">
        <v>44683.24269675926</v>
      </c>
      <c r="I2107" s="50"/>
      <c r="J2107" s="50"/>
      <c r="K2107" s="50"/>
      <c r="L2107" s="50"/>
      <c r="M2107" s="50" t="s">
        <v>13115</v>
      </c>
      <c r="N2107" s="50"/>
      <c r="O2107" s="53" t="s">
        <v>70</v>
      </c>
      <c r="P2107" s="55" t="s">
        <v>13116</v>
      </c>
      <c r="Q2107" s="50">
        <v>113.0</v>
      </c>
      <c r="R2107" s="50">
        <v>535.0</v>
      </c>
      <c r="S2107" s="50"/>
      <c r="T2107" s="56" t="s">
        <v>13117</v>
      </c>
      <c r="U2107" s="53" t="s">
        <v>370</v>
      </c>
    </row>
    <row r="2108">
      <c r="A2108" s="54" t="s">
        <v>13118</v>
      </c>
      <c r="B2108" s="50" t="s">
        <v>13119</v>
      </c>
      <c r="C2108" s="51" t="s">
        <v>329</v>
      </c>
      <c r="D2108" s="51"/>
      <c r="E2108" s="51"/>
      <c r="F2108" s="51"/>
      <c r="G2108" s="50" t="s">
        <v>13120</v>
      </c>
      <c r="H2108" s="52">
        <v>44683.24246527778</v>
      </c>
      <c r="I2108" s="50"/>
      <c r="J2108" s="50"/>
      <c r="K2108" s="50"/>
      <c r="L2108" s="50"/>
      <c r="M2108" s="50" t="s">
        <v>13121</v>
      </c>
      <c r="N2108" s="50"/>
      <c r="O2108" s="53" t="s">
        <v>70</v>
      </c>
      <c r="P2108" s="55" t="s">
        <v>13122</v>
      </c>
      <c r="Q2108" s="50">
        <v>625.0</v>
      </c>
      <c r="R2108" s="50">
        <v>2077.0</v>
      </c>
      <c r="S2108" s="50"/>
      <c r="T2108" s="56" t="s">
        <v>13123</v>
      </c>
      <c r="U2108" s="53" t="s">
        <v>332</v>
      </c>
    </row>
    <row r="2109">
      <c r="A2109" s="54" t="s">
        <v>13124</v>
      </c>
      <c r="B2109" s="50" t="s">
        <v>13125</v>
      </c>
      <c r="C2109" s="51" t="s">
        <v>13126</v>
      </c>
      <c r="D2109" s="51"/>
      <c r="E2109" s="51"/>
      <c r="F2109" s="51"/>
      <c r="G2109" s="50" t="s">
        <v>13127</v>
      </c>
      <c r="H2109" s="52">
        <v>44683.24224537037</v>
      </c>
      <c r="I2109" s="50"/>
      <c r="J2109" s="50"/>
      <c r="K2109" s="50"/>
      <c r="L2109" s="50"/>
      <c r="M2109" s="50" t="s">
        <v>13128</v>
      </c>
      <c r="N2109" s="50"/>
      <c r="O2109" s="53" t="s">
        <v>70</v>
      </c>
      <c r="P2109" s="55" t="s">
        <v>13129</v>
      </c>
      <c r="Q2109" s="50">
        <v>1790.0</v>
      </c>
      <c r="R2109" s="50">
        <v>5002.0</v>
      </c>
      <c r="S2109" s="50" t="s">
        <v>1107</v>
      </c>
      <c r="T2109" s="56" t="s">
        <v>13130</v>
      </c>
      <c r="U2109" s="53" t="s">
        <v>13131</v>
      </c>
    </row>
    <row r="2110">
      <c r="A2110" s="54" t="s">
        <v>13132</v>
      </c>
      <c r="B2110" s="50" t="s">
        <v>13119</v>
      </c>
      <c r="C2110" s="51" t="s">
        <v>363</v>
      </c>
      <c r="D2110" s="51"/>
      <c r="E2110" s="51"/>
      <c r="F2110" s="51"/>
      <c r="G2110" s="50" t="s">
        <v>13133</v>
      </c>
      <c r="H2110" s="52">
        <v>44683.24223379629</v>
      </c>
      <c r="I2110" s="50"/>
      <c r="J2110" s="50"/>
      <c r="K2110" s="50"/>
      <c r="L2110" s="50"/>
      <c r="M2110" s="50" t="s">
        <v>13121</v>
      </c>
      <c r="N2110" s="50"/>
      <c r="O2110" s="53" t="s">
        <v>70</v>
      </c>
      <c r="P2110" s="55" t="s">
        <v>13122</v>
      </c>
      <c r="Q2110" s="50">
        <v>625.0</v>
      </c>
      <c r="R2110" s="50">
        <v>2077.0</v>
      </c>
      <c r="S2110" s="50"/>
      <c r="T2110" s="56" t="s">
        <v>13134</v>
      </c>
      <c r="U2110" s="53" t="s">
        <v>332</v>
      </c>
    </row>
    <row r="2111">
      <c r="A2111" s="54" t="s">
        <v>13135</v>
      </c>
      <c r="B2111" s="50" t="s">
        <v>10633</v>
      </c>
      <c r="C2111" s="51" t="s">
        <v>367</v>
      </c>
      <c r="D2111" s="51"/>
      <c r="E2111" s="51"/>
      <c r="F2111" s="51"/>
      <c r="G2111" s="50" t="s">
        <v>13136</v>
      </c>
      <c r="H2111" s="52">
        <v>44683.24178240741</v>
      </c>
      <c r="I2111" s="50"/>
      <c r="J2111" s="50"/>
      <c r="K2111" s="50"/>
      <c r="L2111" s="50"/>
      <c r="M2111" s="50" t="s">
        <v>10635</v>
      </c>
      <c r="N2111" s="50"/>
      <c r="O2111" s="53" t="s">
        <v>217</v>
      </c>
      <c r="P2111" s="55" t="s">
        <v>10636</v>
      </c>
      <c r="Q2111" s="50">
        <v>605.0</v>
      </c>
      <c r="R2111" s="50">
        <v>1115.0</v>
      </c>
      <c r="S2111" s="50" t="s">
        <v>10637</v>
      </c>
      <c r="T2111" s="56" t="s">
        <v>13137</v>
      </c>
      <c r="U2111" s="53" t="s">
        <v>370</v>
      </c>
    </row>
    <row r="2112">
      <c r="A2112" s="54" t="s">
        <v>13138</v>
      </c>
      <c r="B2112" s="50" t="s">
        <v>13139</v>
      </c>
      <c r="C2112" s="51" t="s">
        <v>367</v>
      </c>
      <c r="D2112" s="51"/>
      <c r="E2112" s="51"/>
      <c r="F2112" s="51"/>
      <c r="G2112" s="50" t="s">
        <v>13140</v>
      </c>
      <c r="H2112" s="52">
        <v>44683.241215277776</v>
      </c>
      <c r="I2112" s="50"/>
      <c r="J2112" s="50"/>
      <c r="K2112" s="50"/>
      <c r="L2112" s="50"/>
      <c r="M2112" s="50" t="s">
        <v>13141</v>
      </c>
      <c r="N2112" s="50"/>
      <c r="O2112" s="53" t="s">
        <v>92</v>
      </c>
      <c r="P2112" s="55" t="s">
        <v>13142</v>
      </c>
      <c r="Q2112" s="50">
        <v>113.0</v>
      </c>
      <c r="R2112" s="50">
        <v>275.0</v>
      </c>
      <c r="S2112" s="50" t="s">
        <v>13143</v>
      </c>
      <c r="T2112" s="56" t="s">
        <v>13144</v>
      </c>
      <c r="U2112" s="53" t="s">
        <v>370</v>
      </c>
    </row>
    <row r="2113">
      <c r="A2113" s="54" t="s">
        <v>13145</v>
      </c>
      <c r="B2113" s="50" t="s">
        <v>10425</v>
      </c>
      <c r="C2113" s="51" t="s">
        <v>12337</v>
      </c>
      <c r="D2113" s="51"/>
      <c r="E2113" s="51"/>
      <c r="F2113" s="51"/>
      <c r="G2113" s="50" t="s">
        <v>13146</v>
      </c>
      <c r="H2113" s="52">
        <v>44683.240370370375</v>
      </c>
      <c r="I2113" s="50"/>
      <c r="J2113" s="50"/>
      <c r="K2113" s="50"/>
      <c r="L2113" s="50"/>
      <c r="M2113" s="50" t="s">
        <v>10426</v>
      </c>
      <c r="N2113" s="50"/>
      <c r="O2113" s="53" t="s">
        <v>70</v>
      </c>
      <c r="P2113" s="55" t="s">
        <v>10427</v>
      </c>
      <c r="Q2113" s="50">
        <v>4453.0</v>
      </c>
      <c r="R2113" s="50">
        <v>5001.0</v>
      </c>
      <c r="S2113" s="50" t="s">
        <v>10428</v>
      </c>
      <c r="T2113" s="56" t="s">
        <v>13147</v>
      </c>
      <c r="U2113" s="53" t="s">
        <v>12341</v>
      </c>
    </row>
    <row r="2114">
      <c r="A2114" s="54" t="s">
        <v>13148</v>
      </c>
      <c r="B2114" s="50" t="s">
        <v>13149</v>
      </c>
      <c r="C2114" s="51" t="s">
        <v>13150</v>
      </c>
      <c r="D2114" s="51"/>
      <c r="E2114" s="51"/>
      <c r="F2114" s="51"/>
      <c r="G2114" s="50" t="s">
        <v>13151</v>
      </c>
      <c r="H2114" s="52">
        <v>44683.23986111111</v>
      </c>
      <c r="I2114" s="50"/>
      <c r="J2114" s="50"/>
      <c r="K2114" s="50"/>
      <c r="L2114" s="50"/>
      <c r="M2114" s="50" t="s">
        <v>13152</v>
      </c>
      <c r="N2114" s="50"/>
      <c r="O2114" s="53" t="s">
        <v>60</v>
      </c>
      <c r="P2114" s="55" t="s">
        <v>13153</v>
      </c>
      <c r="Q2114" s="50">
        <v>3464.0</v>
      </c>
      <c r="R2114" s="50">
        <v>4999.0</v>
      </c>
      <c r="S2114" s="50" t="s">
        <v>13154</v>
      </c>
      <c r="T2114" s="56" t="s">
        <v>13155</v>
      </c>
      <c r="U2114" s="53" t="s">
        <v>13156</v>
      </c>
    </row>
    <row r="2115">
      <c r="A2115" s="54" t="s">
        <v>13157</v>
      </c>
      <c r="B2115" s="50" t="s">
        <v>13158</v>
      </c>
      <c r="C2115" s="51" t="s">
        <v>367</v>
      </c>
      <c r="D2115" s="51"/>
      <c r="E2115" s="51"/>
      <c r="F2115" s="51"/>
      <c r="G2115" s="50" t="s">
        <v>13159</v>
      </c>
      <c r="H2115" s="52">
        <v>44683.23980324074</v>
      </c>
      <c r="I2115" s="50"/>
      <c r="J2115" s="50"/>
      <c r="K2115" s="50"/>
      <c r="L2115" s="50"/>
      <c r="M2115" s="50" t="s">
        <v>13160</v>
      </c>
      <c r="N2115" s="50"/>
      <c r="O2115" s="53" t="s">
        <v>92</v>
      </c>
      <c r="P2115" s="55" t="s">
        <v>13161</v>
      </c>
      <c r="Q2115" s="50">
        <v>665.0</v>
      </c>
      <c r="R2115" s="50">
        <v>1744.0</v>
      </c>
      <c r="S2115" s="50" t="s">
        <v>219</v>
      </c>
      <c r="T2115" s="56" t="s">
        <v>13162</v>
      </c>
      <c r="U2115" s="53" t="s">
        <v>370</v>
      </c>
    </row>
    <row r="2116">
      <c r="A2116" s="54" t="s">
        <v>13163</v>
      </c>
      <c r="B2116" s="50" t="s">
        <v>13164</v>
      </c>
      <c r="C2116" s="51" t="s">
        <v>316</v>
      </c>
      <c r="D2116" s="51"/>
      <c r="E2116" s="51"/>
      <c r="F2116" s="51"/>
      <c r="G2116" s="50" t="s">
        <v>13165</v>
      </c>
      <c r="H2116" s="52">
        <v>44683.23962962963</v>
      </c>
      <c r="I2116" s="50"/>
      <c r="J2116" s="50"/>
      <c r="K2116" s="50"/>
      <c r="L2116" s="50"/>
      <c r="M2116" s="50" t="s">
        <v>13166</v>
      </c>
      <c r="N2116" s="50"/>
      <c r="O2116" s="53" t="s">
        <v>217</v>
      </c>
      <c r="P2116" s="55" t="s">
        <v>13167</v>
      </c>
      <c r="Q2116" s="50">
        <v>2133.0</v>
      </c>
      <c r="R2116" s="50">
        <v>4681.0</v>
      </c>
      <c r="S2116" s="50" t="s">
        <v>13168</v>
      </c>
      <c r="T2116" s="56" t="s">
        <v>13169</v>
      </c>
      <c r="U2116" s="53" t="s">
        <v>322</v>
      </c>
    </row>
    <row r="2117">
      <c r="A2117" s="54" t="s">
        <v>13170</v>
      </c>
      <c r="B2117" s="50" t="s">
        <v>13171</v>
      </c>
      <c r="C2117" s="51" t="s">
        <v>367</v>
      </c>
      <c r="D2117" s="51"/>
      <c r="E2117" s="51"/>
      <c r="F2117" s="51"/>
      <c r="G2117" s="50" t="s">
        <v>13172</v>
      </c>
      <c r="H2117" s="52">
        <v>44683.23954861111</v>
      </c>
      <c r="I2117" s="50"/>
      <c r="J2117" s="50"/>
      <c r="K2117" s="50"/>
      <c r="L2117" s="50"/>
      <c r="M2117" s="50" t="s">
        <v>13173</v>
      </c>
      <c r="N2117" s="50"/>
      <c r="O2117" s="53" t="s">
        <v>60</v>
      </c>
      <c r="P2117" s="55" t="s">
        <v>13174</v>
      </c>
      <c r="Q2117" s="50">
        <v>277.0</v>
      </c>
      <c r="R2117" s="50">
        <v>468.0</v>
      </c>
      <c r="S2117" s="50"/>
      <c r="T2117" s="56" t="s">
        <v>13175</v>
      </c>
      <c r="U2117" s="53" t="s">
        <v>370</v>
      </c>
    </row>
    <row r="2118">
      <c r="A2118" s="54" t="s">
        <v>13176</v>
      </c>
      <c r="B2118" s="50" t="s">
        <v>13177</v>
      </c>
      <c r="C2118" s="51" t="s">
        <v>367</v>
      </c>
      <c r="D2118" s="51"/>
      <c r="E2118" s="51"/>
      <c r="F2118" s="51"/>
      <c r="G2118" s="50" t="s">
        <v>13178</v>
      </c>
      <c r="H2118" s="52">
        <v>44683.23936342592</v>
      </c>
      <c r="I2118" s="50"/>
      <c r="J2118" s="50"/>
      <c r="K2118" s="50"/>
      <c r="L2118" s="50"/>
      <c r="M2118" s="50" t="s">
        <v>13179</v>
      </c>
      <c r="N2118" s="50"/>
      <c r="O2118" s="53" t="s">
        <v>70</v>
      </c>
      <c r="P2118" s="55" t="s">
        <v>13180</v>
      </c>
      <c r="Q2118" s="50">
        <v>1260.0</v>
      </c>
      <c r="R2118" s="50">
        <v>326.0</v>
      </c>
      <c r="S2118" s="50" t="s">
        <v>13181</v>
      </c>
      <c r="T2118" s="56" t="s">
        <v>13182</v>
      </c>
      <c r="U2118" s="53" t="s">
        <v>370</v>
      </c>
    </row>
    <row r="2119">
      <c r="A2119" s="54" t="s">
        <v>13183</v>
      </c>
      <c r="B2119" s="50" t="s">
        <v>13184</v>
      </c>
      <c r="C2119" s="51" t="s">
        <v>363</v>
      </c>
      <c r="D2119" s="51"/>
      <c r="E2119" s="51"/>
      <c r="F2119" s="51"/>
      <c r="G2119" s="50" t="s">
        <v>13185</v>
      </c>
      <c r="H2119" s="52">
        <v>44683.238275462965</v>
      </c>
      <c r="I2119" s="50"/>
      <c r="J2119" s="50"/>
      <c r="K2119" s="50"/>
      <c r="L2119" s="50"/>
      <c r="M2119" s="50" t="s">
        <v>13186</v>
      </c>
      <c r="N2119" s="50"/>
      <c r="O2119" s="53" t="s">
        <v>70</v>
      </c>
      <c r="P2119" s="55" t="s">
        <v>13187</v>
      </c>
      <c r="Q2119" s="50">
        <v>1216.0</v>
      </c>
      <c r="R2119" s="50">
        <v>1761.0</v>
      </c>
      <c r="S2119" s="50" t="s">
        <v>13188</v>
      </c>
      <c r="T2119" s="56" t="s">
        <v>13189</v>
      </c>
      <c r="U2119" s="53" t="s">
        <v>332</v>
      </c>
    </row>
    <row r="2120">
      <c r="A2120" s="54" t="s">
        <v>13190</v>
      </c>
      <c r="B2120" s="50" t="s">
        <v>13191</v>
      </c>
      <c r="C2120" s="51" t="s">
        <v>363</v>
      </c>
      <c r="D2120" s="51"/>
      <c r="E2120" s="51"/>
      <c r="F2120" s="51"/>
      <c r="G2120" s="50" t="s">
        <v>13192</v>
      </c>
      <c r="H2120" s="52">
        <v>44683.238125</v>
      </c>
      <c r="I2120" s="50"/>
      <c r="J2120" s="50"/>
      <c r="K2120" s="50"/>
      <c r="L2120" s="50"/>
      <c r="M2120" s="50" t="s">
        <v>13193</v>
      </c>
      <c r="N2120" s="50"/>
      <c r="O2120" s="53" t="s">
        <v>217</v>
      </c>
      <c r="P2120" s="55" t="s">
        <v>13194</v>
      </c>
      <c r="Q2120" s="50">
        <v>149.0</v>
      </c>
      <c r="R2120" s="50">
        <v>108.0</v>
      </c>
      <c r="S2120" s="50"/>
      <c r="T2120" s="56" t="s">
        <v>13195</v>
      </c>
      <c r="U2120" s="53" t="s">
        <v>332</v>
      </c>
    </row>
    <row r="2121">
      <c r="A2121" s="54" t="s">
        <v>13196</v>
      </c>
      <c r="B2121" s="50" t="s">
        <v>13197</v>
      </c>
      <c r="C2121" s="51" t="s">
        <v>12841</v>
      </c>
      <c r="D2121" s="51"/>
      <c r="E2121" s="51"/>
      <c r="F2121" s="51"/>
      <c r="G2121" s="50" t="s">
        <v>13198</v>
      </c>
      <c r="H2121" s="52">
        <v>44683.237916666665</v>
      </c>
      <c r="I2121" s="50"/>
      <c r="J2121" s="50"/>
      <c r="K2121" s="50"/>
      <c r="L2121" s="50"/>
      <c r="M2121" s="50" t="s">
        <v>13199</v>
      </c>
      <c r="N2121" s="50"/>
      <c r="O2121" s="53" t="s">
        <v>13200</v>
      </c>
      <c r="P2121" s="55" t="s">
        <v>13201</v>
      </c>
      <c r="Q2121" s="50">
        <v>10523.0</v>
      </c>
      <c r="R2121" s="50">
        <v>1.0</v>
      </c>
      <c r="S2121" s="50" t="s">
        <v>473</v>
      </c>
      <c r="T2121" s="56" t="s">
        <v>13202</v>
      </c>
      <c r="U2121" s="53" t="s">
        <v>12848</v>
      </c>
    </row>
    <row r="2122">
      <c r="A2122" s="54" t="s">
        <v>13203</v>
      </c>
      <c r="B2122" s="50" t="s">
        <v>2694</v>
      </c>
      <c r="C2122" s="51" t="s">
        <v>12841</v>
      </c>
      <c r="D2122" s="51"/>
      <c r="E2122" s="51"/>
      <c r="F2122" s="51"/>
      <c r="G2122" s="50" t="s">
        <v>13204</v>
      </c>
      <c r="H2122" s="52">
        <v>44683.237534722226</v>
      </c>
      <c r="I2122" s="50"/>
      <c r="J2122" s="50"/>
      <c r="K2122" s="50"/>
      <c r="L2122" s="50"/>
      <c r="M2122" s="50" t="s">
        <v>2697</v>
      </c>
      <c r="N2122" s="50"/>
      <c r="O2122" s="53" t="s">
        <v>2698</v>
      </c>
      <c r="P2122" s="55" t="s">
        <v>2699</v>
      </c>
      <c r="Q2122" s="50">
        <v>2177.0</v>
      </c>
      <c r="R2122" s="50">
        <v>508.0</v>
      </c>
      <c r="S2122" s="50" t="s">
        <v>2700</v>
      </c>
      <c r="T2122" s="56" t="s">
        <v>13205</v>
      </c>
      <c r="U2122" s="53" t="s">
        <v>12848</v>
      </c>
    </row>
    <row r="2123">
      <c r="A2123" s="54" t="s">
        <v>13206</v>
      </c>
      <c r="B2123" s="50" t="s">
        <v>13207</v>
      </c>
      <c r="C2123" s="51" t="s">
        <v>367</v>
      </c>
      <c r="D2123" s="51"/>
      <c r="E2123" s="51"/>
      <c r="F2123" s="51"/>
      <c r="G2123" s="50" t="s">
        <v>13208</v>
      </c>
      <c r="H2123" s="52">
        <v>44683.2375</v>
      </c>
      <c r="I2123" s="50"/>
      <c r="J2123" s="50"/>
      <c r="K2123" s="50"/>
      <c r="L2123" s="50"/>
      <c r="M2123" s="50" t="s">
        <v>13209</v>
      </c>
      <c r="N2123" s="50"/>
      <c r="O2123" s="53" t="s">
        <v>60</v>
      </c>
      <c r="P2123" s="55" t="s">
        <v>13210</v>
      </c>
      <c r="Q2123" s="50">
        <v>12573.0</v>
      </c>
      <c r="R2123" s="50">
        <v>10868.0</v>
      </c>
      <c r="S2123" s="50" t="s">
        <v>13211</v>
      </c>
      <c r="T2123" s="56" t="s">
        <v>13212</v>
      </c>
      <c r="U2123" s="53" t="s">
        <v>370</v>
      </c>
    </row>
    <row r="2124">
      <c r="A2124" s="54" t="s">
        <v>13213</v>
      </c>
      <c r="B2124" s="50" t="s">
        <v>13214</v>
      </c>
      <c r="C2124" s="51" t="s">
        <v>367</v>
      </c>
      <c r="D2124" s="51"/>
      <c r="E2124" s="51"/>
      <c r="F2124" s="51"/>
      <c r="G2124" s="50" t="s">
        <v>13215</v>
      </c>
      <c r="H2124" s="52">
        <v>44683.23746527778</v>
      </c>
      <c r="I2124" s="50"/>
      <c r="J2124" s="50"/>
      <c r="K2124" s="50"/>
      <c r="L2124" s="50"/>
      <c r="M2124" s="50" t="s">
        <v>13216</v>
      </c>
      <c r="N2124" s="50"/>
      <c r="O2124" s="53" t="s">
        <v>70</v>
      </c>
      <c r="P2124" s="55" t="s">
        <v>13217</v>
      </c>
      <c r="Q2124" s="50">
        <v>741.0</v>
      </c>
      <c r="R2124" s="50">
        <v>1499.0</v>
      </c>
      <c r="S2124" s="50" t="s">
        <v>13218</v>
      </c>
      <c r="T2124" s="56" t="s">
        <v>13219</v>
      </c>
      <c r="U2124" s="53" t="s">
        <v>370</v>
      </c>
    </row>
    <row r="2125">
      <c r="A2125" s="54" t="s">
        <v>13220</v>
      </c>
      <c r="B2125" s="50" t="s">
        <v>13221</v>
      </c>
      <c r="C2125" s="51" t="s">
        <v>13222</v>
      </c>
      <c r="D2125" s="51"/>
      <c r="E2125" s="51"/>
      <c r="F2125" s="51"/>
      <c r="G2125" s="50" t="s">
        <v>13223</v>
      </c>
      <c r="H2125" s="52">
        <v>44683.2374537037</v>
      </c>
      <c r="I2125" s="50"/>
      <c r="J2125" s="50"/>
      <c r="K2125" s="50"/>
      <c r="L2125" s="50"/>
      <c r="M2125" s="50" t="s">
        <v>13224</v>
      </c>
      <c r="N2125" s="50"/>
      <c r="O2125" s="53" t="s">
        <v>70</v>
      </c>
      <c r="P2125" s="55" t="s">
        <v>13225</v>
      </c>
      <c r="Q2125" s="50">
        <v>667.0</v>
      </c>
      <c r="R2125" s="50">
        <v>496.0</v>
      </c>
      <c r="S2125" s="50" t="s">
        <v>473</v>
      </c>
      <c r="T2125" s="56" t="s">
        <v>13226</v>
      </c>
      <c r="U2125" s="53" t="s">
        <v>13227</v>
      </c>
    </row>
    <row r="2126">
      <c r="A2126" s="54" t="s">
        <v>13228</v>
      </c>
      <c r="B2126" s="50" t="s">
        <v>13229</v>
      </c>
      <c r="C2126" s="51" t="s">
        <v>367</v>
      </c>
      <c r="D2126" s="51"/>
      <c r="E2126" s="51"/>
      <c r="F2126" s="51"/>
      <c r="G2126" s="50" t="s">
        <v>13230</v>
      </c>
      <c r="H2126" s="52">
        <v>44683.237164351856</v>
      </c>
      <c r="I2126" s="50"/>
      <c r="J2126" s="50"/>
      <c r="K2126" s="50"/>
      <c r="L2126" s="50"/>
      <c r="M2126" s="50" t="s">
        <v>13231</v>
      </c>
      <c r="N2126" s="50"/>
      <c r="O2126" s="53" t="s">
        <v>92</v>
      </c>
      <c r="P2126" s="55" t="s">
        <v>13232</v>
      </c>
      <c r="Q2126" s="50">
        <v>401.0</v>
      </c>
      <c r="R2126" s="50">
        <v>995.0</v>
      </c>
      <c r="S2126" s="50"/>
      <c r="T2126" s="56" t="s">
        <v>13233</v>
      </c>
      <c r="U2126" s="53" t="s">
        <v>370</v>
      </c>
    </row>
    <row r="2127">
      <c r="A2127" s="54" t="s">
        <v>13234</v>
      </c>
      <c r="B2127" s="50" t="s">
        <v>13235</v>
      </c>
      <c r="C2127" s="51" t="s">
        <v>13236</v>
      </c>
      <c r="D2127" s="51"/>
      <c r="E2127" s="51"/>
      <c r="F2127" s="51"/>
      <c r="G2127" s="50" t="s">
        <v>13237</v>
      </c>
      <c r="H2127" s="52">
        <v>44683.23658564815</v>
      </c>
      <c r="I2127" s="50"/>
      <c r="J2127" s="50"/>
      <c r="K2127" s="50"/>
      <c r="L2127" s="50"/>
      <c r="M2127" s="50" t="s">
        <v>13238</v>
      </c>
      <c r="N2127" s="50"/>
      <c r="O2127" s="53" t="s">
        <v>70</v>
      </c>
      <c r="P2127" s="55" t="s">
        <v>13239</v>
      </c>
      <c r="Q2127" s="50">
        <v>1161.0</v>
      </c>
      <c r="R2127" s="50">
        <v>996.0</v>
      </c>
      <c r="S2127" s="50" t="s">
        <v>13240</v>
      </c>
      <c r="T2127" s="56" t="s">
        <v>13241</v>
      </c>
      <c r="U2127" s="53" t="s">
        <v>13242</v>
      </c>
    </row>
    <row r="2128">
      <c r="A2128" s="54" t="s">
        <v>13243</v>
      </c>
      <c r="B2128" s="50" t="s">
        <v>13244</v>
      </c>
      <c r="C2128" s="51" t="s">
        <v>363</v>
      </c>
      <c r="D2128" s="51"/>
      <c r="E2128" s="51"/>
      <c r="F2128" s="51"/>
      <c r="G2128" s="50" t="s">
        <v>13245</v>
      </c>
      <c r="H2128" s="52">
        <v>44683.23605324074</v>
      </c>
      <c r="I2128" s="50"/>
      <c r="J2128" s="50"/>
      <c r="K2128" s="50"/>
      <c r="L2128" s="50"/>
      <c r="M2128" s="50" t="s">
        <v>13246</v>
      </c>
      <c r="N2128" s="50"/>
      <c r="O2128" s="53" t="s">
        <v>92</v>
      </c>
      <c r="P2128" s="55" t="s">
        <v>13247</v>
      </c>
      <c r="Q2128" s="50">
        <v>158.0</v>
      </c>
      <c r="R2128" s="50">
        <v>292.0</v>
      </c>
      <c r="S2128" s="50" t="s">
        <v>1132</v>
      </c>
      <c r="T2128" s="56" t="s">
        <v>13248</v>
      </c>
      <c r="U2128" s="53" t="s">
        <v>332</v>
      </c>
    </row>
    <row r="2129">
      <c r="A2129" s="54" t="s">
        <v>13249</v>
      </c>
      <c r="B2129" s="50" t="s">
        <v>13250</v>
      </c>
      <c r="C2129" s="51" t="s">
        <v>316</v>
      </c>
      <c r="D2129" s="51"/>
      <c r="E2129" s="51"/>
      <c r="F2129" s="51"/>
      <c r="G2129" s="50" t="s">
        <v>13251</v>
      </c>
      <c r="H2129" s="52">
        <v>44683.235659722224</v>
      </c>
      <c r="I2129" s="50"/>
      <c r="J2129" s="50"/>
      <c r="K2129" s="50"/>
      <c r="L2129" s="50"/>
      <c r="M2129" s="50" t="s">
        <v>13252</v>
      </c>
      <c r="N2129" s="50"/>
      <c r="O2129" s="53" t="s">
        <v>92</v>
      </c>
      <c r="P2129" s="55" t="s">
        <v>13253</v>
      </c>
      <c r="Q2129" s="50">
        <v>2106.0</v>
      </c>
      <c r="R2129" s="50">
        <v>3377.0</v>
      </c>
      <c r="S2129" s="50" t="s">
        <v>13254</v>
      </c>
      <c r="T2129" s="56" t="s">
        <v>13255</v>
      </c>
      <c r="U2129" s="53" t="s">
        <v>322</v>
      </c>
    </row>
    <row r="2130">
      <c r="A2130" s="54" t="s">
        <v>13256</v>
      </c>
      <c r="B2130" s="50" t="s">
        <v>13257</v>
      </c>
      <c r="C2130" s="51" t="s">
        <v>9487</v>
      </c>
      <c r="D2130" s="51"/>
      <c r="E2130" s="51"/>
      <c r="F2130" s="51"/>
      <c r="G2130" s="50" t="s">
        <v>13258</v>
      </c>
      <c r="H2130" s="52">
        <v>44683.23559027778</v>
      </c>
      <c r="I2130" s="50"/>
      <c r="J2130" s="50"/>
      <c r="K2130" s="50"/>
      <c r="L2130" s="50"/>
      <c r="M2130" s="50" t="s">
        <v>13259</v>
      </c>
      <c r="N2130" s="50"/>
      <c r="O2130" s="53" t="s">
        <v>92</v>
      </c>
      <c r="P2130" s="55" t="s">
        <v>13260</v>
      </c>
      <c r="Q2130" s="50">
        <v>2024.0</v>
      </c>
      <c r="R2130" s="50">
        <v>5000.0</v>
      </c>
      <c r="S2130" s="50" t="s">
        <v>219</v>
      </c>
      <c r="T2130" s="56" t="s">
        <v>13261</v>
      </c>
      <c r="U2130" s="53" t="s">
        <v>691</v>
      </c>
    </row>
    <row r="2131">
      <c r="A2131" s="54" t="s">
        <v>13262</v>
      </c>
      <c r="B2131" s="50" t="s">
        <v>13257</v>
      </c>
      <c r="C2131" s="51" t="s">
        <v>2630</v>
      </c>
      <c r="D2131" s="51"/>
      <c r="E2131" s="51"/>
      <c r="F2131" s="51"/>
      <c r="G2131" s="50" t="s">
        <v>13263</v>
      </c>
      <c r="H2131" s="52">
        <v>44683.23537037037</v>
      </c>
      <c r="I2131" s="50"/>
      <c r="J2131" s="50"/>
      <c r="K2131" s="50"/>
      <c r="L2131" s="50"/>
      <c r="M2131" s="50" t="s">
        <v>13259</v>
      </c>
      <c r="N2131" s="50"/>
      <c r="O2131" s="53" t="s">
        <v>92</v>
      </c>
      <c r="P2131" s="55" t="s">
        <v>13260</v>
      </c>
      <c r="Q2131" s="50">
        <v>2024.0</v>
      </c>
      <c r="R2131" s="50">
        <v>5000.0</v>
      </c>
      <c r="S2131" s="50" t="s">
        <v>219</v>
      </c>
      <c r="T2131" s="56" t="s">
        <v>13264</v>
      </c>
      <c r="U2131" s="53" t="s">
        <v>691</v>
      </c>
    </row>
    <row r="2132">
      <c r="A2132" s="54" t="s">
        <v>13265</v>
      </c>
      <c r="B2132" s="50" t="s">
        <v>13266</v>
      </c>
      <c r="C2132" s="51" t="s">
        <v>367</v>
      </c>
      <c r="D2132" s="51"/>
      <c r="E2132" s="51"/>
      <c r="F2132" s="51"/>
      <c r="G2132" s="50" t="s">
        <v>13267</v>
      </c>
      <c r="H2132" s="52">
        <v>44683.23363425926</v>
      </c>
      <c r="I2132" s="50"/>
      <c r="J2132" s="50"/>
      <c r="K2132" s="50"/>
      <c r="L2132" s="50"/>
      <c r="M2132" s="50" t="s">
        <v>13268</v>
      </c>
      <c r="N2132" s="50"/>
      <c r="O2132" s="53" t="s">
        <v>92</v>
      </c>
      <c r="P2132" s="55" t="s">
        <v>13269</v>
      </c>
      <c r="Q2132" s="50">
        <v>204.0</v>
      </c>
      <c r="R2132" s="50">
        <v>760.0</v>
      </c>
      <c r="S2132" s="50" t="s">
        <v>1311</v>
      </c>
      <c r="T2132" s="56" t="s">
        <v>13270</v>
      </c>
      <c r="U2132" s="53" t="s">
        <v>370</v>
      </c>
    </row>
    <row r="2133">
      <c r="A2133" s="54" t="s">
        <v>13271</v>
      </c>
      <c r="B2133" s="50" t="s">
        <v>13272</v>
      </c>
      <c r="C2133" s="51" t="s">
        <v>367</v>
      </c>
      <c r="D2133" s="51"/>
      <c r="E2133" s="51"/>
      <c r="F2133" s="51"/>
      <c r="G2133" s="50" t="s">
        <v>13273</v>
      </c>
      <c r="H2133" s="52">
        <v>44683.23349537037</v>
      </c>
      <c r="I2133" s="50"/>
      <c r="J2133" s="50"/>
      <c r="K2133" s="50"/>
      <c r="L2133" s="50"/>
      <c r="M2133" s="50" t="s">
        <v>13274</v>
      </c>
      <c r="N2133" s="50"/>
      <c r="O2133" s="53" t="s">
        <v>92</v>
      </c>
      <c r="P2133" s="55" t="s">
        <v>13275</v>
      </c>
      <c r="Q2133" s="50">
        <v>3.0</v>
      </c>
      <c r="R2133" s="50">
        <v>115.0</v>
      </c>
      <c r="S2133" s="50" t="s">
        <v>379</v>
      </c>
      <c r="T2133" s="56" t="s">
        <v>13276</v>
      </c>
      <c r="U2133" s="53" t="s">
        <v>370</v>
      </c>
    </row>
    <row r="2134">
      <c r="A2134" s="54" t="s">
        <v>13277</v>
      </c>
      <c r="B2134" s="50" t="s">
        <v>13278</v>
      </c>
      <c r="C2134" s="51" t="s">
        <v>367</v>
      </c>
      <c r="D2134" s="51"/>
      <c r="E2134" s="51"/>
      <c r="F2134" s="51"/>
      <c r="G2134" s="50" t="s">
        <v>13279</v>
      </c>
      <c r="H2134" s="52">
        <v>44683.23274305556</v>
      </c>
      <c r="I2134" s="50"/>
      <c r="J2134" s="50"/>
      <c r="K2134" s="50"/>
      <c r="L2134" s="50"/>
      <c r="M2134" s="50" t="s">
        <v>13280</v>
      </c>
      <c r="N2134" s="50"/>
      <c r="O2134" s="53" t="s">
        <v>92</v>
      </c>
      <c r="P2134" s="55" t="s">
        <v>13281</v>
      </c>
      <c r="Q2134" s="50">
        <v>4369.0</v>
      </c>
      <c r="R2134" s="50">
        <v>4991.0</v>
      </c>
      <c r="S2134" s="50" t="s">
        <v>3626</v>
      </c>
      <c r="T2134" s="56" t="s">
        <v>13282</v>
      </c>
      <c r="U2134" s="53" t="s">
        <v>370</v>
      </c>
    </row>
    <row r="2135">
      <c r="A2135" s="54" t="s">
        <v>13283</v>
      </c>
      <c r="B2135" s="50" t="s">
        <v>13284</v>
      </c>
      <c r="C2135" s="51" t="s">
        <v>329</v>
      </c>
      <c r="D2135" s="51"/>
      <c r="E2135" s="51"/>
      <c r="F2135" s="51"/>
      <c r="G2135" s="50" t="s">
        <v>13285</v>
      </c>
      <c r="H2135" s="52">
        <v>44683.231574074074</v>
      </c>
      <c r="I2135" s="50"/>
      <c r="J2135" s="50"/>
      <c r="K2135" s="50"/>
      <c r="L2135" s="50"/>
      <c r="M2135" s="50" t="s">
        <v>13286</v>
      </c>
      <c r="N2135" s="50"/>
      <c r="O2135" s="53" t="s">
        <v>70</v>
      </c>
      <c r="P2135" s="55" t="s">
        <v>13287</v>
      </c>
      <c r="Q2135" s="50">
        <v>1042.0</v>
      </c>
      <c r="R2135" s="50">
        <v>1358.0</v>
      </c>
      <c r="S2135" s="50" t="s">
        <v>13288</v>
      </c>
      <c r="T2135" s="56" t="s">
        <v>13289</v>
      </c>
      <c r="U2135" s="53" t="s">
        <v>332</v>
      </c>
    </row>
    <row r="2136">
      <c r="A2136" s="54" t="s">
        <v>13290</v>
      </c>
      <c r="B2136" s="50" t="s">
        <v>13291</v>
      </c>
      <c r="C2136" s="51" t="s">
        <v>13292</v>
      </c>
      <c r="D2136" s="51"/>
      <c r="E2136" s="51"/>
      <c r="F2136" s="51"/>
      <c r="G2136" s="50" t="s">
        <v>13293</v>
      </c>
      <c r="H2136" s="52">
        <v>44683.23003472222</v>
      </c>
      <c r="I2136" s="50"/>
      <c r="J2136" s="50"/>
      <c r="K2136" s="50"/>
      <c r="L2136" s="50"/>
      <c r="M2136" s="50" t="s">
        <v>13294</v>
      </c>
      <c r="N2136" s="50"/>
      <c r="O2136" s="53" t="s">
        <v>13295</v>
      </c>
      <c r="P2136" s="55" t="s">
        <v>13296</v>
      </c>
      <c r="Q2136" s="50">
        <v>6510.0</v>
      </c>
      <c r="R2136" s="50">
        <v>166.0</v>
      </c>
      <c r="S2136" s="50" t="s">
        <v>13297</v>
      </c>
      <c r="T2136" s="56" t="s">
        <v>13298</v>
      </c>
      <c r="U2136" s="53" t="s">
        <v>13299</v>
      </c>
    </row>
    <row r="2137">
      <c r="A2137" s="54" t="s">
        <v>13300</v>
      </c>
      <c r="B2137" s="50" t="s">
        <v>13301</v>
      </c>
      <c r="C2137" s="51" t="s">
        <v>329</v>
      </c>
      <c r="D2137" s="51"/>
      <c r="E2137" s="51"/>
      <c r="F2137" s="51"/>
      <c r="G2137" s="50" t="s">
        <v>13302</v>
      </c>
      <c r="H2137" s="52">
        <v>44683.22953703704</v>
      </c>
      <c r="I2137" s="50"/>
      <c r="J2137" s="50"/>
      <c r="K2137" s="50"/>
      <c r="L2137" s="50"/>
      <c r="M2137" s="50" t="s">
        <v>13303</v>
      </c>
      <c r="N2137" s="50"/>
      <c r="O2137" s="53" t="s">
        <v>70</v>
      </c>
      <c r="P2137" s="55" t="s">
        <v>13304</v>
      </c>
      <c r="Q2137" s="50">
        <v>2524.0</v>
      </c>
      <c r="R2137" s="50">
        <v>4322.0</v>
      </c>
      <c r="S2137" s="50" t="s">
        <v>13305</v>
      </c>
      <c r="T2137" s="56" t="s">
        <v>13306</v>
      </c>
      <c r="U2137" s="53" t="s">
        <v>332</v>
      </c>
    </row>
    <row r="2138">
      <c r="A2138" s="54" t="s">
        <v>13307</v>
      </c>
      <c r="B2138" s="50" t="s">
        <v>13301</v>
      </c>
      <c r="C2138" s="51" t="s">
        <v>363</v>
      </c>
      <c r="D2138" s="51"/>
      <c r="E2138" s="51"/>
      <c r="F2138" s="51"/>
      <c r="G2138" s="50" t="s">
        <v>13308</v>
      </c>
      <c r="H2138" s="52">
        <v>44683.2293287037</v>
      </c>
      <c r="I2138" s="50"/>
      <c r="J2138" s="50"/>
      <c r="K2138" s="50"/>
      <c r="L2138" s="50"/>
      <c r="M2138" s="50" t="s">
        <v>13303</v>
      </c>
      <c r="N2138" s="50"/>
      <c r="O2138" s="53" t="s">
        <v>70</v>
      </c>
      <c r="P2138" s="55" t="s">
        <v>13304</v>
      </c>
      <c r="Q2138" s="50">
        <v>2524.0</v>
      </c>
      <c r="R2138" s="50">
        <v>4322.0</v>
      </c>
      <c r="S2138" s="50" t="s">
        <v>13305</v>
      </c>
      <c r="T2138" s="56" t="s">
        <v>13309</v>
      </c>
      <c r="U2138" s="53" t="s">
        <v>332</v>
      </c>
    </row>
    <row r="2139">
      <c r="A2139" s="54" t="s">
        <v>13310</v>
      </c>
      <c r="B2139" s="50" t="s">
        <v>13311</v>
      </c>
      <c r="C2139" s="51" t="s">
        <v>367</v>
      </c>
      <c r="D2139" s="51"/>
      <c r="E2139" s="51"/>
      <c r="F2139" s="51"/>
      <c r="G2139" s="50" t="s">
        <v>13312</v>
      </c>
      <c r="H2139" s="52">
        <v>44683.229212962964</v>
      </c>
      <c r="I2139" s="50"/>
      <c r="J2139" s="50"/>
      <c r="K2139" s="50"/>
      <c r="L2139" s="50"/>
      <c r="M2139" s="50" t="s">
        <v>13313</v>
      </c>
      <c r="N2139" s="50"/>
      <c r="O2139" s="53" t="s">
        <v>92</v>
      </c>
      <c r="P2139" s="55" t="s">
        <v>354</v>
      </c>
      <c r="Q2139" s="50">
        <v>898.0</v>
      </c>
      <c r="R2139" s="50">
        <v>1329.0</v>
      </c>
      <c r="S2139" s="50"/>
      <c r="T2139" s="56" t="s">
        <v>13314</v>
      </c>
      <c r="U2139" s="53" t="s">
        <v>370</v>
      </c>
    </row>
    <row r="2140">
      <c r="A2140" s="54" t="s">
        <v>13315</v>
      </c>
      <c r="B2140" s="50" t="s">
        <v>13316</v>
      </c>
      <c r="C2140" s="51" t="s">
        <v>13317</v>
      </c>
      <c r="D2140" s="51"/>
      <c r="E2140" s="51"/>
      <c r="F2140" s="51"/>
      <c r="G2140" s="50" t="s">
        <v>13318</v>
      </c>
      <c r="H2140" s="52">
        <v>44683.22918981481</v>
      </c>
      <c r="I2140" s="50"/>
      <c r="J2140" s="50"/>
      <c r="K2140" s="50"/>
      <c r="L2140" s="50"/>
      <c r="M2140" s="50" t="s">
        <v>13319</v>
      </c>
      <c r="N2140" s="50"/>
      <c r="O2140" s="53" t="s">
        <v>92</v>
      </c>
      <c r="P2140" s="55" t="s">
        <v>13320</v>
      </c>
      <c r="Q2140" s="50">
        <v>420.0</v>
      </c>
      <c r="R2140" s="50">
        <v>906.0</v>
      </c>
      <c r="S2140" s="50" t="s">
        <v>12659</v>
      </c>
      <c r="T2140" s="56" t="s">
        <v>13321</v>
      </c>
      <c r="U2140" s="53" t="s">
        <v>13322</v>
      </c>
    </row>
    <row r="2141">
      <c r="A2141" s="54" t="s">
        <v>13323</v>
      </c>
      <c r="B2141" s="50" t="s">
        <v>13301</v>
      </c>
      <c r="C2141" s="51" t="s">
        <v>367</v>
      </c>
      <c r="D2141" s="51"/>
      <c r="E2141" s="51"/>
      <c r="F2141" s="51"/>
      <c r="G2141" s="50" t="s">
        <v>13324</v>
      </c>
      <c r="H2141" s="52">
        <v>44683.229108796295</v>
      </c>
      <c r="I2141" s="50"/>
      <c r="J2141" s="50"/>
      <c r="K2141" s="50"/>
      <c r="L2141" s="50"/>
      <c r="M2141" s="50" t="s">
        <v>13303</v>
      </c>
      <c r="N2141" s="50"/>
      <c r="O2141" s="53" t="s">
        <v>70</v>
      </c>
      <c r="P2141" s="55" t="s">
        <v>13304</v>
      </c>
      <c r="Q2141" s="50">
        <v>2524.0</v>
      </c>
      <c r="R2141" s="50">
        <v>4322.0</v>
      </c>
      <c r="S2141" s="50" t="s">
        <v>13305</v>
      </c>
      <c r="T2141" s="56" t="s">
        <v>13325</v>
      </c>
      <c r="U2141" s="53" t="s">
        <v>370</v>
      </c>
    </row>
    <row r="2142">
      <c r="A2142" s="54" t="s">
        <v>13326</v>
      </c>
      <c r="B2142" s="50" t="s">
        <v>13327</v>
      </c>
      <c r="C2142" s="51" t="s">
        <v>367</v>
      </c>
      <c r="D2142" s="51"/>
      <c r="E2142" s="51"/>
      <c r="F2142" s="51"/>
      <c r="G2142" s="50" t="s">
        <v>13328</v>
      </c>
      <c r="H2142" s="52">
        <v>44683.22886574074</v>
      </c>
      <c r="I2142" s="50"/>
      <c r="J2142" s="50"/>
      <c r="K2142" s="50"/>
      <c r="L2142" s="50"/>
      <c r="M2142" s="50" t="s">
        <v>13329</v>
      </c>
      <c r="N2142" s="50"/>
      <c r="O2142" s="53" t="s">
        <v>217</v>
      </c>
      <c r="P2142" s="55" t="s">
        <v>354</v>
      </c>
      <c r="Q2142" s="50">
        <v>465.0</v>
      </c>
      <c r="R2142" s="50">
        <v>1356.0</v>
      </c>
      <c r="S2142" s="50"/>
      <c r="T2142" s="56" t="s">
        <v>13330</v>
      </c>
      <c r="U2142" s="53" t="s">
        <v>370</v>
      </c>
    </row>
    <row r="2143">
      <c r="A2143" s="54" t="s">
        <v>13331</v>
      </c>
      <c r="B2143" s="50" t="s">
        <v>13332</v>
      </c>
      <c r="C2143" s="51" t="s">
        <v>13333</v>
      </c>
      <c r="D2143" s="51"/>
      <c r="E2143" s="51"/>
      <c r="F2143" s="51"/>
      <c r="G2143" s="50" t="s">
        <v>13334</v>
      </c>
      <c r="H2143" s="52">
        <v>44683.228113425925</v>
      </c>
      <c r="I2143" s="50"/>
      <c r="J2143" s="50"/>
      <c r="K2143" s="50"/>
      <c r="L2143" s="50"/>
      <c r="M2143" s="50" t="s">
        <v>13335</v>
      </c>
      <c r="N2143" s="50"/>
      <c r="O2143" s="53" t="s">
        <v>60</v>
      </c>
      <c r="P2143" s="55" t="s">
        <v>13336</v>
      </c>
      <c r="Q2143" s="50">
        <v>15970.0</v>
      </c>
      <c r="R2143" s="50">
        <v>6857.0</v>
      </c>
      <c r="S2143" s="50" t="s">
        <v>246</v>
      </c>
      <c r="T2143" s="56" t="s">
        <v>13337</v>
      </c>
      <c r="U2143" s="53" t="s">
        <v>13338</v>
      </c>
    </row>
    <row r="2144">
      <c r="A2144" s="54" t="s">
        <v>13339</v>
      </c>
      <c r="B2144" s="50" t="s">
        <v>13340</v>
      </c>
      <c r="C2144" s="51" t="s">
        <v>367</v>
      </c>
      <c r="D2144" s="51"/>
      <c r="E2144" s="51"/>
      <c r="F2144" s="51"/>
      <c r="G2144" s="50" t="s">
        <v>13341</v>
      </c>
      <c r="H2144" s="52">
        <v>44683.228101851855</v>
      </c>
      <c r="I2144" s="50"/>
      <c r="J2144" s="50"/>
      <c r="K2144" s="50"/>
      <c r="L2144" s="50"/>
      <c r="M2144" s="50" t="s">
        <v>13342</v>
      </c>
      <c r="N2144" s="50"/>
      <c r="O2144" s="53" t="s">
        <v>70</v>
      </c>
      <c r="P2144" s="55" t="s">
        <v>13343</v>
      </c>
      <c r="Q2144" s="50">
        <v>1044.0</v>
      </c>
      <c r="R2144" s="50">
        <v>1245.0</v>
      </c>
      <c r="S2144" s="50" t="s">
        <v>219</v>
      </c>
      <c r="T2144" s="56" t="s">
        <v>13344</v>
      </c>
      <c r="U2144" s="53" t="s">
        <v>370</v>
      </c>
    </row>
    <row r="2145">
      <c r="A2145" s="54" t="s">
        <v>13345</v>
      </c>
      <c r="B2145" s="50" t="s">
        <v>13346</v>
      </c>
      <c r="C2145" s="51" t="s">
        <v>367</v>
      </c>
      <c r="D2145" s="51"/>
      <c r="E2145" s="51"/>
      <c r="F2145" s="51"/>
      <c r="G2145" s="50" t="s">
        <v>13347</v>
      </c>
      <c r="H2145" s="52">
        <v>44683.22809027778</v>
      </c>
      <c r="I2145" s="50"/>
      <c r="J2145" s="50"/>
      <c r="K2145" s="50"/>
      <c r="L2145" s="50"/>
      <c r="M2145" s="50" t="s">
        <v>13348</v>
      </c>
      <c r="N2145" s="50"/>
      <c r="O2145" s="53" t="s">
        <v>92</v>
      </c>
      <c r="P2145" s="55" t="s">
        <v>13349</v>
      </c>
      <c r="Q2145" s="50">
        <v>1710.0</v>
      </c>
      <c r="R2145" s="50">
        <v>1221.0</v>
      </c>
      <c r="S2145" s="50" t="s">
        <v>473</v>
      </c>
      <c r="T2145" s="56" t="s">
        <v>13350</v>
      </c>
      <c r="U2145" s="53" t="s">
        <v>370</v>
      </c>
    </row>
    <row r="2146">
      <c r="A2146" s="54" t="s">
        <v>13351</v>
      </c>
      <c r="B2146" s="50" t="s">
        <v>13352</v>
      </c>
      <c r="C2146" s="51" t="s">
        <v>367</v>
      </c>
      <c r="D2146" s="51"/>
      <c r="E2146" s="51"/>
      <c r="F2146" s="51"/>
      <c r="G2146" s="50" t="s">
        <v>13353</v>
      </c>
      <c r="H2146" s="52">
        <v>44683.22791666667</v>
      </c>
      <c r="I2146" s="50"/>
      <c r="J2146" s="50"/>
      <c r="K2146" s="50"/>
      <c r="L2146" s="50"/>
      <c r="M2146" s="50" t="s">
        <v>13354</v>
      </c>
      <c r="N2146" s="50"/>
      <c r="O2146" s="53" t="s">
        <v>92</v>
      </c>
      <c r="P2146" s="55" t="s">
        <v>13355</v>
      </c>
      <c r="Q2146" s="50">
        <v>1543.0</v>
      </c>
      <c r="R2146" s="50">
        <v>1799.0</v>
      </c>
      <c r="S2146" s="50" t="s">
        <v>13356</v>
      </c>
      <c r="T2146" s="56" t="s">
        <v>13357</v>
      </c>
      <c r="U2146" s="53" t="s">
        <v>370</v>
      </c>
    </row>
    <row r="2147">
      <c r="A2147" s="54" t="s">
        <v>13358</v>
      </c>
      <c r="B2147" s="50" t="s">
        <v>13359</v>
      </c>
      <c r="C2147" s="51" t="s">
        <v>367</v>
      </c>
      <c r="D2147" s="51"/>
      <c r="E2147" s="51"/>
      <c r="F2147" s="51"/>
      <c r="G2147" s="50" t="s">
        <v>13360</v>
      </c>
      <c r="H2147" s="52">
        <v>44683.227627314816</v>
      </c>
      <c r="I2147" s="50"/>
      <c r="J2147" s="50"/>
      <c r="K2147" s="50"/>
      <c r="L2147" s="50"/>
      <c r="M2147" s="50" t="s">
        <v>13361</v>
      </c>
      <c r="N2147" s="50"/>
      <c r="O2147" s="53" t="s">
        <v>92</v>
      </c>
      <c r="P2147" s="55" t="s">
        <v>13362</v>
      </c>
      <c r="Q2147" s="50">
        <v>155.0</v>
      </c>
      <c r="R2147" s="50">
        <v>82.0</v>
      </c>
      <c r="S2147" s="50" t="s">
        <v>13363</v>
      </c>
      <c r="T2147" s="56" t="s">
        <v>13364</v>
      </c>
      <c r="U2147" s="53" t="s">
        <v>370</v>
      </c>
    </row>
    <row r="2148">
      <c r="A2148" s="54" t="s">
        <v>13365</v>
      </c>
      <c r="B2148" s="50" t="s">
        <v>13366</v>
      </c>
      <c r="C2148" s="51" t="s">
        <v>4762</v>
      </c>
      <c r="D2148" s="51"/>
      <c r="E2148" s="51"/>
      <c r="F2148" s="51"/>
      <c r="G2148" s="50" t="s">
        <v>13367</v>
      </c>
      <c r="H2148" s="52">
        <v>44683.22645833333</v>
      </c>
      <c r="I2148" s="50"/>
      <c r="J2148" s="50"/>
      <c r="K2148" s="50"/>
      <c r="L2148" s="50"/>
      <c r="M2148" s="50" t="s">
        <v>13368</v>
      </c>
      <c r="N2148" s="50"/>
      <c r="O2148" s="53" t="s">
        <v>92</v>
      </c>
      <c r="P2148" s="55" t="s">
        <v>13369</v>
      </c>
      <c r="Q2148" s="50">
        <v>5820.0</v>
      </c>
      <c r="R2148" s="50">
        <v>5237.0</v>
      </c>
      <c r="S2148" s="50" t="s">
        <v>13370</v>
      </c>
      <c r="T2148" s="56" t="s">
        <v>13371</v>
      </c>
      <c r="U2148" s="53" t="s">
        <v>4768</v>
      </c>
    </row>
    <row r="2149">
      <c r="A2149" s="54" t="s">
        <v>13372</v>
      </c>
      <c r="B2149" s="50" t="s">
        <v>13373</v>
      </c>
      <c r="C2149" s="51" t="s">
        <v>367</v>
      </c>
      <c r="D2149" s="51"/>
      <c r="E2149" s="51"/>
      <c r="F2149" s="51"/>
      <c r="G2149" s="50" t="s">
        <v>13374</v>
      </c>
      <c r="H2149" s="52">
        <v>44683.226377314815</v>
      </c>
      <c r="I2149" s="50"/>
      <c r="J2149" s="50"/>
      <c r="K2149" s="50"/>
      <c r="L2149" s="50"/>
      <c r="M2149" s="50" t="s">
        <v>13375</v>
      </c>
      <c r="N2149" s="50"/>
      <c r="O2149" s="53" t="s">
        <v>70</v>
      </c>
      <c r="P2149" s="55" t="s">
        <v>13376</v>
      </c>
      <c r="Q2149" s="50">
        <v>4520.0</v>
      </c>
      <c r="R2149" s="50">
        <v>4684.0</v>
      </c>
      <c r="S2149" s="50"/>
      <c r="T2149" s="56" t="s">
        <v>13377</v>
      </c>
      <c r="U2149" s="53" t="s">
        <v>370</v>
      </c>
    </row>
    <row r="2150">
      <c r="A2150" s="54" t="s">
        <v>13378</v>
      </c>
      <c r="B2150" s="50" t="s">
        <v>13366</v>
      </c>
      <c r="C2150" s="51" t="s">
        <v>316</v>
      </c>
      <c r="D2150" s="51"/>
      <c r="E2150" s="51"/>
      <c r="F2150" s="51"/>
      <c r="G2150" s="50" t="s">
        <v>13379</v>
      </c>
      <c r="H2150" s="52">
        <v>44683.22614583334</v>
      </c>
      <c r="I2150" s="50"/>
      <c r="J2150" s="50"/>
      <c r="K2150" s="50"/>
      <c r="L2150" s="50"/>
      <c r="M2150" s="50" t="s">
        <v>13368</v>
      </c>
      <c r="N2150" s="50"/>
      <c r="O2150" s="53" t="s">
        <v>92</v>
      </c>
      <c r="P2150" s="55" t="s">
        <v>13369</v>
      </c>
      <c r="Q2150" s="50">
        <v>5820.0</v>
      </c>
      <c r="R2150" s="50">
        <v>5237.0</v>
      </c>
      <c r="S2150" s="50" t="s">
        <v>13370</v>
      </c>
      <c r="T2150" s="56" t="s">
        <v>13380</v>
      </c>
      <c r="U2150" s="53" t="s">
        <v>322</v>
      </c>
    </row>
    <row r="2151">
      <c r="A2151" s="54" t="s">
        <v>13381</v>
      </c>
      <c r="B2151" s="50" t="s">
        <v>13366</v>
      </c>
      <c r="C2151" s="51" t="s">
        <v>329</v>
      </c>
      <c r="D2151" s="51"/>
      <c r="E2151" s="51"/>
      <c r="F2151" s="51"/>
      <c r="G2151" s="50" t="s">
        <v>13382</v>
      </c>
      <c r="H2151" s="52">
        <v>44683.22603009259</v>
      </c>
      <c r="I2151" s="50"/>
      <c r="J2151" s="50"/>
      <c r="K2151" s="50"/>
      <c r="L2151" s="50"/>
      <c r="M2151" s="50" t="s">
        <v>13368</v>
      </c>
      <c r="N2151" s="50"/>
      <c r="O2151" s="53" t="s">
        <v>92</v>
      </c>
      <c r="P2151" s="55" t="s">
        <v>13369</v>
      </c>
      <c r="Q2151" s="50">
        <v>5820.0</v>
      </c>
      <c r="R2151" s="50">
        <v>5237.0</v>
      </c>
      <c r="S2151" s="50" t="s">
        <v>13370</v>
      </c>
      <c r="T2151" s="56" t="s">
        <v>13383</v>
      </c>
      <c r="U2151" s="53" t="s">
        <v>332</v>
      </c>
    </row>
    <row r="2152">
      <c r="A2152" s="54" t="s">
        <v>13384</v>
      </c>
      <c r="B2152" s="50" t="s">
        <v>13366</v>
      </c>
      <c r="C2152" s="51" t="s">
        <v>335</v>
      </c>
      <c r="D2152" s="51"/>
      <c r="E2152" s="51"/>
      <c r="F2152" s="51"/>
      <c r="G2152" s="50" t="s">
        <v>13385</v>
      </c>
      <c r="H2152" s="52">
        <v>44683.22589120371</v>
      </c>
      <c r="I2152" s="50"/>
      <c r="J2152" s="50"/>
      <c r="K2152" s="50"/>
      <c r="L2152" s="50"/>
      <c r="M2152" s="50" t="s">
        <v>13368</v>
      </c>
      <c r="N2152" s="50"/>
      <c r="O2152" s="53" t="s">
        <v>92</v>
      </c>
      <c r="P2152" s="55" t="s">
        <v>13369</v>
      </c>
      <c r="Q2152" s="50">
        <v>5820.0</v>
      </c>
      <c r="R2152" s="50">
        <v>5237.0</v>
      </c>
      <c r="S2152" s="50" t="s">
        <v>13370</v>
      </c>
      <c r="T2152" s="56" t="s">
        <v>13386</v>
      </c>
      <c r="U2152" s="53" t="s">
        <v>339</v>
      </c>
    </row>
    <row r="2153">
      <c r="A2153" s="54" t="s">
        <v>13387</v>
      </c>
      <c r="B2153" s="50" t="s">
        <v>13388</v>
      </c>
      <c r="C2153" s="51" t="s">
        <v>13389</v>
      </c>
      <c r="D2153" s="51"/>
      <c r="E2153" s="51"/>
      <c r="F2153" s="51"/>
      <c r="G2153" s="50" t="s">
        <v>13390</v>
      </c>
      <c r="H2153" s="52">
        <v>44683.225763888884</v>
      </c>
      <c r="I2153" s="50"/>
      <c r="J2153" s="50"/>
      <c r="K2153" s="50" t="s">
        <v>13391</v>
      </c>
      <c r="L2153" s="50" t="s">
        <v>13392</v>
      </c>
      <c r="M2153" s="50" t="s">
        <v>13393</v>
      </c>
      <c r="N2153" s="50" t="s">
        <v>13394</v>
      </c>
      <c r="O2153" s="53" t="s">
        <v>217</v>
      </c>
      <c r="P2153" s="55" t="s">
        <v>13395</v>
      </c>
      <c r="Q2153" s="50">
        <v>62.0</v>
      </c>
      <c r="R2153" s="50">
        <v>105.0</v>
      </c>
      <c r="S2153" s="50"/>
      <c r="T2153" s="56" t="s">
        <v>13396</v>
      </c>
      <c r="U2153" s="53" t="s">
        <v>13397</v>
      </c>
    </row>
    <row r="2154">
      <c r="A2154" s="54" t="s">
        <v>13398</v>
      </c>
      <c r="B2154" s="50" t="s">
        <v>13366</v>
      </c>
      <c r="C2154" s="51" t="s">
        <v>363</v>
      </c>
      <c r="D2154" s="51"/>
      <c r="E2154" s="51"/>
      <c r="F2154" s="51"/>
      <c r="G2154" s="50" t="s">
        <v>13399</v>
      </c>
      <c r="H2154" s="52">
        <v>44683.22570601852</v>
      </c>
      <c r="I2154" s="50"/>
      <c r="J2154" s="50"/>
      <c r="K2154" s="50"/>
      <c r="L2154" s="50"/>
      <c r="M2154" s="50" t="s">
        <v>13368</v>
      </c>
      <c r="N2154" s="50"/>
      <c r="O2154" s="53" t="s">
        <v>92</v>
      </c>
      <c r="P2154" s="55" t="s">
        <v>13369</v>
      </c>
      <c r="Q2154" s="50">
        <v>5820.0</v>
      </c>
      <c r="R2154" s="50">
        <v>5237.0</v>
      </c>
      <c r="S2154" s="50" t="s">
        <v>13370</v>
      </c>
      <c r="T2154" s="56" t="s">
        <v>13400</v>
      </c>
      <c r="U2154" s="53" t="s">
        <v>332</v>
      </c>
    </row>
    <row r="2155">
      <c r="A2155" s="54" t="s">
        <v>13401</v>
      </c>
      <c r="B2155" s="50" t="s">
        <v>13366</v>
      </c>
      <c r="C2155" s="51" t="s">
        <v>367</v>
      </c>
      <c r="D2155" s="51"/>
      <c r="E2155" s="51"/>
      <c r="F2155" s="51"/>
      <c r="G2155" s="50" t="s">
        <v>13402</v>
      </c>
      <c r="H2155" s="52">
        <v>44683.22553240741</v>
      </c>
      <c r="I2155" s="50"/>
      <c r="J2155" s="50"/>
      <c r="K2155" s="50"/>
      <c r="L2155" s="50"/>
      <c r="M2155" s="50" t="s">
        <v>13368</v>
      </c>
      <c r="N2155" s="50"/>
      <c r="O2155" s="53" t="s">
        <v>92</v>
      </c>
      <c r="P2155" s="55" t="s">
        <v>13369</v>
      </c>
      <c r="Q2155" s="50">
        <v>5820.0</v>
      </c>
      <c r="R2155" s="50">
        <v>5237.0</v>
      </c>
      <c r="S2155" s="50" t="s">
        <v>13370</v>
      </c>
      <c r="T2155" s="56" t="s">
        <v>13403</v>
      </c>
      <c r="U2155" s="53" t="s">
        <v>370</v>
      </c>
    </row>
    <row r="2156">
      <c r="A2156" s="54" t="s">
        <v>13404</v>
      </c>
      <c r="B2156" s="50" t="s">
        <v>5632</v>
      </c>
      <c r="C2156" s="51" t="s">
        <v>13405</v>
      </c>
      <c r="D2156" s="51"/>
      <c r="E2156" s="51"/>
      <c r="F2156" s="51"/>
      <c r="G2156" s="50" t="s">
        <v>13406</v>
      </c>
      <c r="H2156" s="52">
        <v>44683.22445601852</v>
      </c>
      <c r="I2156" s="50"/>
      <c r="J2156" s="50"/>
      <c r="K2156" s="50"/>
      <c r="L2156" s="50"/>
      <c r="M2156" s="50" t="s">
        <v>5635</v>
      </c>
      <c r="N2156" s="50"/>
      <c r="O2156" s="53" t="s">
        <v>70</v>
      </c>
      <c r="P2156" s="55" t="s">
        <v>5636</v>
      </c>
      <c r="Q2156" s="50">
        <v>134.0</v>
      </c>
      <c r="R2156" s="50">
        <v>51.0</v>
      </c>
      <c r="S2156" s="50"/>
      <c r="T2156" s="56" t="s">
        <v>13407</v>
      </c>
      <c r="U2156" s="53" t="s">
        <v>13408</v>
      </c>
    </row>
    <row r="2157">
      <c r="A2157" s="54" t="s">
        <v>13409</v>
      </c>
      <c r="B2157" s="50" t="s">
        <v>13316</v>
      </c>
      <c r="C2157" s="51" t="s">
        <v>12275</v>
      </c>
      <c r="D2157" s="51"/>
      <c r="E2157" s="51"/>
      <c r="F2157" s="51"/>
      <c r="G2157" s="50" t="s">
        <v>13410</v>
      </c>
      <c r="H2157" s="52">
        <v>44683.22284722222</v>
      </c>
      <c r="I2157" s="50"/>
      <c r="J2157" s="50"/>
      <c r="K2157" s="50"/>
      <c r="L2157" s="50"/>
      <c r="M2157" s="50" t="s">
        <v>13319</v>
      </c>
      <c r="N2157" s="50"/>
      <c r="O2157" s="53" t="s">
        <v>92</v>
      </c>
      <c r="P2157" s="55" t="s">
        <v>13320</v>
      </c>
      <c r="Q2157" s="50">
        <v>420.0</v>
      </c>
      <c r="R2157" s="50">
        <v>906.0</v>
      </c>
      <c r="S2157" s="50" t="s">
        <v>12659</v>
      </c>
      <c r="T2157" s="56" t="s">
        <v>13411</v>
      </c>
      <c r="U2157" s="53" t="s">
        <v>12280</v>
      </c>
    </row>
    <row r="2158">
      <c r="A2158" s="54" t="s">
        <v>13412</v>
      </c>
      <c r="B2158" s="50" t="s">
        <v>13413</v>
      </c>
      <c r="C2158" s="51" t="s">
        <v>367</v>
      </c>
      <c r="D2158" s="51"/>
      <c r="E2158" s="51"/>
      <c r="F2158" s="51"/>
      <c r="G2158" s="50" t="s">
        <v>13414</v>
      </c>
      <c r="H2158" s="52">
        <v>44683.22145833333</v>
      </c>
      <c r="I2158" s="50"/>
      <c r="J2158" s="50"/>
      <c r="K2158" s="50"/>
      <c r="L2158" s="50"/>
      <c r="M2158" s="50" t="s">
        <v>13415</v>
      </c>
      <c r="N2158" s="50"/>
      <c r="O2158" s="53" t="s">
        <v>92</v>
      </c>
      <c r="P2158" s="55" t="s">
        <v>13416</v>
      </c>
      <c r="Q2158" s="50">
        <v>1787.0</v>
      </c>
      <c r="R2158" s="50">
        <v>2348.0</v>
      </c>
      <c r="S2158" s="50" t="s">
        <v>13417</v>
      </c>
      <c r="T2158" s="56" t="s">
        <v>13418</v>
      </c>
      <c r="U2158" s="53" t="s">
        <v>370</v>
      </c>
    </row>
    <row r="2159">
      <c r="A2159" s="54" t="s">
        <v>13419</v>
      </c>
      <c r="B2159" s="50" t="s">
        <v>13420</v>
      </c>
      <c r="C2159" s="51" t="s">
        <v>367</v>
      </c>
      <c r="D2159" s="51"/>
      <c r="E2159" s="51"/>
      <c r="F2159" s="51"/>
      <c r="G2159" s="50" t="s">
        <v>13421</v>
      </c>
      <c r="H2159" s="52">
        <v>44683.22136574074</v>
      </c>
      <c r="I2159" s="50"/>
      <c r="J2159" s="50"/>
      <c r="K2159" s="50"/>
      <c r="L2159" s="50"/>
      <c r="M2159" s="50" t="s">
        <v>13422</v>
      </c>
      <c r="N2159" s="50"/>
      <c r="O2159" s="53" t="s">
        <v>92</v>
      </c>
      <c r="P2159" s="55" t="s">
        <v>13423</v>
      </c>
      <c r="Q2159" s="50">
        <v>14926.0</v>
      </c>
      <c r="R2159" s="50">
        <v>12487.0</v>
      </c>
      <c r="S2159" s="50"/>
      <c r="T2159" s="56" t="s">
        <v>13424</v>
      </c>
      <c r="U2159" s="53" t="s">
        <v>370</v>
      </c>
    </row>
    <row r="2160">
      <c r="A2160" s="54" t="s">
        <v>13425</v>
      </c>
      <c r="B2160" s="50" t="s">
        <v>13426</v>
      </c>
      <c r="C2160" s="51" t="s">
        <v>363</v>
      </c>
      <c r="D2160" s="51"/>
      <c r="E2160" s="51"/>
      <c r="F2160" s="51"/>
      <c r="G2160" s="50" t="s">
        <v>13427</v>
      </c>
      <c r="H2160" s="52">
        <v>44683.22122685185</v>
      </c>
      <c r="I2160" s="50"/>
      <c r="J2160" s="50"/>
      <c r="K2160" s="50"/>
      <c r="L2160" s="50"/>
      <c r="M2160" s="50" t="s">
        <v>13428</v>
      </c>
      <c r="N2160" s="50"/>
      <c r="O2160" s="53" t="s">
        <v>217</v>
      </c>
      <c r="P2160" s="55" t="s">
        <v>13429</v>
      </c>
      <c r="Q2160" s="50">
        <v>11086.0</v>
      </c>
      <c r="R2160" s="50">
        <v>10851.0</v>
      </c>
      <c r="S2160" s="50" t="s">
        <v>13430</v>
      </c>
      <c r="T2160" s="56" t="s">
        <v>13431</v>
      </c>
      <c r="U2160" s="53" t="s">
        <v>332</v>
      </c>
    </row>
    <row r="2161">
      <c r="A2161" s="54" t="s">
        <v>13432</v>
      </c>
      <c r="B2161" s="50" t="s">
        <v>13426</v>
      </c>
      <c r="C2161" s="51" t="s">
        <v>335</v>
      </c>
      <c r="D2161" s="51"/>
      <c r="E2161" s="51"/>
      <c r="F2161" s="51"/>
      <c r="G2161" s="50" t="s">
        <v>13433</v>
      </c>
      <c r="H2161" s="52">
        <v>44683.22114583333</v>
      </c>
      <c r="I2161" s="50"/>
      <c r="J2161" s="50"/>
      <c r="K2161" s="50"/>
      <c r="L2161" s="50"/>
      <c r="M2161" s="50" t="s">
        <v>13428</v>
      </c>
      <c r="N2161" s="50"/>
      <c r="O2161" s="53" t="s">
        <v>217</v>
      </c>
      <c r="P2161" s="55" t="s">
        <v>13429</v>
      </c>
      <c r="Q2161" s="50">
        <v>11086.0</v>
      </c>
      <c r="R2161" s="50">
        <v>10851.0</v>
      </c>
      <c r="S2161" s="50" t="s">
        <v>13430</v>
      </c>
      <c r="T2161" s="56" t="s">
        <v>13434</v>
      </c>
      <c r="U2161" s="53" t="s">
        <v>339</v>
      </c>
    </row>
    <row r="2162">
      <c r="A2162" s="54" t="s">
        <v>13435</v>
      </c>
      <c r="B2162" s="50" t="s">
        <v>13436</v>
      </c>
      <c r="C2162" s="51" t="s">
        <v>13437</v>
      </c>
      <c r="D2162" s="51"/>
      <c r="E2162" s="51"/>
      <c r="F2162" s="51"/>
      <c r="G2162" s="50" t="s">
        <v>13438</v>
      </c>
      <c r="H2162" s="52">
        <v>44683.22113425926</v>
      </c>
      <c r="I2162" s="50"/>
      <c r="J2162" s="50"/>
      <c r="K2162" s="50"/>
      <c r="L2162" s="50"/>
      <c r="M2162" s="50" t="s">
        <v>13439</v>
      </c>
      <c r="N2162" s="50"/>
      <c r="O2162" s="53" t="s">
        <v>70</v>
      </c>
      <c r="P2162" s="55" t="s">
        <v>13440</v>
      </c>
      <c r="Q2162" s="50">
        <v>1407.0</v>
      </c>
      <c r="R2162" s="50">
        <v>5001.0</v>
      </c>
      <c r="S2162" s="50" t="s">
        <v>1311</v>
      </c>
      <c r="T2162" s="56" t="s">
        <v>13441</v>
      </c>
      <c r="U2162" s="53" t="s">
        <v>13442</v>
      </c>
    </row>
    <row r="2163">
      <c r="A2163" s="54" t="s">
        <v>13443</v>
      </c>
      <c r="B2163" s="50" t="s">
        <v>13426</v>
      </c>
      <c r="C2163" s="51" t="s">
        <v>329</v>
      </c>
      <c r="D2163" s="51"/>
      <c r="E2163" s="51"/>
      <c r="F2163" s="51"/>
      <c r="G2163" s="50" t="s">
        <v>13444</v>
      </c>
      <c r="H2163" s="52">
        <v>44683.22072916667</v>
      </c>
      <c r="I2163" s="50"/>
      <c r="J2163" s="50"/>
      <c r="K2163" s="50"/>
      <c r="L2163" s="50"/>
      <c r="M2163" s="50" t="s">
        <v>13428</v>
      </c>
      <c r="N2163" s="50"/>
      <c r="O2163" s="53" t="s">
        <v>217</v>
      </c>
      <c r="P2163" s="55" t="s">
        <v>13429</v>
      </c>
      <c r="Q2163" s="50">
        <v>11086.0</v>
      </c>
      <c r="R2163" s="50">
        <v>10851.0</v>
      </c>
      <c r="S2163" s="50" t="s">
        <v>13430</v>
      </c>
      <c r="T2163" s="56" t="s">
        <v>13445</v>
      </c>
      <c r="U2163" s="53" t="s">
        <v>332</v>
      </c>
    </row>
    <row r="2164">
      <c r="A2164" s="54" t="s">
        <v>13446</v>
      </c>
      <c r="B2164" s="50" t="s">
        <v>13426</v>
      </c>
      <c r="C2164" s="51" t="s">
        <v>316</v>
      </c>
      <c r="D2164" s="51"/>
      <c r="E2164" s="51"/>
      <c r="F2164" s="51"/>
      <c r="G2164" s="50" t="s">
        <v>13447</v>
      </c>
      <c r="H2164" s="52">
        <v>44683.22052083333</v>
      </c>
      <c r="I2164" s="50"/>
      <c r="J2164" s="50"/>
      <c r="K2164" s="50"/>
      <c r="L2164" s="50"/>
      <c r="M2164" s="50" t="s">
        <v>13428</v>
      </c>
      <c r="N2164" s="50"/>
      <c r="O2164" s="53" t="s">
        <v>217</v>
      </c>
      <c r="P2164" s="55" t="s">
        <v>13429</v>
      </c>
      <c r="Q2164" s="50">
        <v>11086.0</v>
      </c>
      <c r="R2164" s="50">
        <v>10851.0</v>
      </c>
      <c r="S2164" s="50" t="s">
        <v>13430</v>
      </c>
      <c r="T2164" s="56" t="s">
        <v>13448</v>
      </c>
      <c r="U2164" s="53" t="s">
        <v>322</v>
      </c>
    </row>
    <row r="2165">
      <c r="A2165" s="54" t="s">
        <v>13449</v>
      </c>
      <c r="B2165" s="50" t="s">
        <v>11099</v>
      </c>
      <c r="C2165" s="51" t="s">
        <v>13450</v>
      </c>
      <c r="D2165" s="51"/>
      <c r="E2165" s="51"/>
      <c r="F2165" s="51"/>
      <c r="G2165" s="50" t="s">
        <v>13451</v>
      </c>
      <c r="H2165" s="52">
        <v>44683.219502314816</v>
      </c>
      <c r="I2165" s="50"/>
      <c r="J2165" s="50"/>
      <c r="K2165" s="50"/>
      <c r="L2165" s="50"/>
      <c r="M2165" s="50" t="s">
        <v>11102</v>
      </c>
      <c r="N2165" s="50"/>
      <c r="O2165" s="53" t="s">
        <v>11103</v>
      </c>
      <c r="P2165" s="55" t="s">
        <v>11104</v>
      </c>
      <c r="Q2165" s="50">
        <v>1585.0</v>
      </c>
      <c r="R2165" s="50">
        <v>12.0</v>
      </c>
      <c r="S2165" s="50"/>
      <c r="T2165" s="56" t="s">
        <v>13452</v>
      </c>
      <c r="U2165" s="53" t="s">
        <v>13453</v>
      </c>
    </row>
    <row r="2166">
      <c r="A2166" s="54" t="s">
        <v>13454</v>
      </c>
      <c r="B2166" s="50" t="s">
        <v>11099</v>
      </c>
      <c r="C2166" s="51" t="s">
        <v>13455</v>
      </c>
      <c r="D2166" s="51"/>
      <c r="E2166" s="51"/>
      <c r="F2166" s="51"/>
      <c r="G2166" s="50" t="s">
        <v>13456</v>
      </c>
      <c r="H2166" s="52">
        <v>44683.219409722224</v>
      </c>
      <c r="I2166" s="50"/>
      <c r="J2166" s="50"/>
      <c r="K2166" s="50"/>
      <c r="L2166" s="50"/>
      <c r="M2166" s="50" t="s">
        <v>11102</v>
      </c>
      <c r="N2166" s="50"/>
      <c r="O2166" s="53" t="s">
        <v>11103</v>
      </c>
      <c r="P2166" s="55" t="s">
        <v>11104</v>
      </c>
      <c r="Q2166" s="50">
        <v>1585.0</v>
      </c>
      <c r="R2166" s="50">
        <v>12.0</v>
      </c>
      <c r="S2166" s="50"/>
      <c r="T2166" s="56" t="s">
        <v>13457</v>
      </c>
      <c r="U2166" s="53" t="s">
        <v>13458</v>
      </c>
    </row>
    <row r="2167">
      <c r="A2167" s="54" t="s">
        <v>13459</v>
      </c>
      <c r="B2167" s="50" t="s">
        <v>13460</v>
      </c>
      <c r="C2167" s="51" t="s">
        <v>329</v>
      </c>
      <c r="D2167" s="51"/>
      <c r="E2167" s="51"/>
      <c r="F2167" s="51"/>
      <c r="G2167" s="50" t="s">
        <v>13461</v>
      </c>
      <c r="H2167" s="52">
        <v>44683.21931712963</v>
      </c>
      <c r="I2167" s="50"/>
      <c r="J2167" s="50"/>
      <c r="K2167" s="50"/>
      <c r="L2167" s="50"/>
      <c r="M2167" s="50" t="s">
        <v>13462</v>
      </c>
      <c r="N2167" s="50"/>
      <c r="O2167" s="53" t="s">
        <v>92</v>
      </c>
      <c r="P2167" s="55" t="s">
        <v>13463</v>
      </c>
      <c r="Q2167" s="50">
        <v>614.0</v>
      </c>
      <c r="R2167" s="50">
        <v>401.0</v>
      </c>
      <c r="S2167" s="50"/>
      <c r="T2167" s="56" t="s">
        <v>13464</v>
      </c>
      <c r="U2167" s="53" t="s">
        <v>332</v>
      </c>
    </row>
    <row r="2168">
      <c r="A2168" s="54" t="s">
        <v>13465</v>
      </c>
      <c r="B2168" s="50" t="s">
        <v>13466</v>
      </c>
      <c r="C2168" s="51" t="s">
        <v>13467</v>
      </c>
      <c r="D2168" s="51"/>
      <c r="E2168" s="51"/>
      <c r="F2168" s="51"/>
      <c r="G2168" s="50" t="s">
        <v>13468</v>
      </c>
      <c r="H2168" s="52">
        <v>44683.21859953704</v>
      </c>
      <c r="I2168" s="50"/>
      <c r="J2168" s="50"/>
      <c r="K2168" s="50"/>
      <c r="L2168" s="50"/>
      <c r="M2168" s="50" t="s">
        <v>13469</v>
      </c>
      <c r="N2168" s="50"/>
      <c r="O2168" s="53" t="s">
        <v>13470</v>
      </c>
      <c r="P2168" s="55" t="s">
        <v>13471</v>
      </c>
      <c r="Q2168" s="50">
        <v>226870.0</v>
      </c>
      <c r="R2168" s="50">
        <v>290.0</v>
      </c>
      <c r="S2168" s="50" t="s">
        <v>13472</v>
      </c>
      <c r="T2168" s="56" t="s">
        <v>13473</v>
      </c>
      <c r="U2168" s="53" t="s">
        <v>13474</v>
      </c>
    </row>
    <row r="2169">
      <c r="A2169" s="54" t="s">
        <v>13475</v>
      </c>
      <c r="B2169" s="50" t="s">
        <v>13476</v>
      </c>
      <c r="C2169" s="51" t="s">
        <v>367</v>
      </c>
      <c r="D2169" s="51"/>
      <c r="E2169" s="51"/>
      <c r="F2169" s="51"/>
      <c r="G2169" s="50" t="s">
        <v>13477</v>
      </c>
      <c r="H2169" s="52">
        <v>44683.21733796297</v>
      </c>
      <c r="I2169" s="50"/>
      <c r="J2169" s="50"/>
      <c r="K2169" s="50"/>
      <c r="L2169" s="50"/>
      <c r="M2169" s="50" t="s">
        <v>13478</v>
      </c>
      <c r="N2169" s="50"/>
      <c r="O2169" s="53" t="s">
        <v>70</v>
      </c>
      <c r="P2169" s="55" t="s">
        <v>13479</v>
      </c>
      <c r="Q2169" s="50">
        <v>2372.0</v>
      </c>
      <c r="R2169" s="50">
        <v>2340.0</v>
      </c>
      <c r="S2169" s="50" t="s">
        <v>13480</v>
      </c>
      <c r="T2169" s="56" t="s">
        <v>13481</v>
      </c>
      <c r="U2169" s="53" t="s">
        <v>370</v>
      </c>
    </row>
    <row r="2170">
      <c r="A2170" s="54" t="s">
        <v>13482</v>
      </c>
      <c r="B2170" s="50" t="s">
        <v>13483</v>
      </c>
      <c r="C2170" s="51" t="s">
        <v>11924</v>
      </c>
      <c r="D2170" s="51"/>
      <c r="E2170" s="51"/>
      <c r="F2170" s="51"/>
      <c r="G2170" s="50" t="s">
        <v>13484</v>
      </c>
      <c r="H2170" s="52">
        <v>44683.2172337963</v>
      </c>
      <c r="I2170" s="50"/>
      <c r="J2170" s="50"/>
      <c r="K2170" s="50"/>
      <c r="L2170" s="50"/>
      <c r="M2170" s="50" t="s">
        <v>13485</v>
      </c>
      <c r="N2170" s="50"/>
      <c r="O2170" s="53" t="s">
        <v>60</v>
      </c>
      <c r="P2170" s="55" t="s">
        <v>13486</v>
      </c>
      <c r="Q2170" s="50">
        <v>324.0</v>
      </c>
      <c r="R2170" s="50">
        <v>343.0</v>
      </c>
      <c r="S2170" s="50" t="s">
        <v>13487</v>
      </c>
      <c r="T2170" s="56" t="s">
        <v>13488</v>
      </c>
      <c r="U2170" s="53" t="s">
        <v>5899</v>
      </c>
    </row>
    <row r="2171">
      <c r="A2171" s="54" t="s">
        <v>13489</v>
      </c>
      <c r="B2171" s="50" t="s">
        <v>10425</v>
      </c>
      <c r="C2171" s="51" t="s">
        <v>2973</v>
      </c>
      <c r="D2171" s="51"/>
      <c r="E2171" s="51"/>
      <c r="F2171" s="51"/>
      <c r="G2171" s="50" t="s">
        <v>13490</v>
      </c>
      <c r="H2171" s="52">
        <v>44683.21702546296</v>
      </c>
      <c r="I2171" s="50"/>
      <c r="J2171" s="50"/>
      <c r="K2171" s="50"/>
      <c r="L2171" s="50"/>
      <c r="M2171" s="50" t="s">
        <v>10426</v>
      </c>
      <c r="N2171" s="50"/>
      <c r="O2171" s="53" t="s">
        <v>70</v>
      </c>
      <c r="P2171" s="55" t="s">
        <v>10427</v>
      </c>
      <c r="Q2171" s="50">
        <v>4453.0</v>
      </c>
      <c r="R2171" s="50">
        <v>5001.0</v>
      </c>
      <c r="S2171" s="50" t="s">
        <v>10428</v>
      </c>
      <c r="T2171" s="56" t="s">
        <v>13491</v>
      </c>
      <c r="U2171" s="53" t="s">
        <v>2978</v>
      </c>
    </row>
    <row r="2172">
      <c r="A2172" s="54" t="s">
        <v>13492</v>
      </c>
      <c r="B2172" s="50" t="s">
        <v>13493</v>
      </c>
      <c r="C2172" s="51" t="s">
        <v>367</v>
      </c>
      <c r="D2172" s="51"/>
      <c r="E2172" s="51"/>
      <c r="F2172" s="51"/>
      <c r="G2172" s="50" t="s">
        <v>13494</v>
      </c>
      <c r="H2172" s="52">
        <v>44683.216585648144</v>
      </c>
      <c r="I2172" s="50"/>
      <c r="J2172" s="50"/>
      <c r="K2172" s="50"/>
      <c r="L2172" s="50"/>
      <c r="M2172" s="50" t="s">
        <v>13495</v>
      </c>
      <c r="N2172" s="50"/>
      <c r="O2172" s="53" t="s">
        <v>92</v>
      </c>
      <c r="P2172" s="55" t="s">
        <v>13496</v>
      </c>
      <c r="Q2172" s="50">
        <v>3101.0</v>
      </c>
      <c r="R2172" s="50">
        <v>3038.0</v>
      </c>
      <c r="S2172" s="50" t="s">
        <v>1311</v>
      </c>
      <c r="T2172" s="56" t="s">
        <v>13497</v>
      </c>
      <c r="U2172" s="53" t="s">
        <v>370</v>
      </c>
    </row>
    <row r="2173">
      <c r="A2173" s="54" t="s">
        <v>13498</v>
      </c>
      <c r="B2173" s="50" t="s">
        <v>13499</v>
      </c>
      <c r="C2173" s="51" t="s">
        <v>2630</v>
      </c>
      <c r="D2173" s="51"/>
      <c r="E2173" s="51"/>
      <c r="F2173" s="51"/>
      <c r="G2173" s="50" t="s">
        <v>13500</v>
      </c>
      <c r="H2173" s="52">
        <v>44683.21402777778</v>
      </c>
      <c r="I2173" s="50"/>
      <c r="J2173" s="50"/>
      <c r="K2173" s="50"/>
      <c r="L2173" s="50"/>
      <c r="M2173" s="50" t="s">
        <v>13501</v>
      </c>
      <c r="N2173" s="50"/>
      <c r="O2173" s="53" t="s">
        <v>60</v>
      </c>
      <c r="P2173" s="55" t="s">
        <v>354</v>
      </c>
      <c r="Q2173" s="50">
        <v>410.0</v>
      </c>
      <c r="R2173" s="50">
        <v>588.0</v>
      </c>
      <c r="S2173" s="50"/>
      <c r="T2173" s="56" t="s">
        <v>13502</v>
      </c>
      <c r="U2173" s="53" t="s">
        <v>691</v>
      </c>
    </row>
    <row r="2174">
      <c r="A2174" s="54" t="s">
        <v>13503</v>
      </c>
      <c r="B2174" s="50" t="s">
        <v>13504</v>
      </c>
      <c r="C2174" s="51" t="s">
        <v>316</v>
      </c>
      <c r="D2174" s="51"/>
      <c r="E2174" s="51"/>
      <c r="F2174" s="51"/>
      <c r="G2174" s="50" t="s">
        <v>13505</v>
      </c>
      <c r="H2174" s="52">
        <v>44683.21378472222</v>
      </c>
      <c r="I2174" s="50"/>
      <c r="J2174" s="50"/>
      <c r="K2174" s="50"/>
      <c r="L2174" s="50"/>
      <c r="M2174" s="50" t="s">
        <v>13506</v>
      </c>
      <c r="N2174" s="50"/>
      <c r="O2174" s="53" t="s">
        <v>92</v>
      </c>
      <c r="P2174" s="55" t="s">
        <v>13507</v>
      </c>
      <c r="Q2174" s="50">
        <v>21.0</v>
      </c>
      <c r="R2174" s="50">
        <v>86.0</v>
      </c>
      <c r="S2174" s="50"/>
      <c r="T2174" s="56" t="s">
        <v>13508</v>
      </c>
      <c r="U2174" s="53" t="s">
        <v>322</v>
      </c>
    </row>
    <row r="2175">
      <c r="A2175" s="54" t="s">
        <v>13509</v>
      </c>
      <c r="B2175" s="50" t="s">
        <v>13510</v>
      </c>
      <c r="C2175" s="51" t="s">
        <v>367</v>
      </c>
      <c r="D2175" s="51"/>
      <c r="E2175" s="51"/>
      <c r="F2175" s="51"/>
      <c r="G2175" s="50" t="s">
        <v>13511</v>
      </c>
      <c r="H2175" s="52">
        <v>44683.21351851852</v>
      </c>
      <c r="I2175" s="50"/>
      <c r="J2175" s="50"/>
      <c r="K2175" s="50"/>
      <c r="L2175" s="50"/>
      <c r="M2175" s="50" t="s">
        <v>13512</v>
      </c>
      <c r="N2175" s="50"/>
      <c r="O2175" s="53" t="s">
        <v>92</v>
      </c>
      <c r="P2175" s="55" t="s">
        <v>13513</v>
      </c>
      <c r="Q2175" s="50">
        <v>4166.0</v>
      </c>
      <c r="R2175" s="50">
        <v>4992.0</v>
      </c>
      <c r="S2175" s="50" t="s">
        <v>13514</v>
      </c>
      <c r="T2175" s="56" t="s">
        <v>13515</v>
      </c>
      <c r="U2175" s="53" t="s">
        <v>370</v>
      </c>
    </row>
    <row r="2176">
      <c r="A2176" s="54" t="s">
        <v>13516</v>
      </c>
      <c r="B2176" s="50" t="s">
        <v>13517</v>
      </c>
      <c r="C2176" s="51" t="s">
        <v>367</v>
      </c>
      <c r="D2176" s="51"/>
      <c r="E2176" s="51"/>
      <c r="F2176" s="51"/>
      <c r="G2176" s="50" t="s">
        <v>13511</v>
      </c>
      <c r="H2176" s="52">
        <v>44683.21351851852</v>
      </c>
      <c r="I2176" s="50"/>
      <c r="J2176" s="50"/>
      <c r="K2176" s="50"/>
      <c r="L2176" s="50"/>
      <c r="M2176" s="50" t="s">
        <v>13518</v>
      </c>
      <c r="N2176" s="50"/>
      <c r="O2176" s="53" t="s">
        <v>92</v>
      </c>
      <c r="P2176" s="55" t="s">
        <v>354</v>
      </c>
      <c r="Q2176" s="50">
        <v>3.0</v>
      </c>
      <c r="R2176" s="50">
        <v>6.0</v>
      </c>
      <c r="S2176" s="50"/>
      <c r="T2176" s="56" t="s">
        <v>13519</v>
      </c>
      <c r="U2176" s="53" t="s">
        <v>370</v>
      </c>
    </row>
    <row r="2177">
      <c r="A2177" s="54" t="s">
        <v>13520</v>
      </c>
      <c r="B2177" s="50" t="s">
        <v>13521</v>
      </c>
      <c r="C2177" s="51" t="s">
        <v>367</v>
      </c>
      <c r="D2177" s="51"/>
      <c r="E2177" s="51"/>
      <c r="F2177" s="51"/>
      <c r="G2177" s="50" t="s">
        <v>13522</v>
      </c>
      <c r="H2177" s="52">
        <v>44683.21346064815</v>
      </c>
      <c r="I2177" s="50"/>
      <c r="J2177" s="50"/>
      <c r="K2177" s="50"/>
      <c r="L2177" s="50"/>
      <c r="M2177" s="50" t="s">
        <v>13523</v>
      </c>
      <c r="N2177" s="50"/>
      <c r="O2177" s="53" t="s">
        <v>70</v>
      </c>
      <c r="P2177" s="55" t="s">
        <v>13524</v>
      </c>
      <c r="Q2177" s="50">
        <v>1755.0</v>
      </c>
      <c r="R2177" s="50">
        <v>2213.0</v>
      </c>
      <c r="S2177" s="50" t="s">
        <v>13525</v>
      </c>
      <c r="T2177" s="56" t="s">
        <v>13526</v>
      </c>
      <c r="U2177" s="53" t="s">
        <v>370</v>
      </c>
    </row>
    <row r="2178">
      <c r="A2178" s="54" t="s">
        <v>13527</v>
      </c>
      <c r="B2178" s="50" t="s">
        <v>13528</v>
      </c>
      <c r="C2178" s="51" t="s">
        <v>13529</v>
      </c>
      <c r="D2178" s="51"/>
      <c r="E2178" s="51"/>
      <c r="F2178" s="51"/>
      <c r="G2178" s="50" t="s">
        <v>13530</v>
      </c>
      <c r="H2178" s="52">
        <v>44683.213124999995</v>
      </c>
      <c r="I2178" s="50"/>
      <c r="J2178" s="50"/>
      <c r="K2178" s="50"/>
      <c r="L2178" s="50"/>
      <c r="M2178" s="50" t="s">
        <v>13531</v>
      </c>
      <c r="N2178" s="50"/>
      <c r="O2178" s="53" t="s">
        <v>92</v>
      </c>
      <c r="P2178" s="55" t="s">
        <v>13532</v>
      </c>
      <c r="Q2178" s="50">
        <v>332.0</v>
      </c>
      <c r="R2178" s="50">
        <v>318.0</v>
      </c>
      <c r="S2178" s="50" t="s">
        <v>13533</v>
      </c>
      <c r="T2178" s="56" t="s">
        <v>13534</v>
      </c>
      <c r="U2178" s="53" t="s">
        <v>13535</v>
      </c>
    </row>
    <row r="2179">
      <c r="A2179" s="54" t="s">
        <v>13536</v>
      </c>
      <c r="B2179" s="50" t="s">
        <v>13537</v>
      </c>
      <c r="C2179" s="51" t="s">
        <v>367</v>
      </c>
      <c r="D2179" s="51"/>
      <c r="E2179" s="51"/>
      <c r="F2179" s="51"/>
      <c r="G2179" s="50" t="s">
        <v>13538</v>
      </c>
      <c r="H2179" s="52">
        <v>44683.212754629625</v>
      </c>
      <c r="I2179" s="50"/>
      <c r="J2179" s="50"/>
      <c r="K2179" s="50"/>
      <c r="L2179" s="50"/>
      <c r="M2179" s="50" t="s">
        <v>13539</v>
      </c>
      <c r="N2179" s="50"/>
      <c r="O2179" s="53" t="s">
        <v>70</v>
      </c>
      <c r="P2179" s="55" t="s">
        <v>13540</v>
      </c>
      <c r="Q2179" s="50">
        <v>146.0</v>
      </c>
      <c r="R2179" s="50">
        <v>115.0</v>
      </c>
      <c r="S2179" s="50"/>
      <c r="T2179" s="56" t="s">
        <v>13541</v>
      </c>
      <c r="U2179" s="53" t="s">
        <v>370</v>
      </c>
    </row>
    <row r="2180">
      <c r="A2180" s="54" t="s">
        <v>13542</v>
      </c>
      <c r="B2180" s="50" t="s">
        <v>13543</v>
      </c>
      <c r="C2180" s="51" t="s">
        <v>316</v>
      </c>
      <c r="D2180" s="51"/>
      <c r="E2180" s="51"/>
      <c r="F2180" s="51"/>
      <c r="G2180" s="50" t="s">
        <v>13544</v>
      </c>
      <c r="H2180" s="52">
        <v>44683.21226851852</v>
      </c>
      <c r="I2180" s="50"/>
      <c r="J2180" s="50"/>
      <c r="K2180" s="50"/>
      <c r="L2180" s="50"/>
      <c r="M2180" s="50" t="s">
        <v>13545</v>
      </c>
      <c r="N2180" s="50"/>
      <c r="O2180" s="53" t="s">
        <v>217</v>
      </c>
      <c r="P2180" s="55" t="s">
        <v>354</v>
      </c>
      <c r="Q2180" s="50">
        <v>59.0</v>
      </c>
      <c r="R2180" s="50">
        <v>172.0</v>
      </c>
      <c r="S2180" s="50"/>
      <c r="T2180" s="56" t="s">
        <v>13546</v>
      </c>
      <c r="U2180" s="53" t="s">
        <v>322</v>
      </c>
    </row>
    <row r="2181">
      <c r="A2181" s="54" t="s">
        <v>13547</v>
      </c>
      <c r="B2181" s="50" t="s">
        <v>13543</v>
      </c>
      <c r="C2181" s="51" t="s">
        <v>329</v>
      </c>
      <c r="D2181" s="51"/>
      <c r="E2181" s="51"/>
      <c r="F2181" s="51"/>
      <c r="G2181" s="50" t="s">
        <v>13548</v>
      </c>
      <c r="H2181" s="52">
        <v>44683.212129629625</v>
      </c>
      <c r="I2181" s="50"/>
      <c r="J2181" s="50"/>
      <c r="K2181" s="50"/>
      <c r="L2181" s="50"/>
      <c r="M2181" s="50" t="s">
        <v>13545</v>
      </c>
      <c r="N2181" s="50"/>
      <c r="O2181" s="53" t="s">
        <v>217</v>
      </c>
      <c r="P2181" s="55" t="s">
        <v>354</v>
      </c>
      <c r="Q2181" s="50">
        <v>59.0</v>
      </c>
      <c r="R2181" s="50">
        <v>172.0</v>
      </c>
      <c r="S2181" s="50"/>
      <c r="T2181" s="56" t="s">
        <v>13549</v>
      </c>
      <c r="U2181" s="53" t="s">
        <v>332</v>
      </c>
    </row>
    <row r="2182">
      <c r="A2182" s="54" t="s">
        <v>13550</v>
      </c>
      <c r="B2182" s="50" t="s">
        <v>13551</v>
      </c>
      <c r="C2182" s="51" t="s">
        <v>316</v>
      </c>
      <c r="D2182" s="51"/>
      <c r="E2182" s="51"/>
      <c r="F2182" s="51"/>
      <c r="G2182" s="50" t="s">
        <v>13552</v>
      </c>
      <c r="H2182" s="52">
        <v>44683.21204861111</v>
      </c>
      <c r="I2182" s="50"/>
      <c r="J2182" s="50"/>
      <c r="K2182" s="50"/>
      <c r="L2182" s="50"/>
      <c r="M2182" s="50" t="s">
        <v>13553</v>
      </c>
      <c r="N2182" s="50"/>
      <c r="O2182" s="53" t="s">
        <v>60</v>
      </c>
      <c r="P2182" s="55" t="s">
        <v>13554</v>
      </c>
      <c r="Q2182" s="50">
        <v>118.0</v>
      </c>
      <c r="R2182" s="50">
        <v>186.0</v>
      </c>
      <c r="S2182" s="50" t="s">
        <v>13555</v>
      </c>
      <c r="T2182" s="56" t="s">
        <v>13556</v>
      </c>
      <c r="U2182" s="53" t="s">
        <v>322</v>
      </c>
    </row>
    <row r="2183">
      <c r="A2183" s="54" t="s">
        <v>13557</v>
      </c>
      <c r="B2183" s="50" t="s">
        <v>13551</v>
      </c>
      <c r="C2183" s="51" t="s">
        <v>329</v>
      </c>
      <c r="D2183" s="51"/>
      <c r="E2183" s="51"/>
      <c r="F2183" s="51"/>
      <c r="G2183" s="50" t="s">
        <v>13558</v>
      </c>
      <c r="H2183" s="52">
        <v>44683.211909722224</v>
      </c>
      <c r="I2183" s="50"/>
      <c r="J2183" s="50"/>
      <c r="K2183" s="50"/>
      <c r="L2183" s="50"/>
      <c r="M2183" s="50" t="s">
        <v>13553</v>
      </c>
      <c r="N2183" s="50"/>
      <c r="O2183" s="53" t="s">
        <v>60</v>
      </c>
      <c r="P2183" s="55" t="s">
        <v>13554</v>
      </c>
      <c r="Q2183" s="50">
        <v>118.0</v>
      </c>
      <c r="R2183" s="50">
        <v>186.0</v>
      </c>
      <c r="S2183" s="50" t="s">
        <v>13555</v>
      </c>
      <c r="T2183" s="56" t="s">
        <v>13559</v>
      </c>
      <c r="U2183" s="53" t="s">
        <v>332</v>
      </c>
    </row>
    <row r="2184">
      <c r="A2184" s="54" t="s">
        <v>13560</v>
      </c>
      <c r="B2184" s="50" t="s">
        <v>13551</v>
      </c>
      <c r="C2184" s="51" t="s">
        <v>367</v>
      </c>
      <c r="D2184" s="51"/>
      <c r="E2184" s="51"/>
      <c r="F2184" s="51"/>
      <c r="G2184" s="50" t="s">
        <v>13561</v>
      </c>
      <c r="H2184" s="52">
        <v>44683.21177083333</v>
      </c>
      <c r="I2184" s="50"/>
      <c r="J2184" s="50"/>
      <c r="K2184" s="50"/>
      <c r="L2184" s="50"/>
      <c r="M2184" s="50" t="s">
        <v>13553</v>
      </c>
      <c r="N2184" s="50"/>
      <c r="O2184" s="53" t="s">
        <v>60</v>
      </c>
      <c r="P2184" s="55" t="s">
        <v>13554</v>
      </c>
      <c r="Q2184" s="50">
        <v>118.0</v>
      </c>
      <c r="R2184" s="50">
        <v>186.0</v>
      </c>
      <c r="S2184" s="50" t="s">
        <v>13555</v>
      </c>
      <c r="T2184" s="56" t="s">
        <v>13562</v>
      </c>
      <c r="U2184" s="53" t="s">
        <v>370</v>
      </c>
    </row>
    <row r="2185">
      <c r="A2185" s="54" t="s">
        <v>13563</v>
      </c>
      <c r="B2185" s="50" t="s">
        <v>13564</v>
      </c>
      <c r="C2185" s="51" t="s">
        <v>367</v>
      </c>
      <c r="D2185" s="51"/>
      <c r="E2185" s="51"/>
      <c r="F2185" s="51"/>
      <c r="G2185" s="50" t="s">
        <v>13565</v>
      </c>
      <c r="H2185" s="52">
        <v>44683.211736111116</v>
      </c>
      <c r="I2185" s="50"/>
      <c r="J2185" s="50"/>
      <c r="K2185" s="50"/>
      <c r="L2185" s="50"/>
      <c r="M2185" s="50" t="s">
        <v>13566</v>
      </c>
      <c r="N2185" s="50"/>
      <c r="O2185" s="53" t="s">
        <v>92</v>
      </c>
      <c r="P2185" s="55" t="s">
        <v>13567</v>
      </c>
      <c r="Q2185" s="50">
        <v>1631.0</v>
      </c>
      <c r="R2185" s="50">
        <v>2271.0</v>
      </c>
      <c r="S2185" s="50" t="s">
        <v>129</v>
      </c>
      <c r="T2185" s="56" t="s">
        <v>13568</v>
      </c>
      <c r="U2185" s="53" t="s">
        <v>370</v>
      </c>
    </row>
    <row r="2186">
      <c r="A2186" s="54" t="s">
        <v>13569</v>
      </c>
      <c r="B2186" s="50" t="s">
        <v>13570</v>
      </c>
      <c r="C2186" s="51" t="s">
        <v>4762</v>
      </c>
      <c r="D2186" s="51"/>
      <c r="E2186" s="51"/>
      <c r="F2186" s="51"/>
      <c r="G2186" s="50" t="s">
        <v>13571</v>
      </c>
      <c r="H2186" s="52">
        <v>44683.21141203704</v>
      </c>
      <c r="I2186" s="50"/>
      <c r="J2186" s="50"/>
      <c r="K2186" s="50"/>
      <c r="L2186" s="50"/>
      <c r="M2186" s="50" t="s">
        <v>13572</v>
      </c>
      <c r="N2186" s="50"/>
      <c r="O2186" s="53" t="s">
        <v>92</v>
      </c>
      <c r="P2186" s="55" t="s">
        <v>13573</v>
      </c>
      <c r="Q2186" s="50">
        <v>6923.0</v>
      </c>
      <c r="R2186" s="50">
        <v>2820.0</v>
      </c>
      <c r="S2186" s="50" t="s">
        <v>129</v>
      </c>
      <c r="T2186" s="56" t="s">
        <v>13574</v>
      </c>
      <c r="U2186" s="53" t="s">
        <v>4768</v>
      </c>
    </row>
    <row r="2187">
      <c r="A2187" s="54" t="s">
        <v>13575</v>
      </c>
      <c r="B2187" s="50" t="s">
        <v>13576</v>
      </c>
      <c r="C2187" s="51" t="s">
        <v>726</v>
      </c>
      <c r="D2187" s="51"/>
      <c r="E2187" s="51"/>
      <c r="F2187" s="51"/>
      <c r="G2187" s="50" t="s">
        <v>13577</v>
      </c>
      <c r="H2187" s="52">
        <v>44683.20989583334</v>
      </c>
      <c r="I2187" s="50"/>
      <c r="J2187" s="50"/>
      <c r="K2187" s="50"/>
      <c r="L2187" s="50"/>
      <c r="M2187" s="50" t="s">
        <v>13578</v>
      </c>
      <c r="N2187" s="50"/>
      <c r="O2187" s="53" t="s">
        <v>217</v>
      </c>
      <c r="P2187" s="55" t="s">
        <v>13579</v>
      </c>
      <c r="Q2187" s="50">
        <v>1815.0</v>
      </c>
      <c r="R2187" s="50">
        <v>2055.0</v>
      </c>
      <c r="S2187" s="50"/>
      <c r="T2187" s="56" t="s">
        <v>13580</v>
      </c>
      <c r="U2187" s="53" t="s">
        <v>731</v>
      </c>
    </row>
    <row r="2188">
      <c r="A2188" s="54" t="s">
        <v>13581</v>
      </c>
      <c r="B2188" s="50" t="s">
        <v>13582</v>
      </c>
      <c r="C2188" s="51" t="s">
        <v>12275</v>
      </c>
      <c r="D2188" s="51"/>
      <c r="E2188" s="51"/>
      <c r="F2188" s="51"/>
      <c r="G2188" s="50" t="s">
        <v>13583</v>
      </c>
      <c r="H2188" s="52">
        <v>44683.20951388888</v>
      </c>
      <c r="I2188" s="50"/>
      <c r="J2188" s="50"/>
      <c r="K2188" s="50"/>
      <c r="L2188" s="50"/>
      <c r="M2188" s="50" t="s">
        <v>13584</v>
      </c>
      <c r="N2188" s="50"/>
      <c r="O2188" s="53" t="s">
        <v>70</v>
      </c>
      <c r="P2188" s="55" t="s">
        <v>13585</v>
      </c>
      <c r="Q2188" s="50">
        <v>10640.0</v>
      </c>
      <c r="R2188" s="50">
        <v>11683.0</v>
      </c>
      <c r="S2188" s="50" t="s">
        <v>13586</v>
      </c>
      <c r="T2188" s="56" t="s">
        <v>13587</v>
      </c>
      <c r="U2188" s="53" t="s">
        <v>12280</v>
      </c>
    </row>
    <row r="2189">
      <c r="A2189" s="54" t="s">
        <v>13588</v>
      </c>
      <c r="B2189" s="50" t="s">
        <v>13582</v>
      </c>
      <c r="C2189" s="51" t="s">
        <v>13589</v>
      </c>
      <c r="D2189" s="51"/>
      <c r="E2189" s="51"/>
      <c r="F2189" s="51"/>
      <c r="G2189" s="50" t="s">
        <v>13590</v>
      </c>
      <c r="H2189" s="52">
        <v>44683.20943287037</v>
      </c>
      <c r="I2189" s="50"/>
      <c r="J2189" s="50"/>
      <c r="K2189" s="50"/>
      <c r="L2189" s="50"/>
      <c r="M2189" s="50" t="s">
        <v>13584</v>
      </c>
      <c r="N2189" s="50"/>
      <c r="O2189" s="53" t="s">
        <v>70</v>
      </c>
      <c r="P2189" s="55" t="s">
        <v>13585</v>
      </c>
      <c r="Q2189" s="50">
        <v>10640.0</v>
      </c>
      <c r="R2189" s="50">
        <v>11683.0</v>
      </c>
      <c r="S2189" s="50" t="s">
        <v>13586</v>
      </c>
      <c r="T2189" s="56" t="s">
        <v>13591</v>
      </c>
      <c r="U2189" s="53" t="s">
        <v>13592</v>
      </c>
    </row>
    <row r="2190">
      <c r="A2190" s="54" t="s">
        <v>13593</v>
      </c>
      <c r="B2190" s="50" t="s">
        <v>13332</v>
      </c>
      <c r="C2190" s="51" t="s">
        <v>13594</v>
      </c>
      <c r="D2190" s="51"/>
      <c r="E2190" s="51"/>
      <c r="F2190" s="51"/>
      <c r="G2190" s="50" t="s">
        <v>13595</v>
      </c>
      <c r="H2190" s="52">
        <v>44683.209074074075</v>
      </c>
      <c r="I2190" s="50"/>
      <c r="J2190" s="50"/>
      <c r="K2190" s="50" t="s">
        <v>8099</v>
      </c>
      <c r="L2190" s="50" t="s">
        <v>8100</v>
      </c>
      <c r="M2190" s="50" t="s">
        <v>13335</v>
      </c>
      <c r="N2190" s="50" t="s">
        <v>13596</v>
      </c>
      <c r="O2190" s="53" t="s">
        <v>60</v>
      </c>
      <c r="P2190" s="55" t="s">
        <v>13336</v>
      </c>
      <c r="Q2190" s="50">
        <v>15970.0</v>
      </c>
      <c r="R2190" s="50">
        <v>6857.0</v>
      </c>
      <c r="S2190" s="50" t="s">
        <v>246</v>
      </c>
      <c r="T2190" s="56" t="s">
        <v>13597</v>
      </c>
      <c r="U2190" s="53" t="s">
        <v>13598</v>
      </c>
    </row>
    <row r="2191">
      <c r="A2191" s="54" t="s">
        <v>13599</v>
      </c>
      <c r="B2191" s="50" t="s">
        <v>13426</v>
      </c>
      <c r="C2191" s="51" t="s">
        <v>367</v>
      </c>
      <c r="D2191" s="51"/>
      <c r="E2191" s="51"/>
      <c r="F2191" s="51"/>
      <c r="G2191" s="50" t="s">
        <v>13600</v>
      </c>
      <c r="H2191" s="52">
        <v>44683.207500000004</v>
      </c>
      <c r="I2191" s="50"/>
      <c r="J2191" s="50"/>
      <c r="K2191" s="50"/>
      <c r="L2191" s="50"/>
      <c r="M2191" s="50" t="s">
        <v>13428</v>
      </c>
      <c r="N2191" s="50"/>
      <c r="O2191" s="53" t="s">
        <v>217</v>
      </c>
      <c r="P2191" s="55" t="s">
        <v>13429</v>
      </c>
      <c r="Q2191" s="50">
        <v>11086.0</v>
      </c>
      <c r="R2191" s="50">
        <v>10851.0</v>
      </c>
      <c r="S2191" s="50" t="s">
        <v>13430</v>
      </c>
      <c r="T2191" s="56" t="s">
        <v>13601</v>
      </c>
      <c r="U2191" s="53" t="s">
        <v>370</v>
      </c>
    </row>
    <row r="2192">
      <c r="A2192" s="54" t="s">
        <v>13602</v>
      </c>
      <c r="B2192" s="50" t="s">
        <v>13603</v>
      </c>
      <c r="C2192" s="51" t="s">
        <v>13604</v>
      </c>
      <c r="D2192" s="51"/>
      <c r="E2192" s="51"/>
      <c r="F2192" s="51"/>
      <c r="G2192" s="50" t="s">
        <v>13605</v>
      </c>
      <c r="H2192" s="52">
        <v>44683.207395833335</v>
      </c>
      <c r="I2192" s="50"/>
      <c r="J2192" s="50"/>
      <c r="K2192" s="50" t="s">
        <v>13606</v>
      </c>
      <c r="L2192" s="50" t="s">
        <v>13607</v>
      </c>
      <c r="M2192" s="50" t="s">
        <v>13608</v>
      </c>
      <c r="N2192" s="50" t="s">
        <v>13609</v>
      </c>
      <c r="O2192" s="53" t="s">
        <v>92</v>
      </c>
      <c r="P2192" s="55" t="s">
        <v>13610</v>
      </c>
      <c r="Q2192" s="50">
        <v>2929.0</v>
      </c>
      <c r="R2192" s="50">
        <v>3604.0</v>
      </c>
      <c r="S2192" s="50" t="s">
        <v>13611</v>
      </c>
      <c r="T2192" s="56" t="s">
        <v>13612</v>
      </c>
      <c r="U2192" s="53" t="s">
        <v>13613</v>
      </c>
    </row>
    <row r="2193">
      <c r="A2193" s="54" t="s">
        <v>13614</v>
      </c>
      <c r="B2193" s="50" t="s">
        <v>13615</v>
      </c>
      <c r="C2193" s="51" t="s">
        <v>316</v>
      </c>
      <c r="D2193" s="51"/>
      <c r="E2193" s="51"/>
      <c r="F2193" s="51"/>
      <c r="G2193" s="50" t="s">
        <v>13616</v>
      </c>
      <c r="H2193" s="52">
        <v>44683.206400462965</v>
      </c>
      <c r="I2193" s="50"/>
      <c r="J2193" s="50"/>
      <c r="K2193" s="50"/>
      <c r="L2193" s="50"/>
      <c r="M2193" s="50" t="s">
        <v>13617</v>
      </c>
      <c r="N2193" s="50"/>
      <c r="O2193" s="53" t="s">
        <v>60</v>
      </c>
      <c r="P2193" s="55" t="s">
        <v>13618</v>
      </c>
      <c r="Q2193" s="50">
        <v>824.0</v>
      </c>
      <c r="R2193" s="50">
        <v>1341.0</v>
      </c>
      <c r="S2193" s="50"/>
      <c r="T2193" s="56" t="s">
        <v>13619</v>
      </c>
      <c r="U2193" s="53" t="s">
        <v>322</v>
      </c>
    </row>
    <row r="2194">
      <c r="A2194" s="54" t="s">
        <v>13620</v>
      </c>
      <c r="B2194" s="50" t="s">
        <v>13621</v>
      </c>
      <c r="C2194" s="51" t="s">
        <v>13622</v>
      </c>
      <c r="D2194" s="51"/>
      <c r="E2194" s="51"/>
      <c r="F2194" s="51"/>
      <c r="G2194" s="50" t="s">
        <v>13623</v>
      </c>
      <c r="H2194" s="52">
        <v>44683.203831018516</v>
      </c>
      <c r="I2194" s="50"/>
      <c r="J2194" s="50"/>
      <c r="K2194" s="50" t="s">
        <v>13624</v>
      </c>
      <c r="L2194" s="50" t="s">
        <v>13625</v>
      </c>
      <c r="M2194" s="50" t="s">
        <v>13626</v>
      </c>
      <c r="N2194" s="50" t="s">
        <v>13627</v>
      </c>
      <c r="O2194" s="53" t="s">
        <v>60</v>
      </c>
      <c r="P2194" s="55" t="s">
        <v>13628</v>
      </c>
      <c r="Q2194" s="50">
        <v>332.0</v>
      </c>
      <c r="R2194" s="50">
        <v>365.0</v>
      </c>
      <c r="S2194" s="50"/>
      <c r="T2194" s="56" t="s">
        <v>13629</v>
      </c>
      <c r="U2194" s="53" t="s">
        <v>13630</v>
      </c>
    </row>
    <row r="2195">
      <c r="A2195" s="54" t="s">
        <v>13631</v>
      </c>
      <c r="B2195" s="50" t="s">
        <v>13632</v>
      </c>
      <c r="C2195" s="51" t="s">
        <v>2630</v>
      </c>
      <c r="D2195" s="51"/>
      <c r="E2195" s="51"/>
      <c r="F2195" s="51"/>
      <c r="G2195" s="50" t="s">
        <v>13633</v>
      </c>
      <c r="H2195" s="52">
        <v>44683.2034837963</v>
      </c>
      <c r="I2195" s="50"/>
      <c r="J2195" s="50"/>
      <c r="K2195" s="50"/>
      <c r="L2195" s="50"/>
      <c r="M2195" s="50" t="s">
        <v>13634</v>
      </c>
      <c r="N2195" s="50"/>
      <c r="O2195" s="53" t="s">
        <v>60</v>
      </c>
      <c r="P2195" s="55" t="s">
        <v>13635</v>
      </c>
      <c r="Q2195" s="50">
        <v>65491.0</v>
      </c>
      <c r="R2195" s="50">
        <v>5177.0</v>
      </c>
      <c r="S2195" s="50" t="s">
        <v>219</v>
      </c>
      <c r="T2195" s="56" t="s">
        <v>13636</v>
      </c>
      <c r="U2195" s="53" t="s">
        <v>691</v>
      </c>
    </row>
    <row r="2196">
      <c r="A2196" s="54" t="s">
        <v>13637</v>
      </c>
      <c r="B2196" s="50" t="s">
        <v>13632</v>
      </c>
      <c r="C2196" s="51" t="s">
        <v>9487</v>
      </c>
      <c r="D2196" s="51"/>
      <c r="E2196" s="51"/>
      <c r="F2196" s="51"/>
      <c r="G2196" s="50" t="s">
        <v>13638</v>
      </c>
      <c r="H2196" s="52">
        <v>44683.20306712963</v>
      </c>
      <c r="I2196" s="50"/>
      <c r="J2196" s="50"/>
      <c r="K2196" s="50"/>
      <c r="L2196" s="50"/>
      <c r="M2196" s="50" t="s">
        <v>13634</v>
      </c>
      <c r="N2196" s="50"/>
      <c r="O2196" s="53" t="s">
        <v>60</v>
      </c>
      <c r="P2196" s="55" t="s">
        <v>13635</v>
      </c>
      <c r="Q2196" s="50">
        <v>65491.0</v>
      </c>
      <c r="R2196" s="50">
        <v>5177.0</v>
      </c>
      <c r="S2196" s="50" t="s">
        <v>219</v>
      </c>
      <c r="T2196" s="56" t="s">
        <v>13639</v>
      </c>
      <c r="U2196" s="53" t="s">
        <v>691</v>
      </c>
    </row>
    <row r="2197">
      <c r="A2197" s="54" t="s">
        <v>13640</v>
      </c>
      <c r="B2197" s="50" t="s">
        <v>13582</v>
      </c>
      <c r="C2197" s="51" t="s">
        <v>13641</v>
      </c>
      <c r="D2197" s="51"/>
      <c r="E2197" s="51"/>
      <c r="F2197" s="51"/>
      <c r="G2197" s="50" t="s">
        <v>13642</v>
      </c>
      <c r="H2197" s="52">
        <v>44683.202928240746</v>
      </c>
      <c r="I2197" s="50"/>
      <c r="J2197" s="50"/>
      <c r="K2197" s="50"/>
      <c r="L2197" s="50"/>
      <c r="M2197" s="50" t="s">
        <v>13584</v>
      </c>
      <c r="N2197" s="50"/>
      <c r="O2197" s="53" t="s">
        <v>70</v>
      </c>
      <c r="P2197" s="55" t="s">
        <v>13585</v>
      </c>
      <c r="Q2197" s="50">
        <v>10640.0</v>
      </c>
      <c r="R2197" s="50">
        <v>11683.0</v>
      </c>
      <c r="S2197" s="50" t="s">
        <v>13586</v>
      </c>
      <c r="T2197" s="56" t="s">
        <v>13643</v>
      </c>
      <c r="U2197" s="53" t="s">
        <v>13644</v>
      </c>
    </row>
    <row r="2198">
      <c r="A2198" s="54" t="s">
        <v>13645</v>
      </c>
      <c r="B2198" s="50" t="s">
        <v>13582</v>
      </c>
      <c r="C2198" s="51" t="s">
        <v>13646</v>
      </c>
      <c r="D2198" s="51"/>
      <c r="E2198" s="51"/>
      <c r="F2198" s="51"/>
      <c r="G2198" s="50" t="s">
        <v>13647</v>
      </c>
      <c r="H2198" s="52">
        <v>44683.20025462963</v>
      </c>
      <c r="I2198" s="50"/>
      <c r="J2198" s="50"/>
      <c r="K2198" s="50" t="s">
        <v>13648</v>
      </c>
      <c r="L2198" s="50" t="s">
        <v>13649</v>
      </c>
      <c r="M2198" s="50" t="s">
        <v>13584</v>
      </c>
      <c r="N2198" s="50" t="s">
        <v>13650</v>
      </c>
      <c r="O2198" s="53" t="s">
        <v>70</v>
      </c>
      <c r="P2198" s="55" t="s">
        <v>13585</v>
      </c>
      <c r="Q2198" s="50">
        <v>10640.0</v>
      </c>
      <c r="R2198" s="50">
        <v>11683.0</v>
      </c>
      <c r="S2198" s="50" t="s">
        <v>13586</v>
      </c>
      <c r="T2198" s="56" t="s">
        <v>13651</v>
      </c>
      <c r="U2198" s="53" t="s">
        <v>13652</v>
      </c>
    </row>
    <row r="2199">
      <c r="A2199" s="54" t="s">
        <v>13653</v>
      </c>
      <c r="B2199" s="50" t="s">
        <v>1736</v>
      </c>
      <c r="C2199" s="51" t="s">
        <v>13654</v>
      </c>
      <c r="D2199" s="51"/>
      <c r="E2199" s="51"/>
      <c r="F2199" s="51"/>
      <c r="G2199" s="50" t="s">
        <v>13655</v>
      </c>
      <c r="H2199" s="52">
        <v>44683.19935185185</v>
      </c>
      <c r="I2199" s="50"/>
      <c r="J2199" s="50"/>
      <c r="K2199" s="50"/>
      <c r="L2199" s="50"/>
      <c r="M2199" s="50" t="s">
        <v>1738</v>
      </c>
      <c r="N2199" s="50"/>
      <c r="O2199" s="53" t="s">
        <v>1739</v>
      </c>
      <c r="P2199" s="55" t="s">
        <v>1740</v>
      </c>
      <c r="Q2199" s="50">
        <v>3355.0</v>
      </c>
      <c r="R2199" s="50">
        <v>1645.0</v>
      </c>
      <c r="S2199" s="50" t="s">
        <v>1741</v>
      </c>
      <c r="T2199" s="56" t="s">
        <v>13656</v>
      </c>
      <c r="U2199" s="53" t="s">
        <v>13657</v>
      </c>
    </row>
    <row r="2200">
      <c r="A2200" s="54" t="s">
        <v>13658</v>
      </c>
      <c r="B2200" s="50" t="s">
        <v>1736</v>
      </c>
      <c r="C2200" s="51" t="s">
        <v>13055</v>
      </c>
      <c r="D2200" s="51"/>
      <c r="E2200" s="51"/>
      <c r="F2200" s="51"/>
      <c r="G2200" s="50" t="s">
        <v>13659</v>
      </c>
      <c r="H2200" s="52">
        <v>44683.19930555555</v>
      </c>
      <c r="I2200" s="50"/>
      <c r="J2200" s="50"/>
      <c r="K2200" s="50"/>
      <c r="L2200" s="50"/>
      <c r="M2200" s="50" t="s">
        <v>1738</v>
      </c>
      <c r="N2200" s="50"/>
      <c r="O2200" s="53" t="s">
        <v>1739</v>
      </c>
      <c r="P2200" s="55" t="s">
        <v>1740</v>
      </c>
      <c r="Q2200" s="50">
        <v>3355.0</v>
      </c>
      <c r="R2200" s="50">
        <v>1645.0</v>
      </c>
      <c r="S2200" s="50" t="s">
        <v>1741</v>
      </c>
      <c r="T2200" s="56" t="s">
        <v>13660</v>
      </c>
      <c r="U2200" s="53" t="s">
        <v>13661</v>
      </c>
    </row>
    <row r="2201">
      <c r="A2201" s="54" t="s">
        <v>13662</v>
      </c>
      <c r="B2201" s="50" t="s">
        <v>1736</v>
      </c>
      <c r="C2201" s="51" t="s">
        <v>10980</v>
      </c>
      <c r="D2201" s="51"/>
      <c r="E2201" s="51"/>
      <c r="F2201" s="51"/>
      <c r="G2201" s="50" t="s">
        <v>13663</v>
      </c>
      <c r="H2201" s="52">
        <v>44683.19917824074</v>
      </c>
      <c r="I2201" s="50"/>
      <c r="J2201" s="50"/>
      <c r="K2201" s="50"/>
      <c r="L2201" s="50"/>
      <c r="M2201" s="50" t="s">
        <v>1738</v>
      </c>
      <c r="N2201" s="50"/>
      <c r="O2201" s="53" t="s">
        <v>1739</v>
      </c>
      <c r="P2201" s="55" t="s">
        <v>1740</v>
      </c>
      <c r="Q2201" s="50">
        <v>3355.0</v>
      </c>
      <c r="R2201" s="50">
        <v>1645.0</v>
      </c>
      <c r="S2201" s="50" t="s">
        <v>1741</v>
      </c>
      <c r="T2201" s="56" t="s">
        <v>13664</v>
      </c>
      <c r="U2201" s="53" t="s">
        <v>10986</v>
      </c>
    </row>
    <row r="2202">
      <c r="A2202" s="54" t="s">
        <v>13665</v>
      </c>
      <c r="B2202" s="50" t="s">
        <v>13666</v>
      </c>
      <c r="C2202" s="51" t="s">
        <v>13667</v>
      </c>
      <c r="D2202" s="51"/>
      <c r="E2202" s="51"/>
      <c r="F2202" s="51"/>
      <c r="G2202" s="50" t="s">
        <v>13668</v>
      </c>
      <c r="H2202" s="52">
        <v>44683.19902777778</v>
      </c>
      <c r="I2202" s="50"/>
      <c r="J2202" s="50"/>
      <c r="K2202" s="50"/>
      <c r="L2202" s="50"/>
      <c r="M2202" s="50" t="s">
        <v>13669</v>
      </c>
      <c r="N2202" s="50"/>
      <c r="O2202" s="53" t="s">
        <v>6535</v>
      </c>
      <c r="P2202" s="55" t="s">
        <v>13670</v>
      </c>
      <c r="Q2202" s="50">
        <v>71.0</v>
      </c>
      <c r="R2202" s="50">
        <v>4.0</v>
      </c>
      <c r="S2202" s="50" t="s">
        <v>1311</v>
      </c>
      <c r="T2202" s="56" t="s">
        <v>13671</v>
      </c>
      <c r="U2202" s="53" t="s">
        <v>3552</v>
      </c>
    </row>
    <row r="2203">
      <c r="A2203" s="54" t="s">
        <v>13672</v>
      </c>
      <c r="B2203" s="50" t="s">
        <v>13673</v>
      </c>
      <c r="C2203" s="51" t="s">
        <v>13055</v>
      </c>
      <c r="D2203" s="51"/>
      <c r="E2203" s="51"/>
      <c r="F2203" s="51"/>
      <c r="G2203" s="50" t="s">
        <v>13674</v>
      </c>
      <c r="H2203" s="52">
        <v>44683.198425925926</v>
      </c>
      <c r="I2203" s="50"/>
      <c r="J2203" s="50"/>
      <c r="K2203" s="50"/>
      <c r="L2203" s="50"/>
      <c r="M2203" s="50" t="s">
        <v>13675</v>
      </c>
      <c r="N2203" s="50"/>
      <c r="O2203" s="53" t="s">
        <v>92</v>
      </c>
      <c r="P2203" s="55" t="s">
        <v>13676</v>
      </c>
      <c r="Q2203" s="50">
        <v>179.0</v>
      </c>
      <c r="R2203" s="50">
        <v>249.0</v>
      </c>
      <c r="S2203" s="50" t="s">
        <v>13677</v>
      </c>
      <c r="T2203" s="56" t="s">
        <v>13678</v>
      </c>
      <c r="U2203" s="53" t="s">
        <v>13059</v>
      </c>
    </row>
    <row r="2204">
      <c r="A2204" s="54" t="s">
        <v>13679</v>
      </c>
      <c r="B2204" s="50" t="s">
        <v>13680</v>
      </c>
      <c r="C2204" s="51" t="s">
        <v>13681</v>
      </c>
      <c r="D2204" s="51"/>
      <c r="E2204" s="51"/>
      <c r="F2204" s="51"/>
      <c r="G2204" s="50" t="s">
        <v>13682</v>
      </c>
      <c r="H2204" s="52">
        <v>44683.198333333334</v>
      </c>
      <c r="I2204" s="50"/>
      <c r="J2204" s="50"/>
      <c r="K2204" s="50" t="s">
        <v>13683</v>
      </c>
      <c r="L2204" s="50" t="s">
        <v>13684</v>
      </c>
      <c r="M2204" s="50" t="s">
        <v>13685</v>
      </c>
      <c r="N2204" s="50" t="s">
        <v>13686</v>
      </c>
      <c r="O2204" s="53" t="s">
        <v>60</v>
      </c>
      <c r="P2204" s="55" t="s">
        <v>13687</v>
      </c>
      <c r="Q2204" s="50">
        <v>2275.0</v>
      </c>
      <c r="R2204" s="50">
        <v>3205.0</v>
      </c>
      <c r="S2204" s="50" t="s">
        <v>658</v>
      </c>
      <c r="T2204" s="56" t="s">
        <v>13688</v>
      </c>
      <c r="U2204" s="53" t="s">
        <v>13689</v>
      </c>
    </row>
    <row r="2205">
      <c r="A2205" s="54" t="s">
        <v>13690</v>
      </c>
      <c r="B2205" s="50" t="s">
        <v>13582</v>
      </c>
      <c r="C2205" s="51" t="s">
        <v>13691</v>
      </c>
      <c r="D2205" s="51"/>
      <c r="E2205" s="51"/>
      <c r="F2205" s="51"/>
      <c r="G2205" s="50" t="s">
        <v>13692</v>
      </c>
      <c r="H2205" s="52">
        <v>44683.19731481481</v>
      </c>
      <c r="I2205" s="50"/>
      <c r="J2205" s="50"/>
      <c r="K2205" s="50" t="s">
        <v>13693</v>
      </c>
      <c r="L2205" s="50" t="s">
        <v>13694</v>
      </c>
      <c r="M2205" s="50" t="s">
        <v>13584</v>
      </c>
      <c r="N2205" s="50" t="s">
        <v>13695</v>
      </c>
      <c r="O2205" s="53" t="s">
        <v>70</v>
      </c>
      <c r="P2205" s="55" t="s">
        <v>13585</v>
      </c>
      <c r="Q2205" s="50">
        <v>10640.0</v>
      </c>
      <c r="R2205" s="50">
        <v>11683.0</v>
      </c>
      <c r="S2205" s="50" t="s">
        <v>13586</v>
      </c>
      <c r="T2205" s="56" t="s">
        <v>13696</v>
      </c>
      <c r="U2205" s="53" t="s">
        <v>13697</v>
      </c>
    </row>
    <row r="2206">
      <c r="A2206" s="54" t="s">
        <v>13698</v>
      </c>
      <c r="B2206" s="50" t="s">
        <v>13699</v>
      </c>
      <c r="C2206" s="51" t="s">
        <v>13700</v>
      </c>
      <c r="D2206" s="51"/>
      <c r="E2206" s="51"/>
      <c r="F2206" s="51"/>
      <c r="G2206" s="50" t="s">
        <v>13701</v>
      </c>
      <c r="H2206" s="52">
        <v>44683.19642361111</v>
      </c>
      <c r="I2206" s="50"/>
      <c r="J2206" s="50"/>
      <c r="K2206" s="50"/>
      <c r="L2206" s="50"/>
      <c r="M2206" s="50" t="s">
        <v>13702</v>
      </c>
      <c r="N2206" s="50"/>
      <c r="O2206" s="53" t="s">
        <v>60</v>
      </c>
      <c r="P2206" s="55" t="s">
        <v>13703</v>
      </c>
      <c r="Q2206" s="50">
        <v>53.0</v>
      </c>
      <c r="R2206" s="50">
        <v>98.0</v>
      </c>
      <c r="S2206" s="50"/>
      <c r="T2206" s="56" t="s">
        <v>13704</v>
      </c>
      <c r="U2206" s="53" t="s">
        <v>13705</v>
      </c>
    </row>
    <row r="2207">
      <c r="A2207" s="54" t="s">
        <v>13706</v>
      </c>
      <c r="B2207" s="50" t="s">
        <v>13582</v>
      </c>
      <c r="C2207" s="51" t="s">
        <v>13707</v>
      </c>
      <c r="D2207" s="51"/>
      <c r="E2207" s="51"/>
      <c r="F2207" s="51"/>
      <c r="G2207" s="50" t="s">
        <v>13708</v>
      </c>
      <c r="H2207" s="52">
        <v>44683.196180555555</v>
      </c>
      <c r="I2207" s="50"/>
      <c r="J2207" s="50"/>
      <c r="K2207" s="50"/>
      <c r="L2207" s="50"/>
      <c r="M2207" s="50" t="s">
        <v>13584</v>
      </c>
      <c r="N2207" s="50"/>
      <c r="O2207" s="53" t="s">
        <v>70</v>
      </c>
      <c r="P2207" s="55" t="s">
        <v>13585</v>
      </c>
      <c r="Q2207" s="50">
        <v>10640.0</v>
      </c>
      <c r="R2207" s="50">
        <v>11683.0</v>
      </c>
      <c r="S2207" s="50" t="s">
        <v>13586</v>
      </c>
      <c r="T2207" s="56" t="s">
        <v>13709</v>
      </c>
      <c r="U2207" s="53" t="s">
        <v>13710</v>
      </c>
    </row>
    <row r="2208">
      <c r="A2208" s="54" t="s">
        <v>13711</v>
      </c>
      <c r="B2208" s="50" t="s">
        <v>13712</v>
      </c>
      <c r="C2208" s="51" t="s">
        <v>13713</v>
      </c>
      <c r="D2208" s="51"/>
      <c r="E2208" s="51"/>
      <c r="F2208" s="51"/>
      <c r="G2208" s="50" t="s">
        <v>13714</v>
      </c>
      <c r="H2208" s="52">
        <v>44683.19336805555</v>
      </c>
      <c r="I2208" s="50"/>
      <c r="J2208" s="50"/>
      <c r="K2208" s="50"/>
      <c r="L2208" s="50"/>
      <c r="M2208" s="50" t="s">
        <v>13715</v>
      </c>
      <c r="N2208" s="50"/>
      <c r="O2208" s="53" t="s">
        <v>92</v>
      </c>
      <c r="P2208" s="55" t="s">
        <v>13716</v>
      </c>
      <c r="Q2208" s="50">
        <v>710.0</v>
      </c>
      <c r="R2208" s="50">
        <v>1597.0</v>
      </c>
      <c r="S2208" s="50" t="s">
        <v>246</v>
      </c>
      <c r="T2208" s="56" t="s">
        <v>13717</v>
      </c>
      <c r="U2208" s="53" t="s">
        <v>13718</v>
      </c>
    </row>
    <row r="2209">
      <c r="A2209" s="54" t="s">
        <v>13719</v>
      </c>
      <c r="B2209" s="50" t="s">
        <v>13720</v>
      </c>
      <c r="C2209" s="51" t="s">
        <v>316</v>
      </c>
      <c r="D2209" s="51"/>
      <c r="E2209" s="51"/>
      <c r="F2209" s="51"/>
      <c r="G2209" s="50" t="s">
        <v>13721</v>
      </c>
      <c r="H2209" s="52">
        <v>44683.19327546297</v>
      </c>
      <c r="I2209" s="50"/>
      <c r="J2209" s="50"/>
      <c r="K2209" s="50"/>
      <c r="L2209" s="50"/>
      <c r="M2209" s="50" t="s">
        <v>13722</v>
      </c>
      <c r="N2209" s="50"/>
      <c r="O2209" s="53" t="s">
        <v>70</v>
      </c>
      <c r="P2209" s="55" t="s">
        <v>13723</v>
      </c>
      <c r="Q2209" s="50">
        <v>461.0</v>
      </c>
      <c r="R2209" s="50">
        <v>1386.0</v>
      </c>
      <c r="S2209" s="50" t="s">
        <v>4349</v>
      </c>
      <c r="T2209" s="56" t="s">
        <v>13724</v>
      </c>
      <c r="U2209" s="53" t="s">
        <v>322</v>
      </c>
    </row>
    <row r="2210">
      <c r="A2210" s="54" t="s">
        <v>13725</v>
      </c>
      <c r="B2210" s="50" t="s">
        <v>13582</v>
      </c>
      <c r="C2210" s="51" t="s">
        <v>13317</v>
      </c>
      <c r="D2210" s="51"/>
      <c r="E2210" s="51"/>
      <c r="F2210" s="51"/>
      <c r="G2210" s="50" t="s">
        <v>13726</v>
      </c>
      <c r="H2210" s="52">
        <v>44683.19296296296</v>
      </c>
      <c r="I2210" s="50"/>
      <c r="J2210" s="50"/>
      <c r="K2210" s="50"/>
      <c r="L2210" s="50"/>
      <c r="M2210" s="50" t="s">
        <v>13584</v>
      </c>
      <c r="N2210" s="50"/>
      <c r="O2210" s="53" t="s">
        <v>70</v>
      </c>
      <c r="P2210" s="55" t="s">
        <v>13585</v>
      </c>
      <c r="Q2210" s="50">
        <v>10640.0</v>
      </c>
      <c r="R2210" s="50">
        <v>11683.0</v>
      </c>
      <c r="S2210" s="50" t="s">
        <v>13586</v>
      </c>
      <c r="T2210" s="56" t="s">
        <v>13727</v>
      </c>
      <c r="U2210" s="53" t="s">
        <v>13322</v>
      </c>
    </row>
    <row r="2211">
      <c r="A2211" s="54" t="s">
        <v>13728</v>
      </c>
      <c r="B2211" s="50" t="s">
        <v>13582</v>
      </c>
      <c r="C2211" s="51" t="s">
        <v>13729</v>
      </c>
      <c r="D2211" s="51"/>
      <c r="E2211" s="51"/>
      <c r="F2211" s="51"/>
      <c r="G2211" s="50" t="s">
        <v>13730</v>
      </c>
      <c r="H2211" s="52">
        <v>44683.192870370374</v>
      </c>
      <c r="I2211" s="50"/>
      <c r="J2211" s="50"/>
      <c r="K2211" s="50" t="s">
        <v>13731</v>
      </c>
      <c r="L2211" s="50" t="s">
        <v>13732</v>
      </c>
      <c r="M2211" s="50" t="s">
        <v>13584</v>
      </c>
      <c r="N2211" s="50" t="s">
        <v>13733</v>
      </c>
      <c r="O2211" s="53" t="s">
        <v>70</v>
      </c>
      <c r="P2211" s="55" t="s">
        <v>13585</v>
      </c>
      <c r="Q2211" s="50">
        <v>10640.0</v>
      </c>
      <c r="R2211" s="50">
        <v>11683.0</v>
      </c>
      <c r="S2211" s="50" t="s">
        <v>13586</v>
      </c>
      <c r="T2211" s="56" t="s">
        <v>13734</v>
      </c>
      <c r="U2211" s="53" t="s">
        <v>13735</v>
      </c>
    </row>
    <row r="2212">
      <c r="A2212" s="54" t="s">
        <v>13736</v>
      </c>
      <c r="B2212" s="50" t="s">
        <v>13737</v>
      </c>
      <c r="C2212" s="51" t="s">
        <v>363</v>
      </c>
      <c r="D2212" s="51"/>
      <c r="E2212" s="51"/>
      <c r="F2212" s="51"/>
      <c r="G2212" s="50" t="s">
        <v>13738</v>
      </c>
      <c r="H2212" s="52">
        <v>44683.19121527778</v>
      </c>
      <c r="I2212" s="50"/>
      <c r="J2212" s="50"/>
      <c r="K2212" s="50"/>
      <c r="L2212" s="50"/>
      <c r="M2212" s="50" t="s">
        <v>13739</v>
      </c>
      <c r="N2212" s="50"/>
      <c r="O2212" s="53" t="s">
        <v>92</v>
      </c>
      <c r="P2212" s="55" t="s">
        <v>13740</v>
      </c>
      <c r="Q2212" s="50">
        <v>346.0</v>
      </c>
      <c r="R2212" s="50">
        <v>2165.0</v>
      </c>
      <c r="S2212" s="50" t="s">
        <v>8990</v>
      </c>
      <c r="T2212" s="56" t="s">
        <v>13741</v>
      </c>
      <c r="U2212" s="53" t="s">
        <v>332</v>
      </c>
    </row>
    <row r="2213">
      <c r="A2213" s="54" t="s">
        <v>13742</v>
      </c>
      <c r="B2213" s="50" t="s">
        <v>13743</v>
      </c>
      <c r="C2213" s="51" t="s">
        <v>13744</v>
      </c>
      <c r="D2213" s="51"/>
      <c r="E2213" s="51"/>
      <c r="F2213" s="51"/>
      <c r="G2213" s="50" t="s">
        <v>13745</v>
      </c>
      <c r="H2213" s="52">
        <v>44683.1905787037</v>
      </c>
      <c r="I2213" s="50"/>
      <c r="J2213" s="50"/>
      <c r="K2213" s="50"/>
      <c r="L2213" s="50"/>
      <c r="M2213" s="50" t="s">
        <v>13746</v>
      </c>
      <c r="N2213" s="50"/>
      <c r="O2213" s="53" t="s">
        <v>92</v>
      </c>
      <c r="P2213" s="55" t="s">
        <v>13747</v>
      </c>
      <c r="Q2213" s="50">
        <v>1165.0</v>
      </c>
      <c r="R2213" s="50">
        <v>1240.0</v>
      </c>
      <c r="S2213" s="50" t="s">
        <v>658</v>
      </c>
      <c r="T2213" s="56" t="s">
        <v>13748</v>
      </c>
      <c r="U2213" s="53" t="s">
        <v>13749</v>
      </c>
    </row>
    <row r="2214">
      <c r="A2214" s="54" t="s">
        <v>13750</v>
      </c>
      <c r="B2214" s="50" t="s">
        <v>11934</v>
      </c>
      <c r="C2214" s="51" t="s">
        <v>13751</v>
      </c>
      <c r="D2214" s="51"/>
      <c r="E2214" s="51"/>
      <c r="F2214" s="51"/>
      <c r="G2214" s="50" t="s">
        <v>13752</v>
      </c>
      <c r="H2214" s="52">
        <v>44683.189050925925</v>
      </c>
      <c r="I2214" s="50"/>
      <c r="J2214" s="50"/>
      <c r="K2214" s="50" t="s">
        <v>13753</v>
      </c>
      <c r="L2214" s="50" t="s">
        <v>13754</v>
      </c>
      <c r="M2214" s="50" t="s">
        <v>11939</v>
      </c>
      <c r="N2214" s="50" t="s">
        <v>13755</v>
      </c>
      <c r="O2214" s="53" t="s">
        <v>60</v>
      </c>
      <c r="P2214" s="55" t="s">
        <v>11941</v>
      </c>
      <c r="Q2214" s="50">
        <v>64.0</v>
      </c>
      <c r="R2214" s="50">
        <v>102.0</v>
      </c>
      <c r="S2214" s="50" t="s">
        <v>246</v>
      </c>
      <c r="T2214" s="56" t="s">
        <v>13756</v>
      </c>
      <c r="U2214" s="53" t="s">
        <v>13757</v>
      </c>
    </row>
    <row r="2215">
      <c r="A2215" s="54" t="s">
        <v>13758</v>
      </c>
      <c r="B2215" s="50" t="s">
        <v>13759</v>
      </c>
      <c r="C2215" s="51" t="s">
        <v>13760</v>
      </c>
      <c r="D2215" s="51"/>
      <c r="E2215" s="51"/>
      <c r="F2215" s="51"/>
      <c r="G2215" s="50" t="s">
        <v>13761</v>
      </c>
      <c r="H2215" s="52">
        <v>44683.18902777778</v>
      </c>
      <c r="I2215" s="50"/>
      <c r="J2215" s="50"/>
      <c r="K2215" s="50"/>
      <c r="L2215" s="50"/>
      <c r="M2215" s="50" t="s">
        <v>13762</v>
      </c>
      <c r="N2215" s="50"/>
      <c r="O2215" s="53" t="s">
        <v>60</v>
      </c>
      <c r="P2215" s="55" t="s">
        <v>13763</v>
      </c>
      <c r="Q2215" s="50">
        <v>12911.0</v>
      </c>
      <c r="R2215" s="50">
        <v>6575.0</v>
      </c>
      <c r="S2215" s="50" t="s">
        <v>13764</v>
      </c>
      <c r="T2215" s="56" t="s">
        <v>13765</v>
      </c>
      <c r="U2215" s="53" t="s">
        <v>13766</v>
      </c>
    </row>
    <row r="2216">
      <c r="A2216" s="54" t="s">
        <v>13767</v>
      </c>
      <c r="B2216" s="50" t="s">
        <v>13768</v>
      </c>
      <c r="C2216" s="51" t="s">
        <v>367</v>
      </c>
      <c r="D2216" s="51"/>
      <c r="E2216" s="51"/>
      <c r="F2216" s="51"/>
      <c r="G2216" s="50" t="s">
        <v>13769</v>
      </c>
      <c r="H2216" s="52">
        <v>44683.1884837963</v>
      </c>
      <c r="I2216" s="50"/>
      <c r="J2216" s="50"/>
      <c r="K2216" s="50"/>
      <c r="L2216" s="50"/>
      <c r="M2216" s="50" t="s">
        <v>13770</v>
      </c>
      <c r="N2216" s="50"/>
      <c r="O2216" s="53" t="s">
        <v>217</v>
      </c>
      <c r="P2216" s="55" t="s">
        <v>13771</v>
      </c>
      <c r="Q2216" s="50">
        <v>1505.0</v>
      </c>
      <c r="R2216" s="50">
        <v>1906.0</v>
      </c>
      <c r="S2216" s="50" t="s">
        <v>13772</v>
      </c>
      <c r="T2216" s="56" t="s">
        <v>13773</v>
      </c>
      <c r="U2216" s="53" t="s">
        <v>370</v>
      </c>
    </row>
    <row r="2217">
      <c r="A2217" s="54" t="s">
        <v>13774</v>
      </c>
      <c r="B2217" s="50" t="s">
        <v>13582</v>
      </c>
      <c r="C2217" s="51" t="s">
        <v>13775</v>
      </c>
      <c r="D2217" s="51"/>
      <c r="E2217" s="51"/>
      <c r="F2217" s="51"/>
      <c r="G2217" s="50" t="s">
        <v>13776</v>
      </c>
      <c r="H2217" s="52">
        <v>44683.18549768519</v>
      </c>
      <c r="I2217" s="50"/>
      <c r="J2217" s="50"/>
      <c r="K2217" s="50" t="s">
        <v>13777</v>
      </c>
      <c r="L2217" s="50" t="s">
        <v>13778</v>
      </c>
      <c r="M2217" s="50" t="s">
        <v>13584</v>
      </c>
      <c r="N2217" s="50" t="s">
        <v>13779</v>
      </c>
      <c r="O2217" s="53" t="s">
        <v>70</v>
      </c>
      <c r="P2217" s="55" t="s">
        <v>13585</v>
      </c>
      <c r="Q2217" s="50">
        <v>10640.0</v>
      </c>
      <c r="R2217" s="50">
        <v>11683.0</v>
      </c>
      <c r="S2217" s="50" t="s">
        <v>13586</v>
      </c>
      <c r="T2217" s="56" t="s">
        <v>13780</v>
      </c>
      <c r="U2217" s="53" t="s">
        <v>13781</v>
      </c>
    </row>
    <row r="2218">
      <c r="A2218" s="54" t="s">
        <v>13782</v>
      </c>
      <c r="B2218" s="50" t="s">
        <v>13783</v>
      </c>
      <c r="C2218" s="51" t="s">
        <v>367</v>
      </c>
      <c r="D2218" s="51"/>
      <c r="E2218" s="51"/>
      <c r="F2218" s="51"/>
      <c r="G2218" s="50" t="s">
        <v>13784</v>
      </c>
      <c r="H2218" s="52">
        <v>44683.18512731481</v>
      </c>
      <c r="I2218" s="50"/>
      <c r="J2218" s="50"/>
      <c r="K2218" s="50"/>
      <c r="L2218" s="50"/>
      <c r="M2218" s="50" t="s">
        <v>13785</v>
      </c>
      <c r="N2218" s="50"/>
      <c r="O2218" s="53" t="s">
        <v>60</v>
      </c>
      <c r="P2218" s="55" t="s">
        <v>354</v>
      </c>
      <c r="Q2218" s="50">
        <v>8.0</v>
      </c>
      <c r="R2218" s="50">
        <v>9.0</v>
      </c>
      <c r="S2218" s="50" t="s">
        <v>13786</v>
      </c>
      <c r="T2218" s="56" t="s">
        <v>13787</v>
      </c>
      <c r="U2218" s="53" t="s">
        <v>370</v>
      </c>
    </row>
    <row r="2219">
      <c r="A2219" s="54" t="s">
        <v>13788</v>
      </c>
      <c r="B2219" s="50" t="s">
        <v>13789</v>
      </c>
      <c r="C2219" s="51" t="s">
        <v>316</v>
      </c>
      <c r="D2219" s="51"/>
      <c r="E2219" s="51"/>
      <c r="F2219" s="51"/>
      <c r="G2219" s="50" t="s">
        <v>13790</v>
      </c>
      <c r="H2219" s="52">
        <v>44683.18454861111</v>
      </c>
      <c r="I2219" s="50"/>
      <c r="J2219" s="50"/>
      <c r="K2219" s="50"/>
      <c r="L2219" s="50"/>
      <c r="M2219" s="50" t="s">
        <v>13791</v>
      </c>
      <c r="N2219" s="50"/>
      <c r="O2219" s="53" t="s">
        <v>92</v>
      </c>
      <c r="P2219" s="55" t="s">
        <v>13792</v>
      </c>
      <c r="Q2219" s="50">
        <v>6266.0</v>
      </c>
      <c r="R2219" s="50">
        <v>6758.0</v>
      </c>
      <c r="S2219" s="50" t="s">
        <v>129</v>
      </c>
      <c r="T2219" s="56" t="s">
        <v>13793</v>
      </c>
      <c r="U2219" s="53" t="s">
        <v>322</v>
      </c>
    </row>
    <row r="2220">
      <c r="A2220" s="54" t="s">
        <v>13794</v>
      </c>
      <c r="B2220" s="50" t="s">
        <v>13795</v>
      </c>
      <c r="C2220" s="51" t="s">
        <v>1913</v>
      </c>
      <c r="D2220" s="51"/>
      <c r="E2220" s="51"/>
      <c r="F2220" s="51"/>
      <c r="G2220" s="50" t="s">
        <v>13796</v>
      </c>
      <c r="H2220" s="52">
        <v>44683.18300925926</v>
      </c>
      <c r="I2220" s="50"/>
      <c r="J2220" s="50"/>
      <c r="K2220" s="50"/>
      <c r="L2220" s="50"/>
      <c r="M2220" s="50" t="s">
        <v>13797</v>
      </c>
      <c r="N2220" s="50"/>
      <c r="O2220" s="53" t="s">
        <v>70</v>
      </c>
      <c r="P2220" s="55" t="s">
        <v>354</v>
      </c>
      <c r="Q2220" s="50">
        <v>12.0</v>
      </c>
      <c r="R2220" s="50">
        <v>28.0</v>
      </c>
      <c r="S2220" s="50"/>
      <c r="T2220" s="56" t="s">
        <v>13798</v>
      </c>
      <c r="U2220" s="53" t="s">
        <v>1916</v>
      </c>
    </row>
    <row r="2221">
      <c r="A2221" s="54" t="s">
        <v>13799</v>
      </c>
      <c r="B2221" s="50" t="s">
        <v>13582</v>
      </c>
      <c r="C2221" s="51" t="s">
        <v>316</v>
      </c>
      <c r="D2221" s="51"/>
      <c r="E2221" s="51"/>
      <c r="F2221" s="51"/>
      <c r="G2221" s="50" t="s">
        <v>13800</v>
      </c>
      <c r="H2221" s="52">
        <v>44683.18293981481</v>
      </c>
      <c r="I2221" s="50"/>
      <c r="J2221" s="50"/>
      <c r="K2221" s="50"/>
      <c r="L2221" s="50"/>
      <c r="M2221" s="50" t="s">
        <v>13584</v>
      </c>
      <c r="N2221" s="50"/>
      <c r="O2221" s="53" t="s">
        <v>70</v>
      </c>
      <c r="P2221" s="55" t="s">
        <v>13585</v>
      </c>
      <c r="Q2221" s="50">
        <v>10640.0</v>
      </c>
      <c r="R2221" s="50">
        <v>11683.0</v>
      </c>
      <c r="S2221" s="50" t="s">
        <v>13586</v>
      </c>
      <c r="T2221" s="56" t="s">
        <v>13801</v>
      </c>
      <c r="U2221" s="53" t="s">
        <v>322</v>
      </c>
    </row>
    <row r="2222">
      <c r="A2222" s="54" t="s">
        <v>13802</v>
      </c>
      <c r="B2222" s="50" t="s">
        <v>13803</v>
      </c>
      <c r="C2222" s="51" t="s">
        <v>367</v>
      </c>
      <c r="D2222" s="51"/>
      <c r="E2222" s="51"/>
      <c r="F2222" s="51"/>
      <c r="G2222" s="50" t="s">
        <v>13804</v>
      </c>
      <c r="H2222" s="52">
        <v>44683.18262731482</v>
      </c>
      <c r="I2222" s="50"/>
      <c r="J2222" s="50"/>
      <c r="K2222" s="50"/>
      <c r="L2222" s="50"/>
      <c r="M2222" s="50" t="s">
        <v>13805</v>
      </c>
      <c r="N2222" s="50"/>
      <c r="O2222" s="53" t="s">
        <v>70</v>
      </c>
      <c r="P2222" s="55" t="s">
        <v>13806</v>
      </c>
      <c r="Q2222" s="50">
        <v>2837.0</v>
      </c>
      <c r="R2222" s="50">
        <v>4948.0</v>
      </c>
      <c r="S2222" s="50" t="s">
        <v>8444</v>
      </c>
      <c r="T2222" s="56" t="s">
        <v>13807</v>
      </c>
      <c r="U2222" s="53" t="s">
        <v>370</v>
      </c>
    </row>
    <row r="2223">
      <c r="A2223" s="54" t="s">
        <v>13808</v>
      </c>
      <c r="B2223" s="50" t="s">
        <v>13809</v>
      </c>
      <c r="C2223" s="51" t="s">
        <v>367</v>
      </c>
      <c r="D2223" s="51"/>
      <c r="E2223" s="51"/>
      <c r="F2223" s="51"/>
      <c r="G2223" s="50" t="s">
        <v>13810</v>
      </c>
      <c r="H2223" s="52">
        <v>44683.18239583333</v>
      </c>
      <c r="I2223" s="50"/>
      <c r="J2223" s="50"/>
      <c r="K2223" s="50"/>
      <c r="L2223" s="50"/>
      <c r="M2223" s="50" t="s">
        <v>13811</v>
      </c>
      <c r="N2223" s="50"/>
      <c r="O2223" s="53" t="s">
        <v>783</v>
      </c>
      <c r="P2223" s="55" t="s">
        <v>13812</v>
      </c>
      <c r="Q2223" s="50">
        <v>5679.0</v>
      </c>
      <c r="R2223" s="50">
        <v>56.0</v>
      </c>
      <c r="S2223" s="50" t="s">
        <v>13813</v>
      </c>
      <c r="T2223" s="56" t="s">
        <v>13814</v>
      </c>
      <c r="U2223" s="53" t="s">
        <v>370</v>
      </c>
    </row>
    <row r="2224">
      <c r="A2224" s="54" t="s">
        <v>13815</v>
      </c>
      <c r="B2224" s="50" t="s">
        <v>13789</v>
      </c>
      <c r="C2224" s="51" t="s">
        <v>363</v>
      </c>
      <c r="D2224" s="51"/>
      <c r="E2224" s="51"/>
      <c r="F2224" s="51"/>
      <c r="G2224" s="50" t="s">
        <v>13816</v>
      </c>
      <c r="H2224" s="52">
        <v>44683.18207175926</v>
      </c>
      <c r="I2224" s="50"/>
      <c r="J2224" s="50"/>
      <c r="K2224" s="50"/>
      <c r="L2224" s="50"/>
      <c r="M2224" s="50" t="s">
        <v>13791</v>
      </c>
      <c r="N2224" s="50"/>
      <c r="O2224" s="53" t="s">
        <v>92</v>
      </c>
      <c r="P2224" s="55" t="s">
        <v>13792</v>
      </c>
      <c r="Q2224" s="50">
        <v>6266.0</v>
      </c>
      <c r="R2224" s="50">
        <v>6758.0</v>
      </c>
      <c r="S2224" s="50" t="s">
        <v>129</v>
      </c>
      <c r="T2224" s="56" t="s">
        <v>13817</v>
      </c>
      <c r="U2224" s="53" t="s">
        <v>332</v>
      </c>
    </row>
    <row r="2225">
      <c r="A2225" s="54" t="s">
        <v>13818</v>
      </c>
      <c r="B2225" s="50" t="s">
        <v>13819</v>
      </c>
      <c r="C2225" s="51" t="s">
        <v>2920</v>
      </c>
      <c r="D2225" s="51"/>
      <c r="E2225" s="51"/>
      <c r="F2225" s="51"/>
      <c r="G2225" s="50" t="s">
        <v>13820</v>
      </c>
      <c r="H2225" s="52">
        <v>44683.18166666667</v>
      </c>
      <c r="I2225" s="50"/>
      <c r="J2225" s="50"/>
      <c r="K2225" s="50"/>
      <c r="L2225" s="50"/>
      <c r="M2225" s="50" t="s">
        <v>13821</v>
      </c>
      <c r="N2225" s="50"/>
      <c r="O2225" s="53" t="s">
        <v>70</v>
      </c>
      <c r="P2225" s="55" t="s">
        <v>13822</v>
      </c>
      <c r="Q2225" s="50">
        <v>4827.0</v>
      </c>
      <c r="R2225" s="50">
        <v>5073.0</v>
      </c>
      <c r="S2225" s="50"/>
      <c r="T2225" s="56" t="s">
        <v>13823</v>
      </c>
      <c r="U2225" s="53" t="s">
        <v>2925</v>
      </c>
    </row>
    <row r="2226">
      <c r="A2226" s="54" t="s">
        <v>13824</v>
      </c>
      <c r="B2226" s="50" t="s">
        <v>13582</v>
      </c>
      <c r="C2226" s="51" t="s">
        <v>13455</v>
      </c>
      <c r="D2226" s="51"/>
      <c r="E2226" s="51"/>
      <c r="F2226" s="51"/>
      <c r="G2226" s="50" t="s">
        <v>13825</v>
      </c>
      <c r="H2226" s="52">
        <v>44683.18157407407</v>
      </c>
      <c r="I2226" s="50"/>
      <c r="J2226" s="50"/>
      <c r="K2226" s="50"/>
      <c r="L2226" s="50"/>
      <c r="M2226" s="50" t="s">
        <v>13584</v>
      </c>
      <c r="N2226" s="50"/>
      <c r="O2226" s="53" t="s">
        <v>70</v>
      </c>
      <c r="P2226" s="55" t="s">
        <v>13585</v>
      </c>
      <c r="Q2226" s="50">
        <v>10640.0</v>
      </c>
      <c r="R2226" s="50">
        <v>11683.0</v>
      </c>
      <c r="S2226" s="50" t="s">
        <v>13586</v>
      </c>
      <c r="T2226" s="56" t="s">
        <v>13826</v>
      </c>
      <c r="U2226" s="53" t="s">
        <v>13458</v>
      </c>
    </row>
    <row r="2227">
      <c r="A2227" s="54" t="s">
        <v>13827</v>
      </c>
      <c r="B2227" s="50" t="s">
        <v>13828</v>
      </c>
      <c r="C2227" s="51" t="s">
        <v>367</v>
      </c>
      <c r="D2227" s="51"/>
      <c r="E2227" s="51"/>
      <c r="F2227" s="51"/>
      <c r="G2227" s="50" t="s">
        <v>13829</v>
      </c>
      <c r="H2227" s="52">
        <v>44683.18096064815</v>
      </c>
      <c r="I2227" s="50"/>
      <c r="J2227" s="50"/>
      <c r="K2227" s="50"/>
      <c r="L2227" s="50"/>
      <c r="M2227" s="50" t="s">
        <v>13830</v>
      </c>
      <c r="N2227" s="50"/>
      <c r="O2227" s="53" t="s">
        <v>92</v>
      </c>
      <c r="P2227" s="55" t="s">
        <v>13831</v>
      </c>
      <c r="Q2227" s="50">
        <v>587.0</v>
      </c>
      <c r="R2227" s="50">
        <v>1155.0</v>
      </c>
      <c r="S2227" s="50" t="s">
        <v>1064</v>
      </c>
      <c r="T2227" s="56" t="s">
        <v>13832</v>
      </c>
      <c r="U2227" s="53" t="s">
        <v>370</v>
      </c>
    </row>
    <row r="2228">
      <c r="A2228" s="54" t="s">
        <v>13833</v>
      </c>
      <c r="B2228" s="50" t="s">
        <v>13834</v>
      </c>
      <c r="C2228" s="51" t="s">
        <v>367</v>
      </c>
      <c r="D2228" s="51"/>
      <c r="E2228" s="51"/>
      <c r="F2228" s="51"/>
      <c r="G2228" s="50" t="s">
        <v>13835</v>
      </c>
      <c r="H2228" s="52">
        <v>44683.18071759259</v>
      </c>
      <c r="I2228" s="50"/>
      <c r="J2228" s="50"/>
      <c r="K2228" s="50"/>
      <c r="L2228" s="50"/>
      <c r="M2228" s="50" t="s">
        <v>13836</v>
      </c>
      <c r="N2228" s="50"/>
      <c r="O2228" s="53" t="s">
        <v>70</v>
      </c>
      <c r="P2228" s="55" t="s">
        <v>13837</v>
      </c>
      <c r="Q2228" s="50">
        <v>68.0</v>
      </c>
      <c r="R2228" s="50">
        <v>489.0</v>
      </c>
      <c r="S2228" s="50" t="s">
        <v>5224</v>
      </c>
      <c r="T2228" s="56" t="s">
        <v>13838</v>
      </c>
      <c r="U2228" s="53" t="s">
        <v>370</v>
      </c>
    </row>
    <row r="2229">
      <c r="A2229" s="54" t="s">
        <v>13839</v>
      </c>
      <c r="B2229" s="50" t="s">
        <v>13840</v>
      </c>
      <c r="C2229" s="51" t="s">
        <v>13841</v>
      </c>
      <c r="D2229" s="51"/>
      <c r="E2229" s="51"/>
      <c r="F2229" s="51"/>
      <c r="G2229" s="50" t="s">
        <v>13842</v>
      </c>
      <c r="H2229" s="52">
        <v>44683.1806712963</v>
      </c>
      <c r="I2229" s="50"/>
      <c r="J2229" s="50"/>
      <c r="K2229" s="50" t="s">
        <v>3317</v>
      </c>
      <c r="L2229" s="50" t="s">
        <v>3318</v>
      </c>
      <c r="M2229" s="50" t="s">
        <v>13843</v>
      </c>
      <c r="N2229" s="50" t="s">
        <v>3426</v>
      </c>
      <c r="O2229" s="53" t="s">
        <v>217</v>
      </c>
      <c r="P2229" s="55" t="s">
        <v>13844</v>
      </c>
      <c r="Q2229" s="50">
        <v>7574.0</v>
      </c>
      <c r="R2229" s="50">
        <v>7581.0</v>
      </c>
      <c r="S2229" s="50"/>
      <c r="T2229" s="56" t="s">
        <v>13845</v>
      </c>
      <c r="U2229" s="53" t="s">
        <v>13846</v>
      </c>
    </row>
    <row r="2230">
      <c r="A2230" s="54" t="s">
        <v>13847</v>
      </c>
      <c r="B2230" s="50" t="s">
        <v>12930</v>
      </c>
      <c r="C2230" s="51" t="s">
        <v>367</v>
      </c>
      <c r="D2230" s="51"/>
      <c r="E2230" s="51"/>
      <c r="F2230" s="51"/>
      <c r="G2230" s="50" t="s">
        <v>13848</v>
      </c>
      <c r="H2230" s="52">
        <v>44683.179756944446</v>
      </c>
      <c r="I2230" s="50"/>
      <c r="J2230" s="50"/>
      <c r="K2230" s="50"/>
      <c r="L2230" s="50"/>
      <c r="M2230" s="50" t="s">
        <v>12932</v>
      </c>
      <c r="N2230" s="50"/>
      <c r="O2230" s="53" t="s">
        <v>60</v>
      </c>
      <c r="P2230" s="55" t="s">
        <v>12933</v>
      </c>
      <c r="Q2230" s="50">
        <v>2646.0</v>
      </c>
      <c r="R2230" s="50">
        <v>2708.0</v>
      </c>
      <c r="S2230" s="50" t="s">
        <v>12934</v>
      </c>
      <c r="T2230" s="56" t="s">
        <v>13849</v>
      </c>
      <c r="U2230" s="53" t="s">
        <v>370</v>
      </c>
    </row>
    <row r="2231">
      <c r="A2231" s="54" t="s">
        <v>13850</v>
      </c>
      <c r="B2231" s="50" t="s">
        <v>13851</v>
      </c>
      <c r="C2231" s="51" t="s">
        <v>13852</v>
      </c>
      <c r="D2231" s="51"/>
      <c r="E2231" s="51"/>
      <c r="F2231" s="51"/>
      <c r="G2231" s="50" t="s">
        <v>13853</v>
      </c>
      <c r="H2231" s="52">
        <v>44683.17795138889</v>
      </c>
      <c r="I2231" s="50"/>
      <c r="J2231" s="50"/>
      <c r="K2231" s="50"/>
      <c r="L2231" s="50"/>
      <c r="M2231" s="50" t="s">
        <v>13854</v>
      </c>
      <c r="N2231" s="50"/>
      <c r="O2231" s="53" t="s">
        <v>60</v>
      </c>
      <c r="P2231" s="55" t="s">
        <v>13855</v>
      </c>
      <c r="Q2231" s="50">
        <v>582.0</v>
      </c>
      <c r="R2231" s="50">
        <v>1908.0</v>
      </c>
      <c r="S2231" s="50" t="s">
        <v>13856</v>
      </c>
      <c r="T2231" s="56" t="s">
        <v>13857</v>
      </c>
      <c r="U2231" s="53" t="s">
        <v>13858</v>
      </c>
    </row>
    <row r="2232">
      <c r="A2232" s="54" t="s">
        <v>13859</v>
      </c>
      <c r="B2232" s="50" t="s">
        <v>11099</v>
      </c>
      <c r="C2232" s="51" t="s">
        <v>13860</v>
      </c>
      <c r="D2232" s="51"/>
      <c r="E2232" s="51"/>
      <c r="F2232" s="51"/>
      <c r="G2232" s="50" t="s">
        <v>13861</v>
      </c>
      <c r="H2232" s="52">
        <v>44683.177824074075</v>
      </c>
      <c r="I2232" s="50"/>
      <c r="J2232" s="50"/>
      <c r="K2232" s="50"/>
      <c r="L2232" s="50"/>
      <c r="M2232" s="50" t="s">
        <v>11102</v>
      </c>
      <c r="N2232" s="50"/>
      <c r="O2232" s="53" t="s">
        <v>11103</v>
      </c>
      <c r="P2232" s="55" t="s">
        <v>11104</v>
      </c>
      <c r="Q2232" s="50">
        <v>1585.0</v>
      </c>
      <c r="R2232" s="50">
        <v>12.0</v>
      </c>
      <c r="S2232" s="50"/>
      <c r="T2232" s="56" t="s">
        <v>13862</v>
      </c>
      <c r="U2232" s="53" t="s">
        <v>13863</v>
      </c>
    </row>
    <row r="2233">
      <c r="A2233" s="54" t="s">
        <v>13864</v>
      </c>
      <c r="B2233" s="50" t="s">
        <v>11099</v>
      </c>
      <c r="C2233" s="51" t="s">
        <v>13865</v>
      </c>
      <c r="D2233" s="51"/>
      <c r="E2233" s="51"/>
      <c r="F2233" s="51"/>
      <c r="G2233" s="50" t="s">
        <v>13866</v>
      </c>
      <c r="H2233" s="52">
        <v>44683.17774305555</v>
      </c>
      <c r="I2233" s="50"/>
      <c r="J2233" s="50"/>
      <c r="K2233" s="50"/>
      <c r="L2233" s="50"/>
      <c r="M2233" s="50" t="s">
        <v>11102</v>
      </c>
      <c r="N2233" s="50"/>
      <c r="O2233" s="53" t="s">
        <v>11103</v>
      </c>
      <c r="P2233" s="55" t="s">
        <v>11104</v>
      </c>
      <c r="Q2233" s="50">
        <v>1585.0</v>
      </c>
      <c r="R2233" s="50">
        <v>12.0</v>
      </c>
      <c r="S2233" s="50"/>
      <c r="T2233" s="56" t="s">
        <v>13867</v>
      </c>
      <c r="U2233" s="53" t="s">
        <v>13863</v>
      </c>
    </row>
    <row r="2234">
      <c r="A2234" s="54" t="s">
        <v>13868</v>
      </c>
      <c r="B2234" s="50" t="s">
        <v>11099</v>
      </c>
      <c r="C2234" s="51" t="s">
        <v>13869</v>
      </c>
      <c r="D2234" s="51"/>
      <c r="E2234" s="51"/>
      <c r="F2234" s="51"/>
      <c r="G2234" s="50" t="s">
        <v>13870</v>
      </c>
      <c r="H2234" s="52">
        <v>44683.17768518519</v>
      </c>
      <c r="I2234" s="50"/>
      <c r="J2234" s="50"/>
      <c r="K2234" s="50"/>
      <c r="L2234" s="50"/>
      <c r="M2234" s="50" t="s">
        <v>11102</v>
      </c>
      <c r="N2234" s="50"/>
      <c r="O2234" s="53" t="s">
        <v>11103</v>
      </c>
      <c r="P2234" s="55" t="s">
        <v>11104</v>
      </c>
      <c r="Q2234" s="50">
        <v>1585.0</v>
      </c>
      <c r="R2234" s="50">
        <v>12.0</v>
      </c>
      <c r="S2234" s="50"/>
      <c r="T2234" s="56" t="s">
        <v>13871</v>
      </c>
      <c r="U2234" s="53" t="s">
        <v>13872</v>
      </c>
    </row>
    <row r="2235">
      <c r="A2235" s="54" t="s">
        <v>13873</v>
      </c>
      <c r="B2235" s="50" t="s">
        <v>13851</v>
      </c>
      <c r="C2235" s="51" t="s">
        <v>13874</v>
      </c>
      <c r="D2235" s="51"/>
      <c r="E2235" s="51"/>
      <c r="F2235" s="51"/>
      <c r="G2235" s="50" t="s">
        <v>13875</v>
      </c>
      <c r="H2235" s="52">
        <v>44683.17697916667</v>
      </c>
      <c r="I2235" s="50"/>
      <c r="J2235" s="50"/>
      <c r="K2235" s="50"/>
      <c r="L2235" s="50"/>
      <c r="M2235" s="50" t="s">
        <v>13854</v>
      </c>
      <c r="N2235" s="50"/>
      <c r="O2235" s="53" t="s">
        <v>60</v>
      </c>
      <c r="P2235" s="55" t="s">
        <v>13855</v>
      </c>
      <c r="Q2235" s="50">
        <v>582.0</v>
      </c>
      <c r="R2235" s="50">
        <v>1908.0</v>
      </c>
      <c r="S2235" s="50" t="s">
        <v>13856</v>
      </c>
      <c r="T2235" s="56" t="s">
        <v>13876</v>
      </c>
      <c r="U2235" s="53" t="s">
        <v>13877</v>
      </c>
    </row>
    <row r="2236">
      <c r="A2236" s="54" t="s">
        <v>13878</v>
      </c>
      <c r="B2236" s="50" t="s">
        <v>13879</v>
      </c>
      <c r="C2236" s="51" t="s">
        <v>363</v>
      </c>
      <c r="D2236" s="51"/>
      <c r="E2236" s="51"/>
      <c r="F2236" s="51"/>
      <c r="G2236" s="50" t="s">
        <v>13880</v>
      </c>
      <c r="H2236" s="52">
        <v>44683.1766550926</v>
      </c>
      <c r="I2236" s="50"/>
      <c r="J2236" s="50"/>
      <c r="K2236" s="50"/>
      <c r="L2236" s="50"/>
      <c r="M2236" s="50" t="s">
        <v>13881</v>
      </c>
      <c r="N2236" s="50"/>
      <c r="O2236" s="53" t="s">
        <v>13882</v>
      </c>
      <c r="P2236" s="55" t="s">
        <v>13883</v>
      </c>
      <c r="Q2236" s="50">
        <v>2794.0</v>
      </c>
      <c r="R2236" s="50">
        <v>3480.0</v>
      </c>
      <c r="S2236" s="50" t="s">
        <v>13884</v>
      </c>
      <c r="T2236" s="56" t="s">
        <v>13885</v>
      </c>
      <c r="U2236" s="53" t="s">
        <v>332</v>
      </c>
    </row>
    <row r="2237">
      <c r="A2237" s="54" t="s">
        <v>13886</v>
      </c>
      <c r="B2237" s="50" t="s">
        <v>13828</v>
      </c>
      <c r="C2237" s="51" t="s">
        <v>316</v>
      </c>
      <c r="D2237" s="51"/>
      <c r="E2237" s="51"/>
      <c r="F2237" s="51"/>
      <c r="G2237" s="50" t="s">
        <v>13887</v>
      </c>
      <c r="H2237" s="52">
        <v>44683.17511574074</v>
      </c>
      <c r="I2237" s="50"/>
      <c r="J2237" s="50"/>
      <c r="K2237" s="50"/>
      <c r="L2237" s="50"/>
      <c r="M2237" s="50" t="s">
        <v>13830</v>
      </c>
      <c r="N2237" s="50"/>
      <c r="O2237" s="53" t="s">
        <v>92</v>
      </c>
      <c r="P2237" s="55" t="s">
        <v>13831</v>
      </c>
      <c r="Q2237" s="50">
        <v>587.0</v>
      </c>
      <c r="R2237" s="50">
        <v>1155.0</v>
      </c>
      <c r="S2237" s="50" t="s">
        <v>1064</v>
      </c>
      <c r="T2237" s="56" t="s">
        <v>13888</v>
      </c>
      <c r="U2237" s="53" t="s">
        <v>322</v>
      </c>
    </row>
    <row r="2238">
      <c r="A2238" s="54" t="s">
        <v>13889</v>
      </c>
      <c r="B2238" s="50" t="s">
        <v>13890</v>
      </c>
      <c r="C2238" s="51" t="s">
        <v>4233</v>
      </c>
      <c r="D2238" s="51"/>
      <c r="E2238" s="51"/>
      <c r="F2238" s="51"/>
      <c r="G2238" s="50" t="s">
        <v>13891</v>
      </c>
      <c r="H2238" s="52">
        <v>44683.174837962964</v>
      </c>
      <c r="I2238" s="50"/>
      <c r="J2238" s="50"/>
      <c r="K2238" s="50"/>
      <c r="L2238" s="50"/>
      <c r="M2238" s="50" t="s">
        <v>13892</v>
      </c>
      <c r="N2238" s="50"/>
      <c r="O2238" s="53" t="s">
        <v>60</v>
      </c>
      <c r="P2238" s="55" t="s">
        <v>13893</v>
      </c>
      <c r="Q2238" s="50">
        <v>1922.0</v>
      </c>
      <c r="R2238" s="50">
        <v>2069.0</v>
      </c>
      <c r="S2238" s="50" t="s">
        <v>129</v>
      </c>
      <c r="T2238" s="56" t="s">
        <v>13894</v>
      </c>
      <c r="U2238" s="53" t="s">
        <v>4237</v>
      </c>
    </row>
    <row r="2239">
      <c r="A2239" s="54" t="s">
        <v>13895</v>
      </c>
      <c r="B2239" s="50" t="s">
        <v>13828</v>
      </c>
      <c r="C2239" s="51" t="s">
        <v>329</v>
      </c>
      <c r="D2239" s="51"/>
      <c r="E2239" s="51"/>
      <c r="F2239" s="51"/>
      <c r="G2239" s="50" t="s">
        <v>13896</v>
      </c>
      <c r="H2239" s="52">
        <v>44683.17480324074</v>
      </c>
      <c r="I2239" s="50"/>
      <c r="J2239" s="50"/>
      <c r="K2239" s="50"/>
      <c r="L2239" s="50"/>
      <c r="M2239" s="50" t="s">
        <v>13830</v>
      </c>
      <c r="N2239" s="50"/>
      <c r="O2239" s="53" t="s">
        <v>92</v>
      </c>
      <c r="P2239" s="55" t="s">
        <v>13831</v>
      </c>
      <c r="Q2239" s="50">
        <v>587.0</v>
      </c>
      <c r="R2239" s="50">
        <v>1155.0</v>
      </c>
      <c r="S2239" s="50" t="s">
        <v>1064</v>
      </c>
      <c r="T2239" s="56" t="s">
        <v>13897</v>
      </c>
      <c r="U2239" s="53" t="s">
        <v>332</v>
      </c>
    </row>
    <row r="2240">
      <c r="A2240" s="54" t="s">
        <v>13898</v>
      </c>
      <c r="B2240" s="50" t="s">
        <v>13828</v>
      </c>
      <c r="C2240" s="51" t="s">
        <v>335</v>
      </c>
      <c r="D2240" s="51"/>
      <c r="E2240" s="51"/>
      <c r="F2240" s="51"/>
      <c r="G2240" s="50" t="s">
        <v>13899</v>
      </c>
      <c r="H2240" s="52">
        <v>44683.17458333333</v>
      </c>
      <c r="I2240" s="50"/>
      <c r="J2240" s="50"/>
      <c r="K2240" s="50"/>
      <c r="L2240" s="50"/>
      <c r="M2240" s="50" t="s">
        <v>13830</v>
      </c>
      <c r="N2240" s="50"/>
      <c r="O2240" s="53" t="s">
        <v>92</v>
      </c>
      <c r="P2240" s="55" t="s">
        <v>13831</v>
      </c>
      <c r="Q2240" s="50">
        <v>587.0</v>
      </c>
      <c r="R2240" s="50">
        <v>1155.0</v>
      </c>
      <c r="S2240" s="50" t="s">
        <v>1064</v>
      </c>
      <c r="T2240" s="56" t="s">
        <v>13900</v>
      </c>
      <c r="U2240" s="53" t="s">
        <v>339</v>
      </c>
    </row>
    <row r="2241">
      <c r="A2241" s="54" t="s">
        <v>13901</v>
      </c>
      <c r="B2241" s="50" t="s">
        <v>13828</v>
      </c>
      <c r="C2241" s="51" t="s">
        <v>363</v>
      </c>
      <c r="D2241" s="51"/>
      <c r="E2241" s="51"/>
      <c r="F2241" s="51"/>
      <c r="G2241" s="50" t="s">
        <v>13902</v>
      </c>
      <c r="H2241" s="52">
        <v>44683.17423611111</v>
      </c>
      <c r="I2241" s="50"/>
      <c r="J2241" s="50"/>
      <c r="K2241" s="50"/>
      <c r="L2241" s="50"/>
      <c r="M2241" s="50" t="s">
        <v>13830</v>
      </c>
      <c r="N2241" s="50"/>
      <c r="O2241" s="53" t="s">
        <v>92</v>
      </c>
      <c r="P2241" s="55" t="s">
        <v>13831</v>
      </c>
      <c r="Q2241" s="50">
        <v>587.0</v>
      </c>
      <c r="R2241" s="50">
        <v>1155.0</v>
      </c>
      <c r="S2241" s="50" t="s">
        <v>1064</v>
      </c>
      <c r="T2241" s="56" t="s">
        <v>13903</v>
      </c>
      <c r="U2241" s="53" t="s">
        <v>332</v>
      </c>
    </row>
    <row r="2242">
      <c r="A2242" s="54" t="s">
        <v>13904</v>
      </c>
      <c r="B2242" s="50" t="s">
        <v>13905</v>
      </c>
      <c r="C2242" s="51" t="s">
        <v>367</v>
      </c>
      <c r="D2242" s="51"/>
      <c r="E2242" s="51"/>
      <c r="F2242" s="51"/>
      <c r="G2242" s="50" t="s">
        <v>13906</v>
      </c>
      <c r="H2242" s="52">
        <v>44683.17409722222</v>
      </c>
      <c r="I2242" s="50"/>
      <c r="J2242" s="50"/>
      <c r="K2242" s="50"/>
      <c r="L2242" s="50"/>
      <c r="M2242" s="50" t="s">
        <v>13907</v>
      </c>
      <c r="N2242" s="50"/>
      <c r="O2242" s="53" t="s">
        <v>70</v>
      </c>
      <c r="P2242" s="55" t="s">
        <v>13908</v>
      </c>
      <c r="Q2242" s="50">
        <v>4150.0</v>
      </c>
      <c r="R2242" s="50">
        <v>4875.0</v>
      </c>
      <c r="S2242" s="50" t="s">
        <v>13909</v>
      </c>
      <c r="T2242" s="56" t="s">
        <v>13910</v>
      </c>
      <c r="U2242" s="53" t="s">
        <v>370</v>
      </c>
    </row>
    <row r="2243">
      <c r="A2243" s="54" t="s">
        <v>13911</v>
      </c>
      <c r="B2243" s="50" t="s">
        <v>13912</v>
      </c>
      <c r="C2243" s="51" t="s">
        <v>316</v>
      </c>
      <c r="D2243" s="51"/>
      <c r="E2243" s="51"/>
      <c r="F2243" s="51"/>
      <c r="G2243" s="50" t="s">
        <v>13913</v>
      </c>
      <c r="H2243" s="52">
        <v>44683.17402777778</v>
      </c>
      <c r="I2243" s="50"/>
      <c r="J2243" s="50"/>
      <c r="K2243" s="50"/>
      <c r="L2243" s="50"/>
      <c r="M2243" s="50" t="s">
        <v>13914</v>
      </c>
      <c r="N2243" s="50"/>
      <c r="O2243" s="53" t="s">
        <v>92</v>
      </c>
      <c r="P2243" s="55" t="s">
        <v>13915</v>
      </c>
      <c r="Q2243" s="50">
        <v>158.0</v>
      </c>
      <c r="R2243" s="50">
        <v>763.0</v>
      </c>
      <c r="S2243" s="50" t="s">
        <v>13916</v>
      </c>
      <c r="T2243" s="56" t="s">
        <v>13917</v>
      </c>
      <c r="U2243" s="53" t="s">
        <v>322</v>
      </c>
    </row>
    <row r="2244">
      <c r="A2244" s="54" t="s">
        <v>13918</v>
      </c>
      <c r="B2244" s="50" t="s">
        <v>13912</v>
      </c>
      <c r="C2244" s="51" t="s">
        <v>329</v>
      </c>
      <c r="D2244" s="51"/>
      <c r="E2244" s="51"/>
      <c r="F2244" s="51"/>
      <c r="G2244" s="50" t="s">
        <v>13919</v>
      </c>
      <c r="H2244" s="52">
        <v>44683.173993055556</v>
      </c>
      <c r="I2244" s="50"/>
      <c r="J2244" s="50"/>
      <c r="K2244" s="50"/>
      <c r="L2244" s="50"/>
      <c r="M2244" s="50" t="s">
        <v>13914</v>
      </c>
      <c r="N2244" s="50"/>
      <c r="O2244" s="53" t="s">
        <v>92</v>
      </c>
      <c r="P2244" s="55" t="s">
        <v>13915</v>
      </c>
      <c r="Q2244" s="50">
        <v>158.0</v>
      </c>
      <c r="R2244" s="50">
        <v>763.0</v>
      </c>
      <c r="S2244" s="50" t="s">
        <v>13916</v>
      </c>
      <c r="T2244" s="56" t="s">
        <v>13920</v>
      </c>
      <c r="U2244" s="53" t="s">
        <v>332</v>
      </c>
    </row>
    <row r="2245">
      <c r="A2245" s="54" t="s">
        <v>13921</v>
      </c>
      <c r="B2245" s="50" t="s">
        <v>13912</v>
      </c>
      <c r="C2245" s="51" t="s">
        <v>335</v>
      </c>
      <c r="D2245" s="51"/>
      <c r="E2245" s="51"/>
      <c r="F2245" s="51"/>
      <c r="G2245" s="50" t="s">
        <v>13922</v>
      </c>
      <c r="H2245" s="52">
        <v>44683.17396990741</v>
      </c>
      <c r="I2245" s="50"/>
      <c r="J2245" s="50"/>
      <c r="K2245" s="50"/>
      <c r="L2245" s="50"/>
      <c r="M2245" s="50" t="s">
        <v>13914</v>
      </c>
      <c r="N2245" s="50"/>
      <c r="O2245" s="53" t="s">
        <v>92</v>
      </c>
      <c r="P2245" s="55" t="s">
        <v>13915</v>
      </c>
      <c r="Q2245" s="50">
        <v>158.0</v>
      </c>
      <c r="R2245" s="50">
        <v>763.0</v>
      </c>
      <c r="S2245" s="50" t="s">
        <v>13916</v>
      </c>
      <c r="T2245" s="56" t="s">
        <v>13923</v>
      </c>
      <c r="U2245" s="53" t="s">
        <v>339</v>
      </c>
    </row>
    <row r="2246">
      <c r="A2246" s="54" t="s">
        <v>13924</v>
      </c>
      <c r="B2246" s="50" t="s">
        <v>13912</v>
      </c>
      <c r="C2246" s="51" t="s">
        <v>363</v>
      </c>
      <c r="D2246" s="51"/>
      <c r="E2246" s="51"/>
      <c r="F2246" s="51"/>
      <c r="G2246" s="50" t="s">
        <v>13925</v>
      </c>
      <c r="H2246" s="52">
        <v>44683.17393518519</v>
      </c>
      <c r="I2246" s="50"/>
      <c r="J2246" s="50"/>
      <c r="K2246" s="50"/>
      <c r="L2246" s="50"/>
      <c r="M2246" s="50" t="s">
        <v>13914</v>
      </c>
      <c r="N2246" s="50"/>
      <c r="O2246" s="53" t="s">
        <v>92</v>
      </c>
      <c r="P2246" s="55" t="s">
        <v>13915</v>
      </c>
      <c r="Q2246" s="50">
        <v>158.0</v>
      </c>
      <c r="R2246" s="50">
        <v>763.0</v>
      </c>
      <c r="S2246" s="50" t="s">
        <v>13916</v>
      </c>
      <c r="T2246" s="56" t="s">
        <v>13926</v>
      </c>
      <c r="U2246" s="53" t="s">
        <v>332</v>
      </c>
    </row>
    <row r="2247">
      <c r="A2247" s="54" t="s">
        <v>13927</v>
      </c>
      <c r="B2247" s="50" t="s">
        <v>13912</v>
      </c>
      <c r="C2247" s="51" t="s">
        <v>367</v>
      </c>
      <c r="D2247" s="51"/>
      <c r="E2247" s="51"/>
      <c r="F2247" s="51"/>
      <c r="G2247" s="50" t="s">
        <v>13928</v>
      </c>
      <c r="H2247" s="52">
        <v>44683.17375</v>
      </c>
      <c r="I2247" s="50"/>
      <c r="J2247" s="50"/>
      <c r="K2247" s="50"/>
      <c r="L2247" s="50"/>
      <c r="M2247" s="50" t="s">
        <v>13914</v>
      </c>
      <c r="N2247" s="50"/>
      <c r="O2247" s="53" t="s">
        <v>92</v>
      </c>
      <c r="P2247" s="55" t="s">
        <v>13915</v>
      </c>
      <c r="Q2247" s="50">
        <v>158.0</v>
      </c>
      <c r="R2247" s="50">
        <v>763.0</v>
      </c>
      <c r="S2247" s="50" t="s">
        <v>13916</v>
      </c>
      <c r="T2247" s="56" t="s">
        <v>13929</v>
      </c>
      <c r="U2247" s="53" t="s">
        <v>370</v>
      </c>
    </row>
    <row r="2248">
      <c r="A2248" s="54" t="s">
        <v>13930</v>
      </c>
      <c r="B2248" s="50" t="s">
        <v>13931</v>
      </c>
      <c r="C2248" s="51" t="s">
        <v>316</v>
      </c>
      <c r="D2248" s="51"/>
      <c r="E2248" s="51"/>
      <c r="F2248" s="51"/>
      <c r="G2248" s="50" t="s">
        <v>13932</v>
      </c>
      <c r="H2248" s="52">
        <v>44683.17212962963</v>
      </c>
      <c r="I2248" s="50"/>
      <c r="J2248" s="50"/>
      <c r="K2248" s="50"/>
      <c r="L2248" s="50"/>
      <c r="M2248" s="50" t="s">
        <v>13933</v>
      </c>
      <c r="N2248" s="50"/>
      <c r="O2248" s="53" t="s">
        <v>217</v>
      </c>
      <c r="P2248" s="55" t="s">
        <v>13934</v>
      </c>
      <c r="Q2248" s="50">
        <v>713.0</v>
      </c>
      <c r="R2248" s="50">
        <v>1293.0</v>
      </c>
      <c r="S2248" s="50" t="s">
        <v>1311</v>
      </c>
      <c r="T2248" s="56" t="s">
        <v>13935</v>
      </c>
      <c r="U2248" s="53" t="s">
        <v>322</v>
      </c>
    </row>
    <row r="2249">
      <c r="A2249" s="54" t="s">
        <v>13936</v>
      </c>
      <c r="B2249" s="50" t="s">
        <v>13851</v>
      </c>
      <c r="C2249" s="51" t="s">
        <v>13937</v>
      </c>
      <c r="D2249" s="51"/>
      <c r="E2249" s="51"/>
      <c r="F2249" s="51"/>
      <c r="G2249" s="50" t="s">
        <v>13938</v>
      </c>
      <c r="H2249" s="52">
        <v>44683.17155092592</v>
      </c>
      <c r="I2249" s="50"/>
      <c r="J2249" s="50"/>
      <c r="K2249" s="50"/>
      <c r="L2249" s="50"/>
      <c r="M2249" s="50" t="s">
        <v>13854</v>
      </c>
      <c r="N2249" s="50"/>
      <c r="O2249" s="53" t="s">
        <v>60</v>
      </c>
      <c r="P2249" s="55" t="s">
        <v>13855</v>
      </c>
      <c r="Q2249" s="50">
        <v>582.0</v>
      </c>
      <c r="R2249" s="50">
        <v>1908.0</v>
      </c>
      <c r="S2249" s="50" t="s">
        <v>13856</v>
      </c>
      <c r="T2249" s="56" t="s">
        <v>13939</v>
      </c>
      <c r="U2249" s="53" t="s">
        <v>13940</v>
      </c>
    </row>
    <row r="2250">
      <c r="A2250" s="54" t="s">
        <v>13941</v>
      </c>
      <c r="B2250" s="50" t="s">
        <v>13931</v>
      </c>
      <c r="C2250" s="51" t="s">
        <v>367</v>
      </c>
      <c r="D2250" s="51"/>
      <c r="E2250" s="51"/>
      <c r="F2250" s="51"/>
      <c r="G2250" s="50" t="s">
        <v>13942</v>
      </c>
      <c r="H2250" s="52">
        <v>44683.171435185184</v>
      </c>
      <c r="I2250" s="50"/>
      <c r="J2250" s="50"/>
      <c r="K2250" s="50"/>
      <c r="L2250" s="50"/>
      <c r="M2250" s="50" t="s">
        <v>13933</v>
      </c>
      <c r="N2250" s="50"/>
      <c r="O2250" s="53" t="s">
        <v>217</v>
      </c>
      <c r="P2250" s="55" t="s">
        <v>13934</v>
      </c>
      <c r="Q2250" s="50">
        <v>713.0</v>
      </c>
      <c r="R2250" s="50">
        <v>1293.0</v>
      </c>
      <c r="S2250" s="50" t="s">
        <v>1311</v>
      </c>
      <c r="T2250" s="56" t="s">
        <v>13943</v>
      </c>
      <c r="U2250" s="53" t="s">
        <v>370</v>
      </c>
    </row>
    <row r="2251">
      <c r="A2251" s="54" t="s">
        <v>13944</v>
      </c>
      <c r="B2251" s="50" t="s">
        <v>13945</v>
      </c>
      <c r="C2251" s="51" t="s">
        <v>316</v>
      </c>
      <c r="D2251" s="51"/>
      <c r="E2251" s="51"/>
      <c r="F2251" s="51"/>
      <c r="G2251" s="50" t="s">
        <v>13946</v>
      </c>
      <c r="H2251" s="52">
        <v>44683.17134259259</v>
      </c>
      <c r="I2251" s="50"/>
      <c r="J2251" s="50"/>
      <c r="K2251" s="50"/>
      <c r="L2251" s="50"/>
      <c r="M2251" s="50" t="s">
        <v>13947</v>
      </c>
      <c r="N2251" s="50"/>
      <c r="O2251" s="53" t="s">
        <v>92</v>
      </c>
      <c r="P2251" s="55" t="s">
        <v>13948</v>
      </c>
      <c r="Q2251" s="50">
        <v>2099.0</v>
      </c>
      <c r="R2251" s="50">
        <v>2140.0</v>
      </c>
      <c r="S2251" s="50"/>
      <c r="T2251" s="56" t="s">
        <v>13949</v>
      </c>
      <c r="U2251" s="53" t="s">
        <v>322</v>
      </c>
    </row>
    <row r="2252">
      <c r="A2252" s="54" t="s">
        <v>13950</v>
      </c>
      <c r="B2252" s="50" t="s">
        <v>13945</v>
      </c>
      <c r="C2252" s="51" t="s">
        <v>329</v>
      </c>
      <c r="D2252" s="51"/>
      <c r="E2252" s="51"/>
      <c r="F2252" s="51"/>
      <c r="G2252" s="50" t="s">
        <v>13951</v>
      </c>
      <c r="H2252" s="52">
        <v>44683.17127314815</v>
      </c>
      <c r="I2252" s="50"/>
      <c r="J2252" s="50"/>
      <c r="K2252" s="50"/>
      <c r="L2252" s="50"/>
      <c r="M2252" s="50" t="s">
        <v>13947</v>
      </c>
      <c r="N2252" s="50"/>
      <c r="O2252" s="53" t="s">
        <v>92</v>
      </c>
      <c r="P2252" s="55" t="s">
        <v>13948</v>
      </c>
      <c r="Q2252" s="50">
        <v>2099.0</v>
      </c>
      <c r="R2252" s="50">
        <v>2140.0</v>
      </c>
      <c r="S2252" s="50"/>
      <c r="T2252" s="56" t="s">
        <v>13952</v>
      </c>
      <c r="U2252" s="53" t="s">
        <v>332</v>
      </c>
    </row>
    <row r="2253">
      <c r="A2253" s="54" t="s">
        <v>13953</v>
      </c>
      <c r="B2253" s="50" t="s">
        <v>13945</v>
      </c>
      <c r="C2253" s="51" t="s">
        <v>335</v>
      </c>
      <c r="D2253" s="51"/>
      <c r="E2253" s="51"/>
      <c r="F2253" s="51"/>
      <c r="G2253" s="50" t="s">
        <v>13954</v>
      </c>
      <c r="H2253" s="52">
        <v>44683.17111111111</v>
      </c>
      <c r="I2253" s="50"/>
      <c r="J2253" s="50"/>
      <c r="K2253" s="50"/>
      <c r="L2253" s="50"/>
      <c r="M2253" s="50" t="s">
        <v>13947</v>
      </c>
      <c r="N2253" s="50"/>
      <c r="O2253" s="53" t="s">
        <v>92</v>
      </c>
      <c r="P2253" s="55" t="s">
        <v>13948</v>
      </c>
      <c r="Q2253" s="50">
        <v>2099.0</v>
      </c>
      <c r="R2253" s="50">
        <v>2140.0</v>
      </c>
      <c r="S2253" s="50"/>
      <c r="T2253" s="56" t="s">
        <v>13955</v>
      </c>
      <c r="U2253" s="53" t="s">
        <v>339</v>
      </c>
    </row>
    <row r="2254">
      <c r="A2254" s="54" t="s">
        <v>13956</v>
      </c>
      <c r="B2254" s="50" t="s">
        <v>13957</v>
      </c>
      <c r="C2254" s="51" t="s">
        <v>13958</v>
      </c>
      <c r="D2254" s="51"/>
      <c r="E2254" s="51"/>
      <c r="F2254" s="51"/>
      <c r="G2254" s="50" t="s">
        <v>13959</v>
      </c>
      <c r="H2254" s="52">
        <v>44683.168171296296</v>
      </c>
      <c r="I2254" s="50"/>
      <c r="J2254" s="50"/>
      <c r="K2254" s="50"/>
      <c r="L2254" s="50"/>
      <c r="M2254" s="50" t="s">
        <v>13960</v>
      </c>
      <c r="N2254" s="50"/>
      <c r="O2254" s="53" t="s">
        <v>92</v>
      </c>
      <c r="P2254" s="55" t="s">
        <v>13961</v>
      </c>
      <c r="Q2254" s="50">
        <v>1410.0</v>
      </c>
      <c r="R2254" s="50">
        <v>2410.0</v>
      </c>
      <c r="S2254" s="50" t="s">
        <v>219</v>
      </c>
      <c r="T2254" s="56" t="s">
        <v>13962</v>
      </c>
      <c r="U2254" s="53" t="s">
        <v>13963</v>
      </c>
    </row>
    <row r="2255">
      <c r="A2255" s="54" t="s">
        <v>13964</v>
      </c>
      <c r="B2255" s="50" t="s">
        <v>13965</v>
      </c>
      <c r="C2255" s="51" t="s">
        <v>13966</v>
      </c>
      <c r="D2255" s="51"/>
      <c r="E2255" s="51"/>
      <c r="F2255" s="51"/>
      <c r="G2255" s="50" t="s">
        <v>13967</v>
      </c>
      <c r="H2255" s="52">
        <v>44683.16258101852</v>
      </c>
      <c r="I2255" s="50"/>
      <c r="J2255" s="50"/>
      <c r="K2255" s="50"/>
      <c r="L2255" s="50"/>
      <c r="M2255" s="50" t="s">
        <v>13968</v>
      </c>
      <c r="N2255" s="50"/>
      <c r="O2255" s="53" t="s">
        <v>60</v>
      </c>
      <c r="P2255" s="55" t="s">
        <v>13969</v>
      </c>
      <c r="Q2255" s="50">
        <v>149.0</v>
      </c>
      <c r="R2255" s="50">
        <v>653.0</v>
      </c>
      <c r="S2255" s="50" t="s">
        <v>13970</v>
      </c>
      <c r="T2255" s="56" t="s">
        <v>13971</v>
      </c>
      <c r="U2255" s="53" t="s">
        <v>13972</v>
      </c>
    </row>
    <row r="2256">
      <c r="A2256" s="54" t="s">
        <v>13973</v>
      </c>
      <c r="B2256" s="50" t="s">
        <v>13974</v>
      </c>
      <c r="C2256" s="51" t="s">
        <v>367</v>
      </c>
      <c r="D2256" s="51"/>
      <c r="E2256" s="51"/>
      <c r="F2256" s="51"/>
      <c r="G2256" s="50" t="s">
        <v>13975</v>
      </c>
      <c r="H2256" s="52">
        <v>44683.161944444444</v>
      </c>
      <c r="I2256" s="50"/>
      <c r="J2256" s="50"/>
      <c r="K2256" s="50"/>
      <c r="L2256" s="50"/>
      <c r="M2256" s="50" t="s">
        <v>13976</v>
      </c>
      <c r="N2256" s="50"/>
      <c r="O2256" s="53" t="s">
        <v>92</v>
      </c>
      <c r="P2256" s="55" t="s">
        <v>354</v>
      </c>
      <c r="Q2256" s="50">
        <v>22.0</v>
      </c>
      <c r="R2256" s="50">
        <v>234.0</v>
      </c>
      <c r="S2256" s="50"/>
      <c r="T2256" s="56" t="s">
        <v>13977</v>
      </c>
      <c r="U2256" s="53" t="s">
        <v>370</v>
      </c>
    </row>
    <row r="2257">
      <c r="A2257" s="54" t="s">
        <v>13978</v>
      </c>
      <c r="B2257" s="50" t="s">
        <v>13979</v>
      </c>
      <c r="C2257" s="51" t="s">
        <v>367</v>
      </c>
      <c r="D2257" s="51"/>
      <c r="E2257" s="51"/>
      <c r="F2257" s="51"/>
      <c r="G2257" s="50" t="s">
        <v>13980</v>
      </c>
      <c r="H2257" s="52">
        <v>44683.161041666666</v>
      </c>
      <c r="I2257" s="50"/>
      <c r="J2257" s="50"/>
      <c r="K2257" s="50"/>
      <c r="L2257" s="50"/>
      <c r="M2257" s="50" t="s">
        <v>13981</v>
      </c>
      <c r="N2257" s="50"/>
      <c r="O2257" s="53" t="s">
        <v>60</v>
      </c>
      <c r="P2257" s="55" t="s">
        <v>13982</v>
      </c>
      <c r="Q2257" s="50">
        <v>194.0</v>
      </c>
      <c r="R2257" s="50">
        <v>433.0</v>
      </c>
      <c r="S2257" s="50"/>
      <c r="T2257" s="56" t="s">
        <v>13983</v>
      </c>
      <c r="U2257" s="53" t="s">
        <v>370</v>
      </c>
    </row>
    <row r="2258">
      <c r="A2258" s="54" t="s">
        <v>13984</v>
      </c>
      <c r="B2258" s="50" t="s">
        <v>13985</v>
      </c>
      <c r="C2258" s="51" t="s">
        <v>6842</v>
      </c>
      <c r="D2258" s="51"/>
      <c r="E2258" s="51"/>
      <c r="F2258" s="51"/>
      <c r="G2258" s="50" t="s">
        <v>13986</v>
      </c>
      <c r="H2258" s="52">
        <v>44683.160254629634</v>
      </c>
      <c r="I2258" s="50"/>
      <c r="J2258" s="50"/>
      <c r="K2258" s="50"/>
      <c r="L2258" s="50"/>
      <c r="M2258" s="50" t="s">
        <v>13987</v>
      </c>
      <c r="N2258" s="50"/>
      <c r="O2258" s="53" t="s">
        <v>217</v>
      </c>
      <c r="P2258" s="55" t="s">
        <v>354</v>
      </c>
      <c r="Q2258" s="50">
        <v>2432.0</v>
      </c>
      <c r="R2258" s="50">
        <v>3628.0</v>
      </c>
      <c r="S2258" s="50" t="s">
        <v>13988</v>
      </c>
      <c r="T2258" s="56" t="s">
        <v>13989</v>
      </c>
      <c r="U2258" s="53" t="s">
        <v>6847</v>
      </c>
    </row>
    <row r="2259">
      <c r="A2259" s="54" t="s">
        <v>13990</v>
      </c>
      <c r="B2259" s="50" t="s">
        <v>13991</v>
      </c>
      <c r="C2259" s="51" t="s">
        <v>367</v>
      </c>
      <c r="D2259" s="51"/>
      <c r="E2259" s="51"/>
      <c r="F2259" s="51"/>
      <c r="G2259" s="50" t="s">
        <v>13992</v>
      </c>
      <c r="H2259" s="52">
        <v>44683.1593287037</v>
      </c>
      <c r="I2259" s="50"/>
      <c r="J2259" s="50"/>
      <c r="K2259" s="50"/>
      <c r="L2259" s="50"/>
      <c r="M2259" s="50" t="s">
        <v>13993</v>
      </c>
      <c r="N2259" s="50"/>
      <c r="O2259" s="53" t="s">
        <v>92</v>
      </c>
      <c r="P2259" s="55" t="s">
        <v>13994</v>
      </c>
      <c r="Q2259" s="50">
        <v>546.0</v>
      </c>
      <c r="R2259" s="50">
        <v>883.0</v>
      </c>
      <c r="S2259" s="50" t="s">
        <v>62</v>
      </c>
      <c r="T2259" s="56" t="s">
        <v>13995</v>
      </c>
      <c r="U2259" s="53" t="s">
        <v>370</v>
      </c>
    </row>
    <row r="2260">
      <c r="A2260" s="54" t="s">
        <v>13996</v>
      </c>
      <c r="B2260" s="50" t="s">
        <v>13997</v>
      </c>
      <c r="C2260" s="51" t="s">
        <v>316</v>
      </c>
      <c r="D2260" s="51"/>
      <c r="E2260" s="51"/>
      <c r="F2260" s="51"/>
      <c r="G2260" s="50" t="s">
        <v>13998</v>
      </c>
      <c r="H2260" s="52">
        <v>44683.15846064815</v>
      </c>
      <c r="I2260" s="50"/>
      <c r="J2260" s="50"/>
      <c r="K2260" s="50"/>
      <c r="L2260" s="50"/>
      <c r="M2260" s="50" t="s">
        <v>13999</v>
      </c>
      <c r="N2260" s="50"/>
      <c r="O2260" s="53" t="s">
        <v>92</v>
      </c>
      <c r="P2260" s="55" t="s">
        <v>14000</v>
      </c>
      <c r="Q2260" s="50">
        <v>15045.0</v>
      </c>
      <c r="R2260" s="50">
        <v>14915.0</v>
      </c>
      <c r="S2260" s="50" t="s">
        <v>14001</v>
      </c>
      <c r="T2260" s="56" t="s">
        <v>14002</v>
      </c>
      <c r="U2260" s="53" t="s">
        <v>322</v>
      </c>
    </row>
    <row r="2261">
      <c r="A2261" s="54" t="s">
        <v>14003</v>
      </c>
      <c r="B2261" s="50" t="s">
        <v>13997</v>
      </c>
      <c r="C2261" s="51" t="s">
        <v>363</v>
      </c>
      <c r="D2261" s="51"/>
      <c r="E2261" s="51"/>
      <c r="F2261" s="51"/>
      <c r="G2261" s="50" t="s">
        <v>14004</v>
      </c>
      <c r="H2261" s="52">
        <v>44683.1578125</v>
      </c>
      <c r="I2261" s="50"/>
      <c r="J2261" s="50"/>
      <c r="K2261" s="50"/>
      <c r="L2261" s="50"/>
      <c r="M2261" s="50" t="s">
        <v>13999</v>
      </c>
      <c r="N2261" s="50"/>
      <c r="O2261" s="53" t="s">
        <v>92</v>
      </c>
      <c r="P2261" s="55" t="s">
        <v>14000</v>
      </c>
      <c r="Q2261" s="50">
        <v>15045.0</v>
      </c>
      <c r="R2261" s="50">
        <v>14915.0</v>
      </c>
      <c r="S2261" s="50" t="s">
        <v>14001</v>
      </c>
      <c r="T2261" s="56" t="s">
        <v>14005</v>
      </c>
      <c r="U2261" s="53" t="s">
        <v>332</v>
      </c>
    </row>
    <row r="2262">
      <c r="A2262" s="54" t="s">
        <v>14006</v>
      </c>
      <c r="B2262" s="50" t="s">
        <v>14007</v>
      </c>
      <c r="C2262" s="51" t="s">
        <v>14008</v>
      </c>
      <c r="D2262" s="51"/>
      <c r="E2262" s="51"/>
      <c r="F2262" s="51"/>
      <c r="G2262" s="50" t="s">
        <v>14009</v>
      </c>
      <c r="H2262" s="52">
        <v>44683.15650462963</v>
      </c>
      <c r="I2262" s="50"/>
      <c r="J2262" s="50"/>
      <c r="K2262" s="50" t="s">
        <v>14010</v>
      </c>
      <c r="L2262" s="50" t="s">
        <v>14011</v>
      </c>
      <c r="M2262" s="50" t="s">
        <v>14012</v>
      </c>
      <c r="N2262" s="50" t="s">
        <v>14013</v>
      </c>
      <c r="O2262" s="53" t="s">
        <v>60</v>
      </c>
      <c r="P2262" s="55" t="s">
        <v>14014</v>
      </c>
      <c r="Q2262" s="50">
        <v>1686.0</v>
      </c>
      <c r="R2262" s="50">
        <v>2789.0</v>
      </c>
      <c r="S2262" s="50"/>
      <c r="T2262" s="56" t="s">
        <v>14015</v>
      </c>
      <c r="U2262" s="53" t="s">
        <v>14016</v>
      </c>
    </row>
    <row r="2263">
      <c r="A2263" s="54" t="s">
        <v>14017</v>
      </c>
      <c r="B2263" s="50" t="s">
        <v>14018</v>
      </c>
      <c r="C2263" s="51" t="s">
        <v>726</v>
      </c>
      <c r="D2263" s="51"/>
      <c r="E2263" s="51"/>
      <c r="F2263" s="51"/>
      <c r="G2263" s="50" t="s">
        <v>14019</v>
      </c>
      <c r="H2263" s="52">
        <v>44683.15520833334</v>
      </c>
      <c r="I2263" s="50"/>
      <c r="J2263" s="50"/>
      <c r="K2263" s="50"/>
      <c r="L2263" s="50"/>
      <c r="M2263" s="50" t="s">
        <v>14020</v>
      </c>
      <c r="N2263" s="50"/>
      <c r="O2263" s="53" t="s">
        <v>70</v>
      </c>
      <c r="P2263" s="55" t="s">
        <v>14021</v>
      </c>
      <c r="Q2263" s="50">
        <v>2325.0</v>
      </c>
      <c r="R2263" s="50">
        <v>4808.0</v>
      </c>
      <c r="S2263" s="50" t="s">
        <v>14022</v>
      </c>
      <c r="T2263" s="56" t="s">
        <v>14023</v>
      </c>
      <c r="U2263" s="53" t="s">
        <v>731</v>
      </c>
    </row>
    <row r="2264">
      <c r="A2264" s="54" t="s">
        <v>14024</v>
      </c>
      <c r="B2264" s="50" t="s">
        <v>14025</v>
      </c>
      <c r="C2264" s="51" t="s">
        <v>316</v>
      </c>
      <c r="D2264" s="51"/>
      <c r="E2264" s="51"/>
      <c r="F2264" s="51"/>
      <c r="G2264" s="50" t="s">
        <v>14026</v>
      </c>
      <c r="H2264" s="52">
        <v>44683.15386574074</v>
      </c>
      <c r="I2264" s="50"/>
      <c r="J2264" s="50"/>
      <c r="K2264" s="50"/>
      <c r="L2264" s="50"/>
      <c r="M2264" s="50" t="s">
        <v>14027</v>
      </c>
      <c r="N2264" s="50"/>
      <c r="O2264" s="53" t="s">
        <v>70</v>
      </c>
      <c r="P2264" s="55" t="s">
        <v>14028</v>
      </c>
      <c r="Q2264" s="50">
        <v>1116.0</v>
      </c>
      <c r="R2264" s="50">
        <v>1611.0</v>
      </c>
      <c r="S2264" s="50" t="s">
        <v>14029</v>
      </c>
      <c r="T2264" s="56" t="s">
        <v>14030</v>
      </c>
      <c r="U2264" s="53" t="s">
        <v>322</v>
      </c>
    </row>
    <row r="2265">
      <c r="A2265" s="54" t="s">
        <v>14031</v>
      </c>
      <c r="B2265" s="50" t="s">
        <v>14032</v>
      </c>
      <c r="C2265" s="51" t="s">
        <v>367</v>
      </c>
      <c r="D2265" s="51"/>
      <c r="E2265" s="51"/>
      <c r="F2265" s="51"/>
      <c r="G2265" s="50" t="s">
        <v>14033</v>
      </c>
      <c r="H2265" s="52">
        <v>44683.15314814815</v>
      </c>
      <c r="I2265" s="50"/>
      <c r="J2265" s="50"/>
      <c r="K2265" s="50"/>
      <c r="L2265" s="50"/>
      <c r="M2265" s="50" t="s">
        <v>14034</v>
      </c>
      <c r="N2265" s="50"/>
      <c r="O2265" s="53" t="s">
        <v>92</v>
      </c>
      <c r="P2265" s="55" t="s">
        <v>14035</v>
      </c>
      <c r="Q2265" s="50">
        <v>1779.0</v>
      </c>
      <c r="R2265" s="50">
        <v>4968.0</v>
      </c>
      <c r="S2265" s="50" t="s">
        <v>4698</v>
      </c>
      <c r="T2265" s="56" t="s">
        <v>14036</v>
      </c>
      <c r="U2265" s="53" t="s">
        <v>370</v>
      </c>
    </row>
    <row r="2266">
      <c r="A2266" s="54" t="s">
        <v>14037</v>
      </c>
      <c r="B2266" s="50" t="s">
        <v>14038</v>
      </c>
      <c r="C2266" s="51" t="s">
        <v>316</v>
      </c>
      <c r="D2266" s="51"/>
      <c r="E2266" s="51"/>
      <c r="F2266" s="51"/>
      <c r="G2266" s="50" t="s">
        <v>14039</v>
      </c>
      <c r="H2266" s="52">
        <v>44683.152962962966</v>
      </c>
      <c r="I2266" s="50"/>
      <c r="J2266" s="50"/>
      <c r="K2266" s="50"/>
      <c r="L2266" s="50"/>
      <c r="M2266" s="50" t="s">
        <v>14040</v>
      </c>
      <c r="N2266" s="50"/>
      <c r="O2266" s="53" t="s">
        <v>60</v>
      </c>
      <c r="P2266" s="55" t="s">
        <v>354</v>
      </c>
      <c r="Q2266" s="50">
        <v>45.0</v>
      </c>
      <c r="R2266" s="50">
        <v>112.0</v>
      </c>
      <c r="S2266" s="50"/>
      <c r="T2266" s="56" t="s">
        <v>14041</v>
      </c>
      <c r="U2266" s="53" t="s">
        <v>322</v>
      </c>
    </row>
    <row r="2267">
      <c r="A2267" s="54" t="s">
        <v>14042</v>
      </c>
      <c r="B2267" s="50" t="s">
        <v>14043</v>
      </c>
      <c r="C2267" s="51" t="s">
        <v>329</v>
      </c>
      <c r="D2267" s="51"/>
      <c r="E2267" s="51"/>
      <c r="F2267" s="51"/>
      <c r="G2267" s="50" t="s">
        <v>14044</v>
      </c>
      <c r="H2267" s="52">
        <v>44683.15047453703</v>
      </c>
      <c r="I2267" s="50"/>
      <c r="J2267" s="50"/>
      <c r="K2267" s="50"/>
      <c r="L2267" s="50"/>
      <c r="M2267" s="50" t="s">
        <v>14045</v>
      </c>
      <c r="N2267" s="50"/>
      <c r="O2267" s="53" t="s">
        <v>92</v>
      </c>
      <c r="P2267" s="55" t="s">
        <v>14046</v>
      </c>
      <c r="Q2267" s="50">
        <v>3325.0</v>
      </c>
      <c r="R2267" s="50">
        <v>4998.0</v>
      </c>
      <c r="S2267" s="50" t="s">
        <v>473</v>
      </c>
      <c r="T2267" s="56" t="s">
        <v>14047</v>
      </c>
      <c r="U2267" s="53" t="s">
        <v>332</v>
      </c>
    </row>
    <row r="2268">
      <c r="A2268" s="54" t="s">
        <v>14048</v>
      </c>
      <c r="B2268" s="50" t="s">
        <v>14049</v>
      </c>
      <c r="C2268" s="51" t="s">
        <v>316</v>
      </c>
      <c r="D2268" s="51"/>
      <c r="E2268" s="51"/>
      <c r="F2268" s="51"/>
      <c r="G2268" s="50" t="s">
        <v>14050</v>
      </c>
      <c r="H2268" s="52">
        <v>44683.14368055556</v>
      </c>
      <c r="I2268" s="50"/>
      <c r="J2268" s="50"/>
      <c r="K2268" s="50"/>
      <c r="L2268" s="50"/>
      <c r="M2268" s="50" t="s">
        <v>14051</v>
      </c>
      <c r="N2268" s="50"/>
      <c r="O2268" s="53" t="s">
        <v>70</v>
      </c>
      <c r="P2268" s="55" t="s">
        <v>14052</v>
      </c>
      <c r="Q2268" s="50">
        <v>154.0</v>
      </c>
      <c r="R2268" s="50">
        <v>161.0</v>
      </c>
      <c r="S2268" s="50"/>
      <c r="T2268" s="56" t="s">
        <v>14053</v>
      </c>
      <c r="U2268" s="53" t="s">
        <v>322</v>
      </c>
    </row>
    <row r="2269">
      <c r="A2269" s="54" t="s">
        <v>14054</v>
      </c>
      <c r="B2269" s="50" t="s">
        <v>2694</v>
      </c>
      <c r="C2269" s="51" t="s">
        <v>13860</v>
      </c>
      <c r="D2269" s="51"/>
      <c r="E2269" s="51"/>
      <c r="F2269" s="51"/>
      <c r="G2269" s="50" t="s">
        <v>14055</v>
      </c>
      <c r="H2269" s="52">
        <v>44683.141701388886</v>
      </c>
      <c r="I2269" s="50"/>
      <c r="J2269" s="50"/>
      <c r="K2269" s="50"/>
      <c r="L2269" s="50"/>
      <c r="M2269" s="50" t="s">
        <v>2697</v>
      </c>
      <c r="N2269" s="50"/>
      <c r="O2269" s="53" t="s">
        <v>2698</v>
      </c>
      <c r="P2269" s="55" t="s">
        <v>2699</v>
      </c>
      <c r="Q2269" s="50">
        <v>2177.0</v>
      </c>
      <c r="R2269" s="50">
        <v>508.0</v>
      </c>
      <c r="S2269" s="50" t="s">
        <v>2700</v>
      </c>
      <c r="T2269" s="56" t="s">
        <v>14056</v>
      </c>
      <c r="U2269" s="53" t="s">
        <v>13863</v>
      </c>
    </row>
    <row r="2270">
      <c r="A2270" s="54" t="s">
        <v>14057</v>
      </c>
      <c r="B2270" s="50" t="s">
        <v>14058</v>
      </c>
      <c r="C2270" s="51" t="s">
        <v>14059</v>
      </c>
      <c r="D2270" s="51"/>
      <c r="E2270" s="51"/>
      <c r="F2270" s="51"/>
      <c r="G2270" s="50" t="s">
        <v>14060</v>
      </c>
      <c r="H2270" s="52">
        <v>44683.14131944445</v>
      </c>
      <c r="I2270" s="50"/>
      <c r="J2270" s="50"/>
      <c r="K2270" s="50"/>
      <c r="L2270" s="50"/>
      <c r="M2270" s="50" t="s">
        <v>14061</v>
      </c>
      <c r="N2270" s="50"/>
      <c r="O2270" s="53" t="s">
        <v>60</v>
      </c>
      <c r="P2270" s="55" t="s">
        <v>354</v>
      </c>
      <c r="Q2270" s="50">
        <v>199.0</v>
      </c>
      <c r="R2270" s="50">
        <v>155.0</v>
      </c>
      <c r="S2270" s="50"/>
      <c r="T2270" s="56" t="s">
        <v>14062</v>
      </c>
      <c r="U2270" s="53" t="s">
        <v>14063</v>
      </c>
    </row>
    <row r="2271">
      <c r="A2271" s="54" t="s">
        <v>14064</v>
      </c>
      <c r="B2271" s="50" t="s">
        <v>14065</v>
      </c>
      <c r="C2271" s="51" t="s">
        <v>14066</v>
      </c>
      <c r="D2271" s="51"/>
      <c r="E2271" s="51"/>
      <c r="F2271" s="51"/>
      <c r="G2271" s="50" t="s">
        <v>14067</v>
      </c>
      <c r="H2271" s="52">
        <v>44683.14025462963</v>
      </c>
      <c r="I2271" s="50"/>
      <c r="J2271" s="50"/>
      <c r="K2271" s="50" t="s">
        <v>14068</v>
      </c>
      <c r="L2271" s="50" t="s">
        <v>14069</v>
      </c>
      <c r="M2271" s="50" t="s">
        <v>14070</v>
      </c>
      <c r="N2271" s="50" t="s">
        <v>14071</v>
      </c>
      <c r="O2271" s="53" t="s">
        <v>70</v>
      </c>
      <c r="P2271" s="55" t="s">
        <v>14072</v>
      </c>
      <c r="Q2271" s="50">
        <v>11895.0</v>
      </c>
      <c r="R2271" s="50">
        <v>12013.0</v>
      </c>
      <c r="S2271" s="50" t="s">
        <v>14073</v>
      </c>
      <c r="T2271" s="56" t="s">
        <v>14074</v>
      </c>
      <c r="U2271" s="53" t="s">
        <v>14075</v>
      </c>
    </row>
    <row r="2272">
      <c r="A2272" s="54" t="s">
        <v>14076</v>
      </c>
      <c r="B2272" s="50" t="s">
        <v>14077</v>
      </c>
      <c r="C2272" s="51" t="s">
        <v>367</v>
      </c>
      <c r="D2272" s="51"/>
      <c r="E2272" s="51"/>
      <c r="F2272" s="51"/>
      <c r="G2272" s="50" t="s">
        <v>14078</v>
      </c>
      <c r="H2272" s="52">
        <v>44683.14</v>
      </c>
      <c r="I2272" s="50"/>
      <c r="J2272" s="50"/>
      <c r="K2272" s="50"/>
      <c r="L2272" s="50"/>
      <c r="M2272" s="50" t="s">
        <v>14079</v>
      </c>
      <c r="N2272" s="50"/>
      <c r="O2272" s="53" t="s">
        <v>217</v>
      </c>
      <c r="P2272" s="55" t="s">
        <v>14080</v>
      </c>
      <c r="Q2272" s="50">
        <v>56.0</v>
      </c>
      <c r="R2272" s="50">
        <v>134.0</v>
      </c>
      <c r="S2272" s="50" t="s">
        <v>219</v>
      </c>
      <c r="T2272" s="56" t="s">
        <v>14081</v>
      </c>
      <c r="U2272" s="53" t="s">
        <v>370</v>
      </c>
    </row>
    <row r="2273">
      <c r="A2273" s="54" t="s">
        <v>14082</v>
      </c>
      <c r="B2273" s="50" t="s">
        <v>14083</v>
      </c>
      <c r="C2273" s="51" t="s">
        <v>367</v>
      </c>
      <c r="D2273" s="51"/>
      <c r="E2273" s="51"/>
      <c r="F2273" s="51"/>
      <c r="G2273" s="50" t="s">
        <v>14084</v>
      </c>
      <c r="H2273" s="52">
        <v>44683.13922453704</v>
      </c>
      <c r="I2273" s="50"/>
      <c r="J2273" s="50"/>
      <c r="K2273" s="50"/>
      <c r="L2273" s="50"/>
      <c r="M2273" s="50" t="s">
        <v>14085</v>
      </c>
      <c r="N2273" s="50"/>
      <c r="O2273" s="53" t="s">
        <v>70</v>
      </c>
      <c r="P2273" s="55" t="s">
        <v>14086</v>
      </c>
      <c r="Q2273" s="50">
        <v>1211.0</v>
      </c>
      <c r="R2273" s="50">
        <v>2481.0</v>
      </c>
      <c r="S2273" s="50" t="s">
        <v>10922</v>
      </c>
      <c r="T2273" s="56" t="s">
        <v>14087</v>
      </c>
      <c r="U2273" s="53" t="s">
        <v>370</v>
      </c>
    </row>
    <row r="2274">
      <c r="A2274" s="54" t="s">
        <v>14088</v>
      </c>
      <c r="B2274" s="50" t="s">
        <v>2694</v>
      </c>
      <c r="C2274" s="51" t="s">
        <v>13865</v>
      </c>
      <c r="D2274" s="51"/>
      <c r="E2274" s="51"/>
      <c r="F2274" s="51"/>
      <c r="G2274" s="50" t="s">
        <v>14089</v>
      </c>
      <c r="H2274" s="52">
        <v>44683.13892361111</v>
      </c>
      <c r="I2274" s="50"/>
      <c r="J2274" s="50"/>
      <c r="K2274" s="50"/>
      <c r="L2274" s="50"/>
      <c r="M2274" s="50" t="s">
        <v>2697</v>
      </c>
      <c r="N2274" s="50"/>
      <c r="O2274" s="53" t="s">
        <v>2698</v>
      </c>
      <c r="P2274" s="55" t="s">
        <v>2699</v>
      </c>
      <c r="Q2274" s="50">
        <v>2177.0</v>
      </c>
      <c r="R2274" s="50">
        <v>508.0</v>
      </c>
      <c r="S2274" s="50" t="s">
        <v>2700</v>
      </c>
      <c r="T2274" s="56" t="s">
        <v>14090</v>
      </c>
      <c r="U2274" s="53" t="s">
        <v>13863</v>
      </c>
    </row>
    <row r="2275">
      <c r="A2275" s="54" t="s">
        <v>14091</v>
      </c>
      <c r="B2275" s="50" t="s">
        <v>14058</v>
      </c>
      <c r="C2275" s="51" t="s">
        <v>14092</v>
      </c>
      <c r="D2275" s="51"/>
      <c r="E2275" s="51"/>
      <c r="F2275" s="51"/>
      <c r="G2275" s="50" t="s">
        <v>14093</v>
      </c>
      <c r="H2275" s="52">
        <v>44683.1387962963</v>
      </c>
      <c r="I2275" s="50"/>
      <c r="J2275" s="50"/>
      <c r="K2275" s="50"/>
      <c r="L2275" s="50"/>
      <c r="M2275" s="50" t="s">
        <v>14061</v>
      </c>
      <c r="N2275" s="50"/>
      <c r="O2275" s="53" t="s">
        <v>60</v>
      </c>
      <c r="P2275" s="55" t="s">
        <v>354</v>
      </c>
      <c r="Q2275" s="50">
        <v>199.0</v>
      </c>
      <c r="R2275" s="50">
        <v>155.0</v>
      </c>
      <c r="S2275" s="50"/>
      <c r="T2275" s="56" t="s">
        <v>14094</v>
      </c>
      <c r="U2275" s="53" t="s">
        <v>14095</v>
      </c>
    </row>
    <row r="2276">
      <c r="A2276" s="54" t="s">
        <v>14096</v>
      </c>
      <c r="B2276" s="50" t="s">
        <v>2694</v>
      </c>
      <c r="C2276" s="51" t="s">
        <v>13869</v>
      </c>
      <c r="D2276" s="51"/>
      <c r="E2276" s="51"/>
      <c r="F2276" s="51"/>
      <c r="G2276" s="50" t="s">
        <v>14097</v>
      </c>
      <c r="H2276" s="52">
        <v>44683.13753472222</v>
      </c>
      <c r="I2276" s="50"/>
      <c r="J2276" s="50"/>
      <c r="K2276" s="50"/>
      <c r="L2276" s="50"/>
      <c r="M2276" s="50" t="s">
        <v>2697</v>
      </c>
      <c r="N2276" s="50"/>
      <c r="O2276" s="53" t="s">
        <v>2698</v>
      </c>
      <c r="P2276" s="55" t="s">
        <v>2699</v>
      </c>
      <c r="Q2276" s="50">
        <v>2177.0</v>
      </c>
      <c r="R2276" s="50">
        <v>508.0</v>
      </c>
      <c r="S2276" s="50" t="s">
        <v>2700</v>
      </c>
      <c r="T2276" s="56" t="s">
        <v>14098</v>
      </c>
      <c r="U2276" s="53" t="s">
        <v>13872</v>
      </c>
    </row>
    <row r="2277">
      <c r="A2277" s="54" t="s">
        <v>14099</v>
      </c>
      <c r="B2277" s="50" t="s">
        <v>14058</v>
      </c>
      <c r="C2277" s="51" t="s">
        <v>14100</v>
      </c>
      <c r="D2277" s="51"/>
      <c r="E2277" s="51"/>
      <c r="F2277" s="51"/>
      <c r="G2277" s="50" t="s">
        <v>14101</v>
      </c>
      <c r="H2277" s="52">
        <v>44683.13716435185</v>
      </c>
      <c r="I2277" s="50"/>
      <c r="J2277" s="50"/>
      <c r="K2277" s="50"/>
      <c r="L2277" s="50"/>
      <c r="M2277" s="50" t="s">
        <v>14061</v>
      </c>
      <c r="N2277" s="50"/>
      <c r="O2277" s="53" t="s">
        <v>60</v>
      </c>
      <c r="P2277" s="55" t="s">
        <v>354</v>
      </c>
      <c r="Q2277" s="50">
        <v>199.0</v>
      </c>
      <c r="R2277" s="50">
        <v>155.0</v>
      </c>
      <c r="S2277" s="50"/>
      <c r="T2277" s="56" t="s">
        <v>14102</v>
      </c>
      <c r="U2277" s="53" t="s">
        <v>14103</v>
      </c>
    </row>
    <row r="2278">
      <c r="A2278" s="54" t="s">
        <v>14104</v>
      </c>
      <c r="B2278" s="50" t="s">
        <v>11099</v>
      </c>
      <c r="C2278" s="51" t="s">
        <v>14105</v>
      </c>
      <c r="D2278" s="51"/>
      <c r="E2278" s="51"/>
      <c r="F2278" s="51"/>
      <c r="G2278" s="50" t="s">
        <v>14106</v>
      </c>
      <c r="H2278" s="52">
        <v>44683.136249999996</v>
      </c>
      <c r="I2278" s="50"/>
      <c r="J2278" s="50"/>
      <c r="K2278" s="50"/>
      <c r="L2278" s="50"/>
      <c r="M2278" s="50" t="s">
        <v>11102</v>
      </c>
      <c r="N2278" s="50"/>
      <c r="O2278" s="53" t="s">
        <v>11103</v>
      </c>
      <c r="P2278" s="55" t="s">
        <v>11104</v>
      </c>
      <c r="Q2278" s="50">
        <v>1585.0</v>
      </c>
      <c r="R2278" s="50">
        <v>12.0</v>
      </c>
      <c r="S2278" s="50"/>
      <c r="T2278" s="56" t="s">
        <v>14107</v>
      </c>
      <c r="U2278" s="53" t="s">
        <v>13863</v>
      </c>
    </row>
    <row r="2279">
      <c r="A2279" s="54" t="s">
        <v>14108</v>
      </c>
      <c r="B2279" s="50" t="s">
        <v>14109</v>
      </c>
      <c r="C2279" s="51" t="s">
        <v>367</v>
      </c>
      <c r="D2279" s="51"/>
      <c r="E2279" s="51"/>
      <c r="F2279" s="51"/>
      <c r="G2279" s="50" t="s">
        <v>14110</v>
      </c>
      <c r="H2279" s="52">
        <v>44683.13506944444</v>
      </c>
      <c r="I2279" s="50"/>
      <c r="J2279" s="50"/>
      <c r="K2279" s="50"/>
      <c r="L2279" s="50"/>
      <c r="M2279" s="50" t="s">
        <v>14111</v>
      </c>
      <c r="N2279" s="50"/>
      <c r="O2279" s="53" t="s">
        <v>92</v>
      </c>
      <c r="P2279" s="55" t="s">
        <v>14112</v>
      </c>
      <c r="Q2279" s="50">
        <v>791.0</v>
      </c>
      <c r="R2279" s="50">
        <v>5000.0</v>
      </c>
      <c r="S2279" s="50" t="s">
        <v>1311</v>
      </c>
      <c r="T2279" s="56" t="s">
        <v>14113</v>
      </c>
      <c r="U2279" s="53" t="s">
        <v>370</v>
      </c>
    </row>
    <row r="2280">
      <c r="A2280" s="54" t="s">
        <v>14114</v>
      </c>
      <c r="B2280" s="50" t="s">
        <v>2694</v>
      </c>
      <c r="C2280" s="51" t="s">
        <v>14105</v>
      </c>
      <c r="D2280" s="51"/>
      <c r="E2280" s="51"/>
      <c r="F2280" s="51"/>
      <c r="G2280" s="50" t="s">
        <v>14115</v>
      </c>
      <c r="H2280" s="52">
        <v>44683.1340625</v>
      </c>
      <c r="I2280" s="50"/>
      <c r="J2280" s="50"/>
      <c r="K2280" s="50"/>
      <c r="L2280" s="50"/>
      <c r="M2280" s="50" t="s">
        <v>2697</v>
      </c>
      <c r="N2280" s="50"/>
      <c r="O2280" s="53" t="s">
        <v>2698</v>
      </c>
      <c r="P2280" s="55" t="s">
        <v>2699</v>
      </c>
      <c r="Q2280" s="50">
        <v>2177.0</v>
      </c>
      <c r="R2280" s="50">
        <v>508.0</v>
      </c>
      <c r="S2280" s="50" t="s">
        <v>2700</v>
      </c>
      <c r="T2280" s="56" t="s">
        <v>14116</v>
      </c>
      <c r="U2280" s="53" t="s">
        <v>13863</v>
      </c>
    </row>
    <row r="2281">
      <c r="A2281" s="54" t="s">
        <v>14117</v>
      </c>
      <c r="B2281" s="50" t="s">
        <v>14058</v>
      </c>
      <c r="C2281" s="51" t="s">
        <v>14118</v>
      </c>
      <c r="D2281" s="51"/>
      <c r="E2281" s="51"/>
      <c r="F2281" s="51"/>
      <c r="G2281" s="50" t="s">
        <v>14119</v>
      </c>
      <c r="H2281" s="52">
        <v>44683.13403935185</v>
      </c>
      <c r="I2281" s="50"/>
      <c r="J2281" s="50"/>
      <c r="K2281" s="50"/>
      <c r="L2281" s="50"/>
      <c r="M2281" s="50" t="s">
        <v>14061</v>
      </c>
      <c r="N2281" s="50"/>
      <c r="O2281" s="53" t="s">
        <v>60</v>
      </c>
      <c r="P2281" s="55" t="s">
        <v>354</v>
      </c>
      <c r="Q2281" s="50">
        <v>199.0</v>
      </c>
      <c r="R2281" s="50">
        <v>155.0</v>
      </c>
      <c r="S2281" s="50"/>
      <c r="T2281" s="56" t="s">
        <v>14120</v>
      </c>
      <c r="U2281" s="53" t="s">
        <v>14121</v>
      </c>
    </row>
    <row r="2282">
      <c r="A2282" s="54" t="s">
        <v>14122</v>
      </c>
      <c r="B2282" s="50" t="s">
        <v>13789</v>
      </c>
      <c r="C2282" s="51" t="s">
        <v>367</v>
      </c>
      <c r="D2282" s="51"/>
      <c r="E2282" s="51"/>
      <c r="F2282" s="51"/>
      <c r="G2282" s="50" t="s">
        <v>14123</v>
      </c>
      <c r="H2282" s="52">
        <v>44683.13284722222</v>
      </c>
      <c r="I2282" s="50"/>
      <c r="J2282" s="50"/>
      <c r="K2282" s="50"/>
      <c r="L2282" s="50"/>
      <c r="M2282" s="50" t="s">
        <v>13791</v>
      </c>
      <c r="N2282" s="50"/>
      <c r="O2282" s="53" t="s">
        <v>92</v>
      </c>
      <c r="P2282" s="55" t="s">
        <v>13792</v>
      </c>
      <c r="Q2282" s="50">
        <v>6266.0</v>
      </c>
      <c r="R2282" s="50">
        <v>6758.0</v>
      </c>
      <c r="S2282" s="50" t="s">
        <v>129</v>
      </c>
      <c r="T2282" s="56" t="s">
        <v>14124</v>
      </c>
      <c r="U2282" s="53" t="s">
        <v>370</v>
      </c>
    </row>
    <row r="2283">
      <c r="A2283" s="54" t="s">
        <v>14125</v>
      </c>
      <c r="B2283" s="50" t="s">
        <v>14126</v>
      </c>
      <c r="C2283" s="51" t="s">
        <v>367</v>
      </c>
      <c r="D2283" s="51"/>
      <c r="E2283" s="51"/>
      <c r="F2283" s="51"/>
      <c r="G2283" s="50" t="s">
        <v>14127</v>
      </c>
      <c r="H2283" s="52">
        <v>44683.130023148144</v>
      </c>
      <c r="I2283" s="50"/>
      <c r="J2283" s="50"/>
      <c r="K2283" s="50"/>
      <c r="L2283" s="50"/>
      <c r="M2283" s="50" t="s">
        <v>14128</v>
      </c>
      <c r="N2283" s="50"/>
      <c r="O2283" s="53" t="s">
        <v>217</v>
      </c>
      <c r="P2283" s="55" t="s">
        <v>14129</v>
      </c>
      <c r="Q2283" s="50">
        <v>9549.0</v>
      </c>
      <c r="R2283" s="50">
        <v>9501.0</v>
      </c>
      <c r="S2283" s="50" t="s">
        <v>14130</v>
      </c>
      <c r="T2283" s="56" t="s">
        <v>14131</v>
      </c>
      <c r="U2283" s="53" t="s">
        <v>370</v>
      </c>
    </row>
    <row r="2284">
      <c r="A2284" s="54" t="s">
        <v>14132</v>
      </c>
      <c r="B2284" s="50" t="s">
        <v>14133</v>
      </c>
      <c r="C2284" s="51" t="s">
        <v>367</v>
      </c>
      <c r="D2284" s="51"/>
      <c r="E2284" s="51"/>
      <c r="F2284" s="51"/>
      <c r="G2284" s="50" t="s">
        <v>14134</v>
      </c>
      <c r="H2284" s="52">
        <v>44683.12688657407</v>
      </c>
      <c r="I2284" s="50"/>
      <c r="J2284" s="50"/>
      <c r="K2284" s="50"/>
      <c r="L2284" s="50"/>
      <c r="M2284" s="50" t="s">
        <v>14135</v>
      </c>
      <c r="N2284" s="50"/>
      <c r="O2284" s="53" t="s">
        <v>92</v>
      </c>
      <c r="P2284" s="55" t="s">
        <v>14136</v>
      </c>
      <c r="Q2284" s="50">
        <v>5650.0</v>
      </c>
      <c r="R2284" s="50">
        <v>6214.0</v>
      </c>
      <c r="S2284" s="50" t="s">
        <v>246</v>
      </c>
      <c r="T2284" s="56" t="s">
        <v>14137</v>
      </c>
      <c r="U2284" s="53" t="s">
        <v>370</v>
      </c>
    </row>
    <row r="2285">
      <c r="A2285" s="54" t="s">
        <v>14138</v>
      </c>
      <c r="B2285" s="50" t="s">
        <v>14139</v>
      </c>
      <c r="C2285" s="51" t="s">
        <v>14140</v>
      </c>
      <c r="D2285" s="51"/>
      <c r="E2285" s="51"/>
      <c r="F2285" s="51"/>
      <c r="G2285" s="50" t="s">
        <v>14141</v>
      </c>
      <c r="H2285" s="52">
        <v>44683.126863425925</v>
      </c>
      <c r="I2285" s="50"/>
      <c r="J2285" s="50"/>
      <c r="K2285" s="50" t="s">
        <v>14142</v>
      </c>
      <c r="L2285" s="50" t="s">
        <v>14143</v>
      </c>
      <c r="M2285" s="50" t="s">
        <v>14144</v>
      </c>
      <c r="N2285" s="50" t="s">
        <v>14145</v>
      </c>
      <c r="O2285" s="53" t="s">
        <v>92</v>
      </c>
      <c r="P2285" s="55" t="s">
        <v>14146</v>
      </c>
      <c r="Q2285" s="50">
        <v>2384.0</v>
      </c>
      <c r="R2285" s="50">
        <v>1764.0</v>
      </c>
      <c r="S2285" s="50" t="s">
        <v>14147</v>
      </c>
      <c r="T2285" s="56" t="s">
        <v>14148</v>
      </c>
      <c r="U2285" s="53" t="s">
        <v>14149</v>
      </c>
    </row>
    <row r="2286">
      <c r="A2286" s="54" t="s">
        <v>14150</v>
      </c>
      <c r="B2286" s="50" t="s">
        <v>14151</v>
      </c>
      <c r="C2286" s="51" t="s">
        <v>367</v>
      </c>
      <c r="D2286" s="51"/>
      <c r="E2286" s="51"/>
      <c r="F2286" s="51"/>
      <c r="G2286" s="50" t="s">
        <v>14152</v>
      </c>
      <c r="H2286" s="52">
        <v>44683.12329861111</v>
      </c>
      <c r="I2286" s="50"/>
      <c r="J2286" s="50"/>
      <c r="K2286" s="50"/>
      <c r="L2286" s="50"/>
      <c r="M2286" s="50" t="s">
        <v>14153</v>
      </c>
      <c r="N2286" s="50"/>
      <c r="O2286" s="53" t="s">
        <v>70</v>
      </c>
      <c r="P2286" s="55" t="s">
        <v>14154</v>
      </c>
      <c r="Q2286" s="50">
        <v>5068.0</v>
      </c>
      <c r="R2286" s="50">
        <v>5314.0</v>
      </c>
      <c r="S2286" s="50" t="s">
        <v>14155</v>
      </c>
      <c r="T2286" s="56" t="s">
        <v>14156</v>
      </c>
      <c r="U2286" s="53" t="s">
        <v>370</v>
      </c>
    </row>
    <row r="2287">
      <c r="A2287" s="54" t="s">
        <v>14157</v>
      </c>
      <c r="B2287" s="50" t="s">
        <v>14158</v>
      </c>
      <c r="C2287" s="51" t="s">
        <v>367</v>
      </c>
      <c r="D2287" s="51"/>
      <c r="E2287" s="51"/>
      <c r="F2287" s="51"/>
      <c r="G2287" s="50" t="s">
        <v>14159</v>
      </c>
      <c r="H2287" s="52">
        <v>44683.12290509259</v>
      </c>
      <c r="I2287" s="50"/>
      <c r="J2287" s="50"/>
      <c r="K2287" s="50"/>
      <c r="L2287" s="50"/>
      <c r="M2287" s="50" t="s">
        <v>14160</v>
      </c>
      <c r="N2287" s="50"/>
      <c r="O2287" s="53" t="s">
        <v>60</v>
      </c>
      <c r="P2287" s="55" t="s">
        <v>14161</v>
      </c>
      <c r="Q2287" s="50">
        <v>822.0</v>
      </c>
      <c r="R2287" s="50">
        <v>1119.0</v>
      </c>
      <c r="S2287" s="50"/>
      <c r="T2287" s="56" t="s">
        <v>14162</v>
      </c>
      <c r="U2287" s="53" t="s">
        <v>370</v>
      </c>
    </row>
    <row r="2288">
      <c r="A2288" s="54" t="s">
        <v>14163</v>
      </c>
      <c r="B2288" s="50" t="s">
        <v>14164</v>
      </c>
      <c r="C2288" s="51" t="s">
        <v>367</v>
      </c>
      <c r="D2288" s="51"/>
      <c r="E2288" s="51"/>
      <c r="F2288" s="51"/>
      <c r="G2288" s="50" t="s">
        <v>14165</v>
      </c>
      <c r="H2288" s="52">
        <v>44683.122511574074</v>
      </c>
      <c r="I2288" s="50"/>
      <c r="J2288" s="50"/>
      <c r="K2288" s="50"/>
      <c r="L2288" s="50"/>
      <c r="M2288" s="50" t="s">
        <v>14166</v>
      </c>
      <c r="N2288" s="50"/>
      <c r="O2288" s="53" t="s">
        <v>70</v>
      </c>
      <c r="P2288" s="55" t="s">
        <v>14167</v>
      </c>
      <c r="Q2288" s="50">
        <v>7405.0</v>
      </c>
      <c r="R2288" s="50">
        <v>7178.0</v>
      </c>
      <c r="S2288" s="50" t="s">
        <v>14168</v>
      </c>
      <c r="T2288" s="56" t="s">
        <v>14169</v>
      </c>
      <c r="U2288" s="53" t="s">
        <v>370</v>
      </c>
    </row>
    <row r="2289">
      <c r="A2289" s="54" t="s">
        <v>14170</v>
      </c>
      <c r="B2289" s="50" t="s">
        <v>14171</v>
      </c>
      <c r="C2289" s="51" t="s">
        <v>316</v>
      </c>
      <c r="D2289" s="51"/>
      <c r="E2289" s="51"/>
      <c r="F2289" s="51"/>
      <c r="G2289" s="50" t="s">
        <v>14172</v>
      </c>
      <c r="H2289" s="52">
        <v>44683.120844907404</v>
      </c>
      <c r="I2289" s="50"/>
      <c r="J2289" s="50"/>
      <c r="K2289" s="50"/>
      <c r="L2289" s="50"/>
      <c r="M2289" s="50" t="s">
        <v>14173</v>
      </c>
      <c r="N2289" s="50"/>
      <c r="O2289" s="53" t="s">
        <v>70</v>
      </c>
      <c r="P2289" s="55" t="s">
        <v>14174</v>
      </c>
      <c r="Q2289" s="50">
        <v>3379.0</v>
      </c>
      <c r="R2289" s="50">
        <v>3819.0</v>
      </c>
      <c r="S2289" s="50" t="s">
        <v>14175</v>
      </c>
      <c r="T2289" s="56" t="s">
        <v>14176</v>
      </c>
      <c r="U2289" s="53" t="s">
        <v>322</v>
      </c>
    </row>
    <row r="2290">
      <c r="A2290" s="54" t="s">
        <v>14177</v>
      </c>
      <c r="B2290" s="50" t="s">
        <v>14171</v>
      </c>
      <c r="C2290" s="51" t="s">
        <v>329</v>
      </c>
      <c r="D2290" s="51"/>
      <c r="E2290" s="51"/>
      <c r="F2290" s="51"/>
      <c r="G2290" s="50" t="s">
        <v>14178</v>
      </c>
      <c r="H2290" s="52">
        <v>44683.120671296296</v>
      </c>
      <c r="I2290" s="50"/>
      <c r="J2290" s="50"/>
      <c r="K2290" s="50"/>
      <c r="L2290" s="50"/>
      <c r="M2290" s="50" t="s">
        <v>14173</v>
      </c>
      <c r="N2290" s="50"/>
      <c r="O2290" s="53" t="s">
        <v>70</v>
      </c>
      <c r="P2290" s="55" t="s">
        <v>14174</v>
      </c>
      <c r="Q2290" s="50">
        <v>3379.0</v>
      </c>
      <c r="R2290" s="50">
        <v>3819.0</v>
      </c>
      <c r="S2290" s="50" t="s">
        <v>14175</v>
      </c>
      <c r="T2290" s="56" t="s">
        <v>14179</v>
      </c>
      <c r="U2290" s="53" t="s">
        <v>332</v>
      </c>
    </row>
    <row r="2291">
      <c r="A2291" s="54" t="s">
        <v>14180</v>
      </c>
      <c r="B2291" s="50" t="s">
        <v>14171</v>
      </c>
      <c r="C2291" s="51" t="s">
        <v>335</v>
      </c>
      <c r="D2291" s="51"/>
      <c r="E2291" s="51"/>
      <c r="F2291" s="51"/>
      <c r="G2291" s="50" t="s">
        <v>14181</v>
      </c>
      <c r="H2291" s="52">
        <v>44683.12054398148</v>
      </c>
      <c r="I2291" s="50"/>
      <c r="J2291" s="50"/>
      <c r="K2291" s="50"/>
      <c r="L2291" s="50"/>
      <c r="M2291" s="50" t="s">
        <v>14173</v>
      </c>
      <c r="N2291" s="50"/>
      <c r="O2291" s="53" t="s">
        <v>70</v>
      </c>
      <c r="P2291" s="55" t="s">
        <v>14174</v>
      </c>
      <c r="Q2291" s="50">
        <v>3379.0</v>
      </c>
      <c r="R2291" s="50">
        <v>3819.0</v>
      </c>
      <c r="S2291" s="50" t="s">
        <v>14175</v>
      </c>
      <c r="T2291" s="56" t="s">
        <v>14182</v>
      </c>
      <c r="U2291" s="53" t="s">
        <v>339</v>
      </c>
    </row>
    <row r="2292">
      <c r="A2292" s="54" t="s">
        <v>14183</v>
      </c>
      <c r="B2292" s="50" t="s">
        <v>14171</v>
      </c>
      <c r="C2292" s="51" t="s">
        <v>363</v>
      </c>
      <c r="D2292" s="51"/>
      <c r="E2292" s="51"/>
      <c r="F2292" s="51"/>
      <c r="G2292" s="50" t="s">
        <v>14184</v>
      </c>
      <c r="H2292" s="52">
        <v>44683.120300925926</v>
      </c>
      <c r="I2292" s="50"/>
      <c r="J2292" s="50"/>
      <c r="K2292" s="50"/>
      <c r="L2292" s="50"/>
      <c r="M2292" s="50" t="s">
        <v>14173</v>
      </c>
      <c r="N2292" s="50"/>
      <c r="O2292" s="53" t="s">
        <v>70</v>
      </c>
      <c r="P2292" s="55" t="s">
        <v>14174</v>
      </c>
      <c r="Q2292" s="50">
        <v>3379.0</v>
      </c>
      <c r="R2292" s="50">
        <v>3819.0</v>
      </c>
      <c r="S2292" s="50" t="s">
        <v>14175</v>
      </c>
      <c r="T2292" s="56" t="s">
        <v>14185</v>
      </c>
      <c r="U2292" s="53" t="s">
        <v>332</v>
      </c>
    </row>
    <row r="2293">
      <c r="A2293" s="54" t="s">
        <v>14186</v>
      </c>
      <c r="B2293" s="50" t="s">
        <v>14171</v>
      </c>
      <c r="C2293" s="51" t="s">
        <v>367</v>
      </c>
      <c r="D2293" s="51"/>
      <c r="E2293" s="51"/>
      <c r="F2293" s="51"/>
      <c r="G2293" s="50" t="s">
        <v>14187</v>
      </c>
      <c r="H2293" s="52">
        <v>44683.12005787037</v>
      </c>
      <c r="I2293" s="50"/>
      <c r="J2293" s="50"/>
      <c r="K2293" s="50"/>
      <c r="L2293" s="50"/>
      <c r="M2293" s="50" t="s">
        <v>14173</v>
      </c>
      <c r="N2293" s="50"/>
      <c r="O2293" s="53" t="s">
        <v>70</v>
      </c>
      <c r="P2293" s="55" t="s">
        <v>14174</v>
      </c>
      <c r="Q2293" s="50">
        <v>3379.0</v>
      </c>
      <c r="R2293" s="50">
        <v>3819.0</v>
      </c>
      <c r="S2293" s="50" t="s">
        <v>14175</v>
      </c>
      <c r="T2293" s="56" t="s">
        <v>14188</v>
      </c>
      <c r="U2293" s="53" t="s">
        <v>370</v>
      </c>
    </row>
    <row r="2294">
      <c r="A2294" s="54" t="s">
        <v>14189</v>
      </c>
      <c r="B2294" s="50" t="s">
        <v>14190</v>
      </c>
      <c r="C2294" s="51" t="s">
        <v>14191</v>
      </c>
      <c r="D2294" s="51"/>
      <c r="E2294" s="51"/>
      <c r="F2294" s="51"/>
      <c r="G2294" s="50" t="s">
        <v>14192</v>
      </c>
      <c r="H2294" s="52">
        <v>44683.11851851852</v>
      </c>
      <c r="I2294" s="50"/>
      <c r="J2294" s="50"/>
      <c r="K2294" s="50" t="s">
        <v>14193</v>
      </c>
      <c r="L2294" s="50" t="s">
        <v>14194</v>
      </c>
      <c r="M2294" s="50" t="s">
        <v>14195</v>
      </c>
      <c r="N2294" s="50" t="s">
        <v>14196</v>
      </c>
      <c r="O2294" s="53" t="s">
        <v>70</v>
      </c>
      <c r="P2294" s="55" t="s">
        <v>354</v>
      </c>
      <c r="Q2294" s="50">
        <v>214.0</v>
      </c>
      <c r="R2294" s="50">
        <v>2308.0</v>
      </c>
      <c r="S2294" s="50" t="s">
        <v>14197</v>
      </c>
      <c r="T2294" s="56" t="s">
        <v>14198</v>
      </c>
      <c r="U2294" s="53" t="s">
        <v>14199</v>
      </c>
    </row>
    <row r="2295">
      <c r="A2295" s="54" t="s">
        <v>14200</v>
      </c>
      <c r="B2295" s="50" t="s">
        <v>14201</v>
      </c>
      <c r="C2295" s="51" t="s">
        <v>367</v>
      </c>
      <c r="D2295" s="51"/>
      <c r="E2295" s="51"/>
      <c r="F2295" s="51"/>
      <c r="G2295" s="50" t="s">
        <v>14202</v>
      </c>
      <c r="H2295" s="52">
        <v>44683.11609953704</v>
      </c>
      <c r="I2295" s="50"/>
      <c r="J2295" s="50"/>
      <c r="K2295" s="50"/>
      <c r="L2295" s="50"/>
      <c r="M2295" s="50" t="s">
        <v>14203</v>
      </c>
      <c r="N2295" s="50"/>
      <c r="O2295" s="53" t="s">
        <v>92</v>
      </c>
      <c r="P2295" s="55" t="s">
        <v>14204</v>
      </c>
      <c r="Q2295" s="50">
        <v>1634.0</v>
      </c>
      <c r="R2295" s="50">
        <v>2226.0</v>
      </c>
      <c r="S2295" s="50" t="s">
        <v>14205</v>
      </c>
      <c r="T2295" s="56" t="s">
        <v>14206</v>
      </c>
      <c r="U2295" s="53" t="s">
        <v>370</v>
      </c>
    </row>
    <row r="2296">
      <c r="A2296" s="54" t="s">
        <v>14207</v>
      </c>
      <c r="B2296" s="50" t="s">
        <v>14208</v>
      </c>
      <c r="C2296" s="51" t="s">
        <v>363</v>
      </c>
      <c r="D2296" s="51"/>
      <c r="E2296" s="51"/>
      <c r="F2296" s="51"/>
      <c r="G2296" s="50" t="s">
        <v>14209</v>
      </c>
      <c r="H2296" s="52">
        <v>44683.115902777776</v>
      </c>
      <c r="I2296" s="50"/>
      <c r="J2296" s="50"/>
      <c r="K2296" s="50"/>
      <c r="L2296" s="50"/>
      <c r="M2296" s="50" t="s">
        <v>14210</v>
      </c>
      <c r="N2296" s="50"/>
      <c r="O2296" s="53" t="s">
        <v>70</v>
      </c>
      <c r="P2296" s="55" t="s">
        <v>14211</v>
      </c>
      <c r="Q2296" s="50">
        <v>46.0</v>
      </c>
      <c r="R2296" s="50">
        <v>346.0</v>
      </c>
      <c r="S2296" s="50"/>
      <c r="T2296" s="56" t="s">
        <v>14212</v>
      </c>
      <c r="U2296" s="53" t="s">
        <v>332</v>
      </c>
    </row>
    <row r="2297">
      <c r="A2297" s="54" t="s">
        <v>14213</v>
      </c>
      <c r="B2297" s="50" t="s">
        <v>14208</v>
      </c>
      <c r="C2297" s="51" t="s">
        <v>367</v>
      </c>
      <c r="D2297" s="51"/>
      <c r="E2297" s="51"/>
      <c r="F2297" s="51"/>
      <c r="G2297" s="50" t="s">
        <v>14214</v>
      </c>
      <c r="H2297" s="52">
        <v>44683.11571759259</v>
      </c>
      <c r="I2297" s="50"/>
      <c r="J2297" s="50"/>
      <c r="K2297" s="50"/>
      <c r="L2297" s="50"/>
      <c r="M2297" s="50" t="s">
        <v>14210</v>
      </c>
      <c r="N2297" s="50"/>
      <c r="O2297" s="53" t="s">
        <v>70</v>
      </c>
      <c r="P2297" s="55" t="s">
        <v>14211</v>
      </c>
      <c r="Q2297" s="50">
        <v>46.0</v>
      </c>
      <c r="R2297" s="50">
        <v>346.0</v>
      </c>
      <c r="S2297" s="50"/>
      <c r="T2297" s="56" t="s">
        <v>14215</v>
      </c>
      <c r="U2297" s="53" t="s">
        <v>370</v>
      </c>
    </row>
    <row r="2298">
      <c r="A2298" s="54" t="s">
        <v>14216</v>
      </c>
      <c r="B2298" s="50" t="s">
        <v>14217</v>
      </c>
      <c r="C2298" s="51" t="s">
        <v>367</v>
      </c>
      <c r="D2298" s="51"/>
      <c r="E2298" s="51"/>
      <c r="F2298" s="51"/>
      <c r="G2298" s="50" t="s">
        <v>14218</v>
      </c>
      <c r="H2298" s="52">
        <v>44683.11561342592</v>
      </c>
      <c r="I2298" s="50"/>
      <c r="J2298" s="50"/>
      <c r="K2298" s="50"/>
      <c r="L2298" s="50"/>
      <c r="M2298" s="50" t="s">
        <v>14219</v>
      </c>
      <c r="N2298" s="50"/>
      <c r="O2298" s="53" t="s">
        <v>92</v>
      </c>
      <c r="P2298" s="55" t="s">
        <v>14220</v>
      </c>
      <c r="Q2298" s="50">
        <v>730.0</v>
      </c>
      <c r="R2298" s="50">
        <v>2409.0</v>
      </c>
      <c r="S2298" s="50" t="s">
        <v>13813</v>
      </c>
      <c r="T2298" s="56" t="s">
        <v>14221</v>
      </c>
      <c r="U2298" s="53" t="s">
        <v>370</v>
      </c>
    </row>
    <row r="2299">
      <c r="A2299" s="54" t="s">
        <v>14222</v>
      </c>
      <c r="B2299" s="50" t="s">
        <v>14223</v>
      </c>
      <c r="C2299" s="51" t="s">
        <v>367</v>
      </c>
      <c r="D2299" s="51"/>
      <c r="E2299" s="51"/>
      <c r="F2299" s="51"/>
      <c r="G2299" s="50" t="s">
        <v>14224</v>
      </c>
      <c r="H2299" s="52">
        <v>44683.11225694444</v>
      </c>
      <c r="I2299" s="50"/>
      <c r="J2299" s="50"/>
      <c r="K2299" s="50"/>
      <c r="L2299" s="50"/>
      <c r="M2299" s="50" t="s">
        <v>14225</v>
      </c>
      <c r="N2299" s="50"/>
      <c r="O2299" s="53" t="s">
        <v>60</v>
      </c>
      <c r="P2299" s="55" t="s">
        <v>14226</v>
      </c>
      <c r="Q2299" s="50">
        <v>672.0</v>
      </c>
      <c r="R2299" s="50">
        <v>3588.0</v>
      </c>
      <c r="S2299" s="50" t="s">
        <v>14227</v>
      </c>
      <c r="T2299" s="56" t="s">
        <v>14228</v>
      </c>
      <c r="U2299" s="53" t="s">
        <v>370</v>
      </c>
    </row>
    <row r="2300">
      <c r="A2300" s="54" t="s">
        <v>14229</v>
      </c>
      <c r="B2300" s="50" t="s">
        <v>14230</v>
      </c>
      <c r="C2300" s="51" t="s">
        <v>12331</v>
      </c>
      <c r="D2300" s="51"/>
      <c r="E2300" s="51"/>
      <c r="F2300" s="51"/>
      <c r="G2300" s="50" t="s">
        <v>14231</v>
      </c>
      <c r="H2300" s="52">
        <v>44683.111875</v>
      </c>
      <c r="I2300" s="50"/>
      <c r="J2300" s="50"/>
      <c r="K2300" s="50"/>
      <c r="L2300" s="50"/>
      <c r="M2300" s="50" t="s">
        <v>14232</v>
      </c>
      <c r="N2300" s="50"/>
      <c r="O2300" s="53" t="s">
        <v>92</v>
      </c>
      <c r="P2300" s="55" t="s">
        <v>354</v>
      </c>
      <c r="Q2300" s="50">
        <v>77.0</v>
      </c>
      <c r="R2300" s="50">
        <v>148.0</v>
      </c>
      <c r="S2300" s="50" t="s">
        <v>14233</v>
      </c>
      <c r="T2300" s="56" t="s">
        <v>14234</v>
      </c>
      <c r="U2300" s="53" t="s">
        <v>12334</v>
      </c>
    </row>
    <row r="2301">
      <c r="A2301" s="54" t="s">
        <v>14235</v>
      </c>
      <c r="B2301" s="50" t="s">
        <v>14236</v>
      </c>
      <c r="C2301" s="51" t="s">
        <v>367</v>
      </c>
      <c r="D2301" s="51"/>
      <c r="E2301" s="51"/>
      <c r="F2301" s="51"/>
      <c r="G2301" s="50" t="s">
        <v>14237</v>
      </c>
      <c r="H2301" s="52">
        <v>44683.111805555556</v>
      </c>
      <c r="I2301" s="50"/>
      <c r="J2301" s="50"/>
      <c r="K2301" s="50"/>
      <c r="L2301" s="50"/>
      <c r="M2301" s="50" t="s">
        <v>14238</v>
      </c>
      <c r="N2301" s="50"/>
      <c r="O2301" s="53" t="s">
        <v>70</v>
      </c>
      <c r="P2301" s="55" t="s">
        <v>14239</v>
      </c>
      <c r="Q2301" s="50">
        <v>15.0</v>
      </c>
      <c r="R2301" s="50">
        <v>176.0</v>
      </c>
      <c r="S2301" s="50" t="s">
        <v>14240</v>
      </c>
      <c r="T2301" s="56" t="s">
        <v>14241</v>
      </c>
      <c r="U2301" s="53" t="s">
        <v>370</v>
      </c>
    </row>
    <row r="2302">
      <c r="A2302" s="54" t="s">
        <v>14242</v>
      </c>
      <c r="B2302" s="50" t="s">
        <v>14243</v>
      </c>
      <c r="C2302" s="51" t="s">
        <v>14244</v>
      </c>
      <c r="D2302" s="51"/>
      <c r="E2302" s="51"/>
      <c r="F2302" s="51"/>
      <c r="G2302" s="50" t="s">
        <v>14245</v>
      </c>
      <c r="H2302" s="52">
        <v>44683.11122685185</v>
      </c>
      <c r="I2302" s="50"/>
      <c r="J2302" s="50"/>
      <c r="K2302" s="50"/>
      <c r="L2302" s="50"/>
      <c r="M2302" s="50" t="s">
        <v>14246</v>
      </c>
      <c r="N2302" s="50"/>
      <c r="O2302" s="53" t="s">
        <v>92</v>
      </c>
      <c r="P2302" s="55" t="s">
        <v>14247</v>
      </c>
      <c r="Q2302" s="50">
        <v>2602.0</v>
      </c>
      <c r="R2302" s="50">
        <v>3834.0</v>
      </c>
      <c r="S2302" s="50" t="s">
        <v>219</v>
      </c>
      <c r="T2302" s="56" t="s">
        <v>14248</v>
      </c>
      <c r="U2302" s="53" t="s">
        <v>14249</v>
      </c>
    </row>
    <row r="2303">
      <c r="A2303" s="54" t="s">
        <v>14250</v>
      </c>
      <c r="B2303" s="50" t="s">
        <v>14251</v>
      </c>
      <c r="C2303" s="51" t="s">
        <v>14244</v>
      </c>
      <c r="D2303" s="51"/>
      <c r="E2303" s="51"/>
      <c r="F2303" s="51"/>
      <c r="G2303" s="50" t="s">
        <v>14252</v>
      </c>
      <c r="H2303" s="52">
        <v>44683.11074074074</v>
      </c>
      <c r="I2303" s="50"/>
      <c r="J2303" s="50"/>
      <c r="K2303" s="50"/>
      <c r="L2303" s="50"/>
      <c r="M2303" s="50" t="s">
        <v>14253</v>
      </c>
      <c r="N2303" s="50"/>
      <c r="O2303" s="53" t="s">
        <v>70</v>
      </c>
      <c r="P2303" s="55" t="s">
        <v>14254</v>
      </c>
      <c r="Q2303" s="50">
        <v>6773.0</v>
      </c>
      <c r="R2303" s="50">
        <v>7248.0</v>
      </c>
      <c r="S2303" s="50" t="s">
        <v>379</v>
      </c>
      <c r="T2303" s="56" t="s">
        <v>14255</v>
      </c>
      <c r="U2303" s="53" t="s">
        <v>14249</v>
      </c>
    </row>
    <row r="2304">
      <c r="A2304" s="54" t="s">
        <v>14256</v>
      </c>
      <c r="B2304" s="50" t="s">
        <v>14257</v>
      </c>
      <c r="C2304" s="51" t="s">
        <v>726</v>
      </c>
      <c r="D2304" s="51"/>
      <c r="E2304" s="51"/>
      <c r="F2304" s="51"/>
      <c r="G2304" s="50" t="s">
        <v>14258</v>
      </c>
      <c r="H2304" s="52">
        <v>44683.1103587963</v>
      </c>
      <c r="I2304" s="50"/>
      <c r="J2304" s="50"/>
      <c r="K2304" s="50"/>
      <c r="L2304" s="50"/>
      <c r="M2304" s="50" t="s">
        <v>14259</v>
      </c>
      <c r="N2304" s="50"/>
      <c r="O2304" s="53" t="s">
        <v>60</v>
      </c>
      <c r="P2304" s="55" t="s">
        <v>14260</v>
      </c>
      <c r="Q2304" s="50">
        <v>233.0</v>
      </c>
      <c r="R2304" s="50">
        <v>1492.0</v>
      </c>
      <c r="S2304" s="50" t="s">
        <v>1311</v>
      </c>
      <c r="T2304" s="56" t="s">
        <v>14261</v>
      </c>
      <c r="U2304" s="53" t="s">
        <v>731</v>
      </c>
    </row>
    <row r="2305">
      <c r="A2305" s="54" t="s">
        <v>14262</v>
      </c>
      <c r="B2305" s="50" t="s">
        <v>14263</v>
      </c>
      <c r="C2305" s="51" t="s">
        <v>367</v>
      </c>
      <c r="D2305" s="51"/>
      <c r="E2305" s="51"/>
      <c r="F2305" s="51"/>
      <c r="G2305" s="50" t="s">
        <v>14264</v>
      </c>
      <c r="H2305" s="52">
        <v>44683.10921296296</v>
      </c>
      <c r="I2305" s="50"/>
      <c r="J2305" s="50"/>
      <c r="K2305" s="50"/>
      <c r="L2305" s="50"/>
      <c r="M2305" s="50" t="s">
        <v>14265</v>
      </c>
      <c r="N2305" s="50"/>
      <c r="O2305" s="53" t="s">
        <v>92</v>
      </c>
      <c r="P2305" s="55" t="s">
        <v>14266</v>
      </c>
      <c r="Q2305" s="50">
        <v>1550.0</v>
      </c>
      <c r="R2305" s="50">
        <v>2503.0</v>
      </c>
      <c r="S2305" s="50"/>
      <c r="T2305" s="56" t="s">
        <v>14267</v>
      </c>
      <c r="U2305" s="53" t="s">
        <v>370</v>
      </c>
    </row>
    <row r="2306">
      <c r="A2306" s="54" t="s">
        <v>14268</v>
      </c>
      <c r="B2306" s="50" t="s">
        <v>14269</v>
      </c>
      <c r="C2306" s="51" t="s">
        <v>14270</v>
      </c>
      <c r="D2306" s="51"/>
      <c r="E2306" s="51"/>
      <c r="F2306" s="51"/>
      <c r="G2306" s="50" t="s">
        <v>14271</v>
      </c>
      <c r="H2306" s="52">
        <v>44683.10849537037</v>
      </c>
      <c r="I2306" s="50"/>
      <c r="J2306" s="50"/>
      <c r="K2306" s="50"/>
      <c r="L2306" s="50"/>
      <c r="M2306" s="50" t="s">
        <v>14272</v>
      </c>
      <c r="N2306" s="50"/>
      <c r="O2306" s="53" t="s">
        <v>70</v>
      </c>
      <c r="P2306" s="55" t="s">
        <v>14273</v>
      </c>
      <c r="Q2306" s="50">
        <v>543.0</v>
      </c>
      <c r="R2306" s="50">
        <v>670.0</v>
      </c>
      <c r="S2306" s="50"/>
      <c r="T2306" s="56" t="s">
        <v>14274</v>
      </c>
      <c r="U2306" s="53" t="s">
        <v>14275</v>
      </c>
    </row>
    <row r="2307">
      <c r="A2307" s="54" t="s">
        <v>14276</v>
      </c>
      <c r="B2307" s="50" t="s">
        <v>14277</v>
      </c>
      <c r="C2307" s="51" t="s">
        <v>367</v>
      </c>
      <c r="D2307" s="51"/>
      <c r="E2307" s="51"/>
      <c r="F2307" s="51"/>
      <c r="G2307" s="50" t="s">
        <v>14278</v>
      </c>
      <c r="H2307" s="52">
        <v>44683.1078125</v>
      </c>
      <c r="I2307" s="50"/>
      <c r="J2307" s="50"/>
      <c r="K2307" s="50"/>
      <c r="L2307" s="50"/>
      <c r="M2307" s="50" t="s">
        <v>14279</v>
      </c>
      <c r="N2307" s="50"/>
      <c r="O2307" s="53" t="s">
        <v>70</v>
      </c>
      <c r="P2307" s="55" t="s">
        <v>14280</v>
      </c>
      <c r="Q2307" s="50">
        <v>2589.0</v>
      </c>
      <c r="R2307" s="50">
        <v>5001.0</v>
      </c>
      <c r="S2307" s="50" t="s">
        <v>14281</v>
      </c>
      <c r="T2307" s="56" t="s">
        <v>14282</v>
      </c>
      <c r="U2307" s="53" t="s">
        <v>370</v>
      </c>
    </row>
    <row r="2308">
      <c r="A2308" s="54" t="s">
        <v>14283</v>
      </c>
      <c r="B2308" s="50" t="s">
        <v>14284</v>
      </c>
      <c r="C2308" s="51" t="s">
        <v>316</v>
      </c>
      <c r="D2308" s="51"/>
      <c r="E2308" s="51"/>
      <c r="F2308" s="51"/>
      <c r="G2308" s="50" t="s">
        <v>14285</v>
      </c>
      <c r="H2308" s="52">
        <v>44683.10670138889</v>
      </c>
      <c r="I2308" s="50"/>
      <c r="J2308" s="50"/>
      <c r="K2308" s="50"/>
      <c r="L2308" s="50"/>
      <c r="M2308" s="50" t="s">
        <v>14286</v>
      </c>
      <c r="N2308" s="50"/>
      <c r="O2308" s="53" t="s">
        <v>92</v>
      </c>
      <c r="P2308" s="55" t="s">
        <v>14287</v>
      </c>
      <c r="Q2308" s="50">
        <v>12.0</v>
      </c>
      <c r="R2308" s="50">
        <v>97.0</v>
      </c>
      <c r="S2308" s="50"/>
      <c r="T2308" s="56" t="s">
        <v>14288</v>
      </c>
      <c r="U2308" s="53" t="s">
        <v>322</v>
      </c>
    </row>
    <row r="2309">
      <c r="A2309" s="54" t="s">
        <v>14289</v>
      </c>
      <c r="B2309" s="50" t="s">
        <v>14284</v>
      </c>
      <c r="C2309" s="51" t="s">
        <v>329</v>
      </c>
      <c r="D2309" s="51"/>
      <c r="E2309" s="51"/>
      <c r="F2309" s="51"/>
      <c r="G2309" s="50" t="s">
        <v>14290</v>
      </c>
      <c r="H2309" s="52">
        <v>44683.106574074074</v>
      </c>
      <c r="I2309" s="50"/>
      <c r="J2309" s="50"/>
      <c r="K2309" s="50"/>
      <c r="L2309" s="50"/>
      <c r="M2309" s="50" t="s">
        <v>14286</v>
      </c>
      <c r="N2309" s="50"/>
      <c r="O2309" s="53" t="s">
        <v>92</v>
      </c>
      <c r="P2309" s="55" t="s">
        <v>14287</v>
      </c>
      <c r="Q2309" s="50">
        <v>12.0</v>
      </c>
      <c r="R2309" s="50">
        <v>97.0</v>
      </c>
      <c r="S2309" s="50"/>
      <c r="T2309" s="56" t="s">
        <v>14291</v>
      </c>
      <c r="U2309" s="53" t="s">
        <v>332</v>
      </c>
    </row>
    <row r="2310">
      <c r="A2310" s="54" t="s">
        <v>14292</v>
      </c>
      <c r="B2310" s="50" t="s">
        <v>14284</v>
      </c>
      <c r="C2310" s="51" t="s">
        <v>335</v>
      </c>
      <c r="D2310" s="51"/>
      <c r="E2310" s="51"/>
      <c r="F2310" s="51"/>
      <c r="G2310" s="50" t="s">
        <v>14293</v>
      </c>
      <c r="H2310" s="52">
        <v>44683.10650462963</v>
      </c>
      <c r="I2310" s="50"/>
      <c r="J2310" s="50"/>
      <c r="K2310" s="50"/>
      <c r="L2310" s="50"/>
      <c r="M2310" s="50" t="s">
        <v>14286</v>
      </c>
      <c r="N2310" s="50"/>
      <c r="O2310" s="53" t="s">
        <v>92</v>
      </c>
      <c r="P2310" s="55" t="s">
        <v>14287</v>
      </c>
      <c r="Q2310" s="50">
        <v>12.0</v>
      </c>
      <c r="R2310" s="50">
        <v>97.0</v>
      </c>
      <c r="S2310" s="50"/>
      <c r="T2310" s="56" t="s">
        <v>14294</v>
      </c>
      <c r="U2310" s="53" t="s">
        <v>339</v>
      </c>
    </row>
    <row r="2311">
      <c r="A2311" s="54" t="s">
        <v>14295</v>
      </c>
      <c r="B2311" s="50" t="s">
        <v>14284</v>
      </c>
      <c r="C2311" s="51" t="s">
        <v>363</v>
      </c>
      <c r="D2311" s="51"/>
      <c r="E2311" s="51"/>
      <c r="F2311" s="51"/>
      <c r="G2311" s="50" t="s">
        <v>14296</v>
      </c>
      <c r="H2311" s="52">
        <v>44683.10642361111</v>
      </c>
      <c r="I2311" s="50"/>
      <c r="J2311" s="50"/>
      <c r="K2311" s="50"/>
      <c r="L2311" s="50"/>
      <c r="M2311" s="50" t="s">
        <v>14286</v>
      </c>
      <c r="N2311" s="50"/>
      <c r="O2311" s="53" t="s">
        <v>92</v>
      </c>
      <c r="P2311" s="55" t="s">
        <v>14287</v>
      </c>
      <c r="Q2311" s="50">
        <v>12.0</v>
      </c>
      <c r="R2311" s="50">
        <v>97.0</v>
      </c>
      <c r="S2311" s="50"/>
      <c r="T2311" s="56" t="s">
        <v>14297</v>
      </c>
      <c r="U2311" s="53" t="s">
        <v>332</v>
      </c>
    </row>
    <row r="2312">
      <c r="A2312" s="54" t="s">
        <v>14298</v>
      </c>
      <c r="B2312" s="50" t="s">
        <v>14284</v>
      </c>
      <c r="C2312" s="51" t="s">
        <v>367</v>
      </c>
      <c r="D2312" s="51"/>
      <c r="E2312" s="51"/>
      <c r="F2312" s="51"/>
      <c r="G2312" s="50" t="s">
        <v>14299</v>
      </c>
      <c r="H2312" s="52">
        <v>44683.10637731482</v>
      </c>
      <c r="I2312" s="50"/>
      <c r="J2312" s="50"/>
      <c r="K2312" s="50"/>
      <c r="L2312" s="50"/>
      <c r="M2312" s="50" t="s">
        <v>14286</v>
      </c>
      <c r="N2312" s="50"/>
      <c r="O2312" s="53" t="s">
        <v>92</v>
      </c>
      <c r="P2312" s="55" t="s">
        <v>14287</v>
      </c>
      <c r="Q2312" s="50">
        <v>12.0</v>
      </c>
      <c r="R2312" s="50">
        <v>97.0</v>
      </c>
      <c r="S2312" s="50"/>
      <c r="T2312" s="56" t="s">
        <v>14300</v>
      </c>
      <c r="U2312" s="53" t="s">
        <v>370</v>
      </c>
    </row>
    <row r="2313">
      <c r="A2313" s="54" t="s">
        <v>14301</v>
      </c>
      <c r="B2313" s="50" t="s">
        <v>14302</v>
      </c>
      <c r="C2313" s="51" t="s">
        <v>367</v>
      </c>
      <c r="D2313" s="51"/>
      <c r="E2313" s="51"/>
      <c r="F2313" s="51"/>
      <c r="G2313" s="50" t="s">
        <v>14303</v>
      </c>
      <c r="H2313" s="52">
        <v>44683.10603009259</v>
      </c>
      <c r="I2313" s="50"/>
      <c r="J2313" s="50"/>
      <c r="K2313" s="50"/>
      <c r="L2313" s="50"/>
      <c r="M2313" s="50" t="s">
        <v>14304</v>
      </c>
      <c r="N2313" s="50"/>
      <c r="O2313" s="53" t="s">
        <v>92</v>
      </c>
      <c r="P2313" s="55" t="s">
        <v>14305</v>
      </c>
      <c r="Q2313" s="50">
        <v>10889.0</v>
      </c>
      <c r="R2313" s="50">
        <v>5482.0</v>
      </c>
      <c r="S2313" s="50" t="s">
        <v>219</v>
      </c>
      <c r="T2313" s="56" t="s">
        <v>14306</v>
      </c>
      <c r="U2313" s="53" t="s">
        <v>370</v>
      </c>
    </row>
    <row r="2314">
      <c r="A2314" s="54" t="s">
        <v>14307</v>
      </c>
      <c r="B2314" s="50" t="s">
        <v>14230</v>
      </c>
      <c r="C2314" s="51" t="s">
        <v>4762</v>
      </c>
      <c r="D2314" s="51"/>
      <c r="E2314" s="51"/>
      <c r="F2314" s="51"/>
      <c r="G2314" s="50" t="s">
        <v>14308</v>
      </c>
      <c r="H2314" s="52">
        <v>44683.10569444444</v>
      </c>
      <c r="I2314" s="50"/>
      <c r="J2314" s="50"/>
      <c r="K2314" s="50"/>
      <c r="L2314" s="50"/>
      <c r="M2314" s="50" t="s">
        <v>14232</v>
      </c>
      <c r="N2314" s="50"/>
      <c r="O2314" s="53" t="s">
        <v>92</v>
      </c>
      <c r="P2314" s="55" t="s">
        <v>354</v>
      </c>
      <c r="Q2314" s="50">
        <v>77.0</v>
      </c>
      <c r="R2314" s="50">
        <v>148.0</v>
      </c>
      <c r="S2314" s="50" t="s">
        <v>14233</v>
      </c>
      <c r="T2314" s="56" t="s">
        <v>14309</v>
      </c>
      <c r="U2314" s="53" t="s">
        <v>4768</v>
      </c>
    </row>
    <row r="2315">
      <c r="A2315" s="54" t="s">
        <v>14310</v>
      </c>
      <c r="B2315" s="50" t="s">
        <v>14311</v>
      </c>
      <c r="C2315" s="51" t="s">
        <v>8881</v>
      </c>
      <c r="D2315" s="51"/>
      <c r="E2315" s="51"/>
      <c r="F2315" s="51"/>
      <c r="G2315" s="50" t="s">
        <v>14312</v>
      </c>
      <c r="H2315" s="52">
        <v>44683.10501157407</v>
      </c>
      <c r="I2315" s="50"/>
      <c r="J2315" s="50"/>
      <c r="K2315" s="50"/>
      <c r="L2315" s="50"/>
      <c r="M2315" s="50" t="s">
        <v>14313</v>
      </c>
      <c r="N2315" s="50"/>
      <c r="O2315" s="53" t="s">
        <v>70</v>
      </c>
      <c r="P2315" s="55" t="s">
        <v>14314</v>
      </c>
      <c r="Q2315" s="50">
        <v>724.0</v>
      </c>
      <c r="R2315" s="50">
        <v>1450.0</v>
      </c>
      <c r="S2315" s="50" t="s">
        <v>14315</v>
      </c>
      <c r="T2315" s="56" t="s">
        <v>14316</v>
      </c>
      <c r="U2315" s="53" t="s">
        <v>8886</v>
      </c>
    </row>
    <row r="2316">
      <c r="A2316" s="54" t="s">
        <v>14317</v>
      </c>
      <c r="B2316" s="50" t="s">
        <v>14257</v>
      </c>
      <c r="C2316" s="51" t="s">
        <v>367</v>
      </c>
      <c r="D2316" s="51"/>
      <c r="E2316" s="51"/>
      <c r="F2316" s="51"/>
      <c r="G2316" s="50" t="s">
        <v>14318</v>
      </c>
      <c r="H2316" s="52">
        <v>44683.104837962965</v>
      </c>
      <c r="I2316" s="50"/>
      <c r="J2316" s="50"/>
      <c r="K2316" s="50"/>
      <c r="L2316" s="50"/>
      <c r="M2316" s="50" t="s">
        <v>14259</v>
      </c>
      <c r="N2316" s="50"/>
      <c r="O2316" s="53" t="s">
        <v>60</v>
      </c>
      <c r="P2316" s="55" t="s">
        <v>14260</v>
      </c>
      <c r="Q2316" s="50">
        <v>233.0</v>
      </c>
      <c r="R2316" s="50">
        <v>1492.0</v>
      </c>
      <c r="S2316" s="50" t="s">
        <v>1311</v>
      </c>
      <c r="T2316" s="56" t="s">
        <v>14319</v>
      </c>
      <c r="U2316" s="53" t="s">
        <v>370</v>
      </c>
    </row>
    <row r="2317">
      <c r="A2317" s="54" t="s">
        <v>14320</v>
      </c>
      <c r="B2317" s="50" t="s">
        <v>14321</v>
      </c>
      <c r="C2317" s="51" t="s">
        <v>367</v>
      </c>
      <c r="D2317" s="51"/>
      <c r="E2317" s="51"/>
      <c r="F2317" s="51"/>
      <c r="G2317" s="50" t="s">
        <v>14322</v>
      </c>
      <c r="H2317" s="52">
        <v>44683.10443287037</v>
      </c>
      <c r="I2317" s="50"/>
      <c r="J2317" s="50"/>
      <c r="K2317" s="50"/>
      <c r="L2317" s="50"/>
      <c r="M2317" s="50" t="s">
        <v>14323</v>
      </c>
      <c r="N2317" s="50"/>
      <c r="O2317" s="53" t="s">
        <v>92</v>
      </c>
      <c r="P2317" s="55" t="s">
        <v>14324</v>
      </c>
      <c r="Q2317" s="50">
        <v>277.0</v>
      </c>
      <c r="R2317" s="50">
        <v>945.0</v>
      </c>
      <c r="S2317" s="50"/>
      <c r="T2317" s="56" t="s">
        <v>14325</v>
      </c>
      <c r="U2317" s="53" t="s">
        <v>370</v>
      </c>
    </row>
    <row r="2318">
      <c r="A2318" s="54" t="s">
        <v>14326</v>
      </c>
      <c r="B2318" s="50" t="s">
        <v>14327</v>
      </c>
      <c r="C2318" s="51" t="s">
        <v>316</v>
      </c>
      <c r="D2318" s="51"/>
      <c r="E2318" s="51"/>
      <c r="F2318" s="51"/>
      <c r="G2318" s="50" t="s">
        <v>14328</v>
      </c>
      <c r="H2318" s="52">
        <v>44683.104212962964</v>
      </c>
      <c r="I2318" s="50"/>
      <c r="J2318" s="50"/>
      <c r="K2318" s="50"/>
      <c r="L2318" s="50"/>
      <c r="M2318" s="50" t="s">
        <v>14329</v>
      </c>
      <c r="N2318" s="50"/>
      <c r="O2318" s="53" t="s">
        <v>70</v>
      </c>
      <c r="P2318" s="55" t="s">
        <v>14330</v>
      </c>
      <c r="Q2318" s="50">
        <v>722.0</v>
      </c>
      <c r="R2318" s="50">
        <v>2503.0</v>
      </c>
      <c r="S2318" s="50" t="s">
        <v>14331</v>
      </c>
      <c r="T2318" s="56" t="s">
        <v>14332</v>
      </c>
      <c r="U2318" s="53" t="s">
        <v>322</v>
      </c>
    </row>
    <row r="2319">
      <c r="A2319" s="54" t="s">
        <v>14333</v>
      </c>
      <c r="B2319" s="50" t="s">
        <v>14334</v>
      </c>
      <c r="C2319" s="51" t="s">
        <v>14335</v>
      </c>
      <c r="D2319" s="51"/>
      <c r="E2319" s="51"/>
      <c r="F2319" s="51"/>
      <c r="G2319" s="50" t="s">
        <v>14336</v>
      </c>
      <c r="H2319" s="52">
        <v>44683.10355324074</v>
      </c>
      <c r="I2319" s="50"/>
      <c r="J2319" s="50"/>
      <c r="K2319" s="50" t="s">
        <v>10643</v>
      </c>
      <c r="L2319" s="50" t="s">
        <v>10644</v>
      </c>
      <c r="M2319" s="50" t="s">
        <v>14337</v>
      </c>
      <c r="N2319" s="50" t="s">
        <v>14338</v>
      </c>
      <c r="O2319" s="53" t="s">
        <v>217</v>
      </c>
      <c r="P2319" s="55" t="s">
        <v>14339</v>
      </c>
      <c r="Q2319" s="50">
        <v>49.0</v>
      </c>
      <c r="R2319" s="50">
        <v>146.0</v>
      </c>
      <c r="S2319" s="50"/>
      <c r="T2319" s="56" t="s">
        <v>14340</v>
      </c>
      <c r="U2319" s="53" t="s">
        <v>14341</v>
      </c>
    </row>
    <row r="2320">
      <c r="A2320" s="54" t="s">
        <v>14342</v>
      </c>
      <c r="B2320" s="50" t="s">
        <v>14230</v>
      </c>
      <c r="C2320" s="51" t="s">
        <v>1209</v>
      </c>
      <c r="D2320" s="51"/>
      <c r="E2320" s="51"/>
      <c r="F2320" s="51"/>
      <c r="G2320" s="50" t="s">
        <v>14343</v>
      </c>
      <c r="H2320" s="52">
        <v>44683.10083333333</v>
      </c>
      <c r="I2320" s="50"/>
      <c r="J2320" s="50"/>
      <c r="K2320" s="50"/>
      <c r="L2320" s="50"/>
      <c r="M2320" s="50" t="s">
        <v>14232</v>
      </c>
      <c r="N2320" s="50"/>
      <c r="O2320" s="53" t="s">
        <v>92</v>
      </c>
      <c r="P2320" s="55" t="s">
        <v>354</v>
      </c>
      <c r="Q2320" s="50">
        <v>77.0</v>
      </c>
      <c r="R2320" s="50">
        <v>148.0</v>
      </c>
      <c r="S2320" s="50" t="s">
        <v>14233</v>
      </c>
      <c r="T2320" s="56" t="s">
        <v>14344</v>
      </c>
      <c r="U2320" s="53" t="s">
        <v>1214</v>
      </c>
    </row>
    <row r="2321">
      <c r="A2321" s="54" t="s">
        <v>14345</v>
      </c>
      <c r="B2321" s="50" t="s">
        <v>14230</v>
      </c>
      <c r="C2321" s="51" t="s">
        <v>316</v>
      </c>
      <c r="D2321" s="51"/>
      <c r="E2321" s="51"/>
      <c r="F2321" s="51"/>
      <c r="G2321" s="50" t="s">
        <v>14346</v>
      </c>
      <c r="H2321" s="52">
        <v>44683.100277777776</v>
      </c>
      <c r="I2321" s="50"/>
      <c r="J2321" s="50"/>
      <c r="K2321" s="50"/>
      <c r="L2321" s="50"/>
      <c r="M2321" s="50" t="s">
        <v>14232</v>
      </c>
      <c r="N2321" s="50"/>
      <c r="O2321" s="53" t="s">
        <v>92</v>
      </c>
      <c r="P2321" s="55" t="s">
        <v>354</v>
      </c>
      <c r="Q2321" s="50">
        <v>77.0</v>
      </c>
      <c r="R2321" s="50">
        <v>148.0</v>
      </c>
      <c r="S2321" s="50" t="s">
        <v>14233</v>
      </c>
      <c r="T2321" s="56" t="s">
        <v>14347</v>
      </c>
      <c r="U2321" s="53" t="s">
        <v>322</v>
      </c>
    </row>
    <row r="2322">
      <c r="A2322" s="54" t="s">
        <v>14348</v>
      </c>
      <c r="B2322" s="50" t="s">
        <v>14230</v>
      </c>
      <c r="C2322" s="51" t="s">
        <v>329</v>
      </c>
      <c r="D2322" s="51"/>
      <c r="E2322" s="51"/>
      <c r="F2322" s="51"/>
      <c r="G2322" s="50" t="s">
        <v>14349</v>
      </c>
      <c r="H2322" s="52">
        <v>44683.10010416667</v>
      </c>
      <c r="I2322" s="50"/>
      <c r="J2322" s="50"/>
      <c r="K2322" s="50"/>
      <c r="L2322" s="50"/>
      <c r="M2322" s="50" t="s">
        <v>14232</v>
      </c>
      <c r="N2322" s="50"/>
      <c r="O2322" s="53" t="s">
        <v>92</v>
      </c>
      <c r="P2322" s="55" t="s">
        <v>354</v>
      </c>
      <c r="Q2322" s="50">
        <v>77.0</v>
      </c>
      <c r="R2322" s="50">
        <v>148.0</v>
      </c>
      <c r="S2322" s="50" t="s">
        <v>14233</v>
      </c>
      <c r="T2322" s="56" t="s">
        <v>14350</v>
      </c>
      <c r="U2322" s="53" t="s">
        <v>332</v>
      </c>
    </row>
    <row r="2323">
      <c r="A2323" s="54" t="s">
        <v>14351</v>
      </c>
      <c r="B2323" s="50" t="s">
        <v>14230</v>
      </c>
      <c r="C2323" s="51" t="s">
        <v>335</v>
      </c>
      <c r="D2323" s="51"/>
      <c r="E2323" s="51"/>
      <c r="F2323" s="51"/>
      <c r="G2323" s="50" t="s">
        <v>14352</v>
      </c>
      <c r="H2323" s="52">
        <v>44683.09996527778</v>
      </c>
      <c r="I2323" s="50"/>
      <c r="J2323" s="50"/>
      <c r="K2323" s="50"/>
      <c r="L2323" s="50"/>
      <c r="M2323" s="50" t="s">
        <v>14232</v>
      </c>
      <c r="N2323" s="50"/>
      <c r="O2323" s="53" t="s">
        <v>92</v>
      </c>
      <c r="P2323" s="55" t="s">
        <v>354</v>
      </c>
      <c r="Q2323" s="50">
        <v>77.0</v>
      </c>
      <c r="R2323" s="50">
        <v>148.0</v>
      </c>
      <c r="S2323" s="50" t="s">
        <v>14233</v>
      </c>
      <c r="T2323" s="56" t="s">
        <v>14353</v>
      </c>
      <c r="U2323" s="53" t="s">
        <v>339</v>
      </c>
    </row>
    <row r="2324">
      <c r="A2324" s="54" t="s">
        <v>14354</v>
      </c>
      <c r="B2324" s="50" t="s">
        <v>14230</v>
      </c>
      <c r="C2324" s="51" t="s">
        <v>363</v>
      </c>
      <c r="D2324" s="51"/>
      <c r="E2324" s="51"/>
      <c r="F2324" s="51"/>
      <c r="G2324" s="50" t="s">
        <v>14355</v>
      </c>
      <c r="H2324" s="52">
        <v>44683.099745370375</v>
      </c>
      <c r="I2324" s="50"/>
      <c r="J2324" s="50"/>
      <c r="K2324" s="50"/>
      <c r="L2324" s="50"/>
      <c r="M2324" s="50" t="s">
        <v>14232</v>
      </c>
      <c r="N2324" s="50"/>
      <c r="O2324" s="53" t="s">
        <v>92</v>
      </c>
      <c r="P2324" s="55" t="s">
        <v>354</v>
      </c>
      <c r="Q2324" s="50">
        <v>77.0</v>
      </c>
      <c r="R2324" s="50">
        <v>148.0</v>
      </c>
      <c r="S2324" s="50" t="s">
        <v>14233</v>
      </c>
      <c r="T2324" s="56" t="s">
        <v>14356</v>
      </c>
      <c r="U2324" s="53" t="s">
        <v>332</v>
      </c>
    </row>
    <row r="2325">
      <c r="A2325" s="54" t="s">
        <v>14357</v>
      </c>
      <c r="B2325" s="50" t="s">
        <v>14230</v>
      </c>
      <c r="C2325" s="51" t="s">
        <v>367</v>
      </c>
      <c r="D2325" s="51"/>
      <c r="E2325" s="51"/>
      <c r="F2325" s="51"/>
      <c r="G2325" s="50" t="s">
        <v>14358</v>
      </c>
      <c r="H2325" s="52">
        <v>44683.09951388889</v>
      </c>
      <c r="I2325" s="50"/>
      <c r="J2325" s="50"/>
      <c r="K2325" s="50"/>
      <c r="L2325" s="50"/>
      <c r="M2325" s="50" t="s">
        <v>14232</v>
      </c>
      <c r="N2325" s="50"/>
      <c r="O2325" s="53" t="s">
        <v>92</v>
      </c>
      <c r="P2325" s="55" t="s">
        <v>354</v>
      </c>
      <c r="Q2325" s="50">
        <v>77.0</v>
      </c>
      <c r="R2325" s="50">
        <v>148.0</v>
      </c>
      <c r="S2325" s="50" t="s">
        <v>14233</v>
      </c>
      <c r="T2325" s="56" t="s">
        <v>14359</v>
      </c>
      <c r="U2325" s="53" t="s">
        <v>370</v>
      </c>
    </row>
    <row r="2326">
      <c r="A2326" s="54" t="s">
        <v>14360</v>
      </c>
      <c r="B2326" s="50" t="s">
        <v>14361</v>
      </c>
      <c r="C2326" s="51" t="s">
        <v>5179</v>
      </c>
      <c r="D2326" s="51"/>
      <c r="E2326" s="51"/>
      <c r="F2326" s="51"/>
      <c r="G2326" s="50" t="s">
        <v>14362</v>
      </c>
      <c r="H2326" s="52">
        <v>44683.09731481482</v>
      </c>
      <c r="I2326" s="50"/>
      <c r="J2326" s="50"/>
      <c r="K2326" s="50"/>
      <c r="L2326" s="50"/>
      <c r="M2326" s="50" t="s">
        <v>14363</v>
      </c>
      <c r="N2326" s="50"/>
      <c r="O2326" s="53" t="s">
        <v>60</v>
      </c>
      <c r="P2326" s="55" t="s">
        <v>14364</v>
      </c>
      <c r="Q2326" s="50">
        <v>2233.0</v>
      </c>
      <c r="R2326" s="50">
        <v>5000.0</v>
      </c>
      <c r="S2326" s="50"/>
      <c r="T2326" s="56" t="s">
        <v>14365</v>
      </c>
      <c r="U2326" s="53" t="s">
        <v>5185</v>
      </c>
    </row>
    <row r="2327">
      <c r="A2327" s="54" t="s">
        <v>14366</v>
      </c>
      <c r="B2327" s="50" t="s">
        <v>14367</v>
      </c>
      <c r="C2327" s="51" t="s">
        <v>14368</v>
      </c>
      <c r="D2327" s="51"/>
      <c r="E2327" s="51"/>
      <c r="F2327" s="51"/>
      <c r="G2327" s="50" t="s">
        <v>14369</v>
      </c>
      <c r="H2327" s="52">
        <v>44683.094618055555</v>
      </c>
      <c r="I2327" s="50"/>
      <c r="J2327" s="50"/>
      <c r="K2327" s="50"/>
      <c r="L2327" s="50"/>
      <c r="M2327" s="50" t="s">
        <v>14370</v>
      </c>
      <c r="N2327" s="50"/>
      <c r="O2327" s="53" t="s">
        <v>92</v>
      </c>
      <c r="P2327" s="55" t="s">
        <v>14371</v>
      </c>
      <c r="Q2327" s="50">
        <v>25868.0</v>
      </c>
      <c r="R2327" s="50">
        <v>24648.0</v>
      </c>
      <c r="S2327" s="50" t="s">
        <v>14372</v>
      </c>
      <c r="T2327" s="56" t="s">
        <v>14373</v>
      </c>
      <c r="U2327" s="53" t="s">
        <v>14374</v>
      </c>
    </row>
    <row r="2328">
      <c r="A2328" s="54" t="s">
        <v>14375</v>
      </c>
      <c r="B2328" s="50" t="s">
        <v>11099</v>
      </c>
      <c r="C2328" s="51" t="s">
        <v>14376</v>
      </c>
      <c r="D2328" s="51"/>
      <c r="E2328" s="51"/>
      <c r="F2328" s="51"/>
      <c r="G2328" s="50" t="s">
        <v>14377</v>
      </c>
      <c r="H2328" s="52">
        <v>44683.09435185185</v>
      </c>
      <c r="I2328" s="50"/>
      <c r="J2328" s="50"/>
      <c r="K2328" s="50"/>
      <c r="L2328" s="50"/>
      <c r="M2328" s="50" t="s">
        <v>11102</v>
      </c>
      <c r="N2328" s="50"/>
      <c r="O2328" s="53" t="s">
        <v>11103</v>
      </c>
      <c r="P2328" s="55" t="s">
        <v>11104</v>
      </c>
      <c r="Q2328" s="50">
        <v>1585.0</v>
      </c>
      <c r="R2328" s="50">
        <v>12.0</v>
      </c>
      <c r="S2328" s="50"/>
      <c r="T2328" s="56" t="s">
        <v>14378</v>
      </c>
      <c r="U2328" s="53" t="s">
        <v>14379</v>
      </c>
    </row>
    <row r="2329">
      <c r="A2329" s="54" t="s">
        <v>14380</v>
      </c>
      <c r="B2329" s="50" t="s">
        <v>14381</v>
      </c>
      <c r="C2329" s="51" t="s">
        <v>367</v>
      </c>
      <c r="D2329" s="51"/>
      <c r="E2329" s="51"/>
      <c r="F2329" s="51"/>
      <c r="G2329" s="50" t="s">
        <v>14382</v>
      </c>
      <c r="H2329" s="52">
        <v>44683.094189814816</v>
      </c>
      <c r="I2329" s="50"/>
      <c r="J2329" s="50"/>
      <c r="K2329" s="50"/>
      <c r="L2329" s="50"/>
      <c r="M2329" s="50" t="s">
        <v>14383</v>
      </c>
      <c r="N2329" s="50"/>
      <c r="O2329" s="53" t="s">
        <v>92</v>
      </c>
      <c r="P2329" s="55" t="s">
        <v>14384</v>
      </c>
      <c r="Q2329" s="50">
        <v>1540.0</v>
      </c>
      <c r="R2329" s="50">
        <v>1630.0</v>
      </c>
      <c r="S2329" s="50" t="s">
        <v>5407</v>
      </c>
      <c r="T2329" s="56" t="s">
        <v>14385</v>
      </c>
      <c r="U2329" s="53" t="s">
        <v>370</v>
      </c>
    </row>
    <row r="2330">
      <c r="A2330" s="54" t="s">
        <v>14386</v>
      </c>
      <c r="B2330" s="50" t="s">
        <v>14387</v>
      </c>
      <c r="C2330" s="51" t="s">
        <v>367</v>
      </c>
      <c r="D2330" s="51"/>
      <c r="E2330" s="51"/>
      <c r="F2330" s="51"/>
      <c r="G2330" s="50" t="s">
        <v>14388</v>
      </c>
      <c r="H2330" s="52">
        <v>44683.092627314814</v>
      </c>
      <c r="I2330" s="50"/>
      <c r="J2330" s="50"/>
      <c r="K2330" s="50"/>
      <c r="L2330" s="50"/>
      <c r="M2330" s="50" t="s">
        <v>14389</v>
      </c>
      <c r="N2330" s="50"/>
      <c r="O2330" s="53" t="s">
        <v>92</v>
      </c>
      <c r="P2330" s="55" t="s">
        <v>14390</v>
      </c>
      <c r="Q2330" s="50">
        <v>232.0</v>
      </c>
      <c r="R2330" s="50">
        <v>1167.0</v>
      </c>
      <c r="S2330" s="50"/>
      <c r="T2330" s="56" t="s">
        <v>14391</v>
      </c>
      <c r="U2330" s="53" t="s">
        <v>370</v>
      </c>
    </row>
    <row r="2331">
      <c r="A2331" s="54" t="s">
        <v>14392</v>
      </c>
      <c r="B2331" s="50" t="s">
        <v>14393</v>
      </c>
      <c r="C2331" s="51" t="s">
        <v>14394</v>
      </c>
      <c r="D2331" s="51"/>
      <c r="E2331" s="51"/>
      <c r="F2331" s="51"/>
      <c r="G2331" s="50" t="s">
        <v>14395</v>
      </c>
      <c r="H2331" s="52">
        <v>44683.09212962963</v>
      </c>
      <c r="I2331" s="50"/>
      <c r="J2331" s="50"/>
      <c r="K2331" s="50"/>
      <c r="L2331" s="50"/>
      <c r="M2331" s="50" t="s">
        <v>14396</v>
      </c>
      <c r="N2331" s="50"/>
      <c r="O2331" s="53" t="s">
        <v>70</v>
      </c>
      <c r="P2331" s="55" t="s">
        <v>14397</v>
      </c>
      <c r="Q2331" s="50">
        <v>3436.0</v>
      </c>
      <c r="R2331" s="50">
        <v>4996.0</v>
      </c>
      <c r="S2331" s="50" t="s">
        <v>14398</v>
      </c>
      <c r="T2331" s="56" t="s">
        <v>14399</v>
      </c>
      <c r="U2331" s="53" t="s">
        <v>14400</v>
      </c>
    </row>
    <row r="2332">
      <c r="A2332" s="54" t="s">
        <v>14401</v>
      </c>
      <c r="B2332" s="50" t="s">
        <v>4729</v>
      </c>
      <c r="C2332" s="51" t="s">
        <v>1195</v>
      </c>
      <c r="D2332" s="51"/>
      <c r="E2332" s="51"/>
      <c r="F2332" s="51"/>
      <c r="G2332" s="50" t="s">
        <v>14402</v>
      </c>
      <c r="H2332" s="52">
        <v>44683.09211805556</v>
      </c>
      <c r="I2332" s="50"/>
      <c r="J2332" s="50"/>
      <c r="K2332" s="50"/>
      <c r="L2332" s="50"/>
      <c r="M2332" s="50" t="s">
        <v>4731</v>
      </c>
      <c r="N2332" s="50"/>
      <c r="O2332" s="53" t="s">
        <v>70</v>
      </c>
      <c r="P2332" s="55" t="s">
        <v>4732</v>
      </c>
      <c r="Q2332" s="50">
        <v>2453.0</v>
      </c>
      <c r="R2332" s="50">
        <v>1125.0</v>
      </c>
      <c r="S2332" s="50"/>
      <c r="T2332" s="56" t="s">
        <v>14403</v>
      </c>
      <c r="U2332" s="53" t="s">
        <v>691</v>
      </c>
    </row>
    <row r="2333">
      <c r="A2333" s="54" t="s">
        <v>14404</v>
      </c>
      <c r="B2333" s="50" t="s">
        <v>14405</v>
      </c>
      <c r="C2333" s="51" t="s">
        <v>316</v>
      </c>
      <c r="D2333" s="51"/>
      <c r="E2333" s="51"/>
      <c r="F2333" s="51"/>
      <c r="G2333" s="50" t="s">
        <v>14406</v>
      </c>
      <c r="H2333" s="52">
        <v>44683.08957175926</v>
      </c>
      <c r="I2333" s="50"/>
      <c r="J2333" s="50"/>
      <c r="K2333" s="50"/>
      <c r="L2333" s="50"/>
      <c r="M2333" s="50" t="s">
        <v>14407</v>
      </c>
      <c r="N2333" s="50"/>
      <c r="O2333" s="53" t="s">
        <v>92</v>
      </c>
      <c r="P2333" s="55" t="s">
        <v>14408</v>
      </c>
      <c r="Q2333" s="50">
        <v>913.0</v>
      </c>
      <c r="R2333" s="50">
        <v>1309.0</v>
      </c>
      <c r="S2333" s="50" t="s">
        <v>129</v>
      </c>
      <c r="T2333" s="56" t="s">
        <v>14409</v>
      </c>
      <c r="U2333" s="53" t="s">
        <v>322</v>
      </c>
    </row>
    <row r="2334">
      <c r="A2334" s="54" t="s">
        <v>14410</v>
      </c>
      <c r="B2334" s="50" t="s">
        <v>14405</v>
      </c>
      <c r="C2334" s="51" t="s">
        <v>329</v>
      </c>
      <c r="D2334" s="51"/>
      <c r="E2334" s="51"/>
      <c r="F2334" s="51"/>
      <c r="G2334" s="50" t="s">
        <v>14411</v>
      </c>
      <c r="H2334" s="52">
        <v>44683.089467592596</v>
      </c>
      <c r="I2334" s="50"/>
      <c r="J2334" s="50"/>
      <c r="K2334" s="50"/>
      <c r="L2334" s="50"/>
      <c r="M2334" s="50" t="s">
        <v>14407</v>
      </c>
      <c r="N2334" s="50"/>
      <c r="O2334" s="53" t="s">
        <v>92</v>
      </c>
      <c r="P2334" s="55" t="s">
        <v>14408</v>
      </c>
      <c r="Q2334" s="50">
        <v>913.0</v>
      </c>
      <c r="R2334" s="50">
        <v>1309.0</v>
      </c>
      <c r="S2334" s="50" t="s">
        <v>129</v>
      </c>
      <c r="T2334" s="56" t="s">
        <v>14412</v>
      </c>
      <c r="U2334" s="53" t="s">
        <v>332</v>
      </c>
    </row>
    <row r="2335">
      <c r="A2335" s="54" t="s">
        <v>14413</v>
      </c>
      <c r="B2335" s="50" t="s">
        <v>14405</v>
      </c>
      <c r="C2335" s="51" t="s">
        <v>335</v>
      </c>
      <c r="D2335" s="51"/>
      <c r="E2335" s="51"/>
      <c r="F2335" s="51"/>
      <c r="G2335" s="50" t="s">
        <v>14414</v>
      </c>
      <c r="H2335" s="52">
        <v>44683.089374999996</v>
      </c>
      <c r="I2335" s="50"/>
      <c r="J2335" s="50"/>
      <c r="K2335" s="50"/>
      <c r="L2335" s="50"/>
      <c r="M2335" s="50" t="s">
        <v>14407</v>
      </c>
      <c r="N2335" s="50"/>
      <c r="O2335" s="53" t="s">
        <v>92</v>
      </c>
      <c r="P2335" s="55" t="s">
        <v>14408</v>
      </c>
      <c r="Q2335" s="50">
        <v>913.0</v>
      </c>
      <c r="R2335" s="50">
        <v>1309.0</v>
      </c>
      <c r="S2335" s="50" t="s">
        <v>129</v>
      </c>
      <c r="T2335" s="56" t="s">
        <v>14415</v>
      </c>
      <c r="U2335" s="53" t="s">
        <v>339</v>
      </c>
    </row>
    <row r="2336">
      <c r="A2336" s="54" t="s">
        <v>14416</v>
      </c>
      <c r="B2336" s="50" t="s">
        <v>14417</v>
      </c>
      <c r="C2336" s="51" t="s">
        <v>367</v>
      </c>
      <c r="D2336" s="51"/>
      <c r="E2336" s="51"/>
      <c r="F2336" s="51"/>
      <c r="G2336" s="50" t="s">
        <v>14418</v>
      </c>
      <c r="H2336" s="52">
        <v>44683.08928240741</v>
      </c>
      <c r="I2336" s="50"/>
      <c r="J2336" s="50"/>
      <c r="K2336" s="50"/>
      <c r="L2336" s="50"/>
      <c r="M2336" s="50" t="s">
        <v>14419</v>
      </c>
      <c r="N2336" s="50"/>
      <c r="O2336" s="53" t="s">
        <v>70</v>
      </c>
      <c r="P2336" s="55" t="s">
        <v>354</v>
      </c>
      <c r="Q2336" s="50">
        <v>78.0</v>
      </c>
      <c r="R2336" s="50">
        <v>185.0</v>
      </c>
      <c r="S2336" s="50"/>
      <c r="T2336" s="56" t="s">
        <v>14420</v>
      </c>
      <c r="U2336" s="53" t="s">
        <v>370</v>
      </c>
    </row>
    <row r="2337">
      <c r="A2337" s="54" t="s">
        <v>14421</v>
      </c>
      <c r="B2337" s="50" t="s">
        <v>14405</v>
      </c>
      <c r="C2337" s="51" t="s">
        <v>363</v>
      </c>
      <c r="D2337" s="51"/>
      <c r="E2337" s="51"/>
      <c r="F2337" s="51"/>
      <c r="G2337" s="50" t="s">
        <v>14422</v>
      </c>
      <c r="H2337" s="52">
        <v>44683.089270833334</v>
      </c>
      <c r="I2337" s="50"/>
      <c r="J2337" s="50"/>
      <c r="K2337" s="50"/>
      <c r="L2337" s="50"/>
      <c r="M2337" s="50" t="s">
        <v>14407</v>
      </c>
      <c r="N2337" s="50"/>
      <c r="O2337" s="53" t="s">
        <v>92</v>
      </c>
      <c r="P2337" s="55" t="s">
        <v>14408</v>
      </c>
      <c r="Q2337" s="50">
        <v>913.0</v>
      </c>
      <c r="R2337" s="50">
        <v>1309.0</v>
      </c>
      <c r="S2337" s="50" t="s">
        <v>129</v>
      </c>
      <c r="T2337" s="56" t="s">
        <v>14423</v>
      </c>
      <c r="U2337" s="53" t="s">
        <v>332</v>
      </c>
    </row>
    <row r="2338">
      <c r="A2338" s="54" t="s">
        <v>14424</v>
      </c>
      <c r="B2338" s="50" t="s">
        <v>14405</v>
      </c>
      <c r="C2338" s="51" t="s">
        <v>367</v>
      </c>
      <c r="D2338" s="51"/>
      <c r="E2338" s="51"/>
      <c r="F2338" s="51"/>
      <c r="G2338" s="50" t="s">
        <v>14425</v>
      </c>
      <c r="H2338" s="52">
        <v>44683.08923611111</v>
      </c>
      <c r="I2338" s="50"/>
      <c r="J2338" s="50"/>
      <c r="K2338" s="50"/>
      <c r="L2338" s="50"/>
      <c r="M2338" s="50" t="s">
        <v>14407</v>
      </c>
      <c r="N2338" s="50"/>
      <c r="O2338" s="53" t="s">
        <v>92</v>
      </c>
      <c r="P2338" s="55" t="s">
        <v>14408</v>
      </c>
      <c r="Q2338" s="50">
        <v>913.0</v>
      </c>
      <c r="R2338" s="50">
        <v>1309.0</v>
      </c>
      <c r="S2338" s="50" t="s">
        <v>129</v>
      </c>
      <c r="T2338" s="56" t="s">
        <v>14426</v>
      </c>
      <c r="U2338" s="53" t="s">
        <v>370</v>
      </c>
    </row>
    <row r="2339">
      <c r="A2339" s="54" t="s">
        <v>14427</v>
      </c>
      <c r="B2339" s="50" t="s">
        <v>14428</v>
      </c>
      <c r="C2339" s="51" t="s">
        <v>316</v>
      </c>
      <c r="D2339" s="51"/>
      <c r="E2339" s="51"/>
      <c r="F2339" s="51"/>
      <c r="G2339" s="50" t="s">
        <v>14429</v>
      </c>
      <c r="H2339" s="52">
        <v>44683.0875</v>
      </c>
      <c r="I2339" s="50"/>
      <c r="J2339" s="50"/>
      <c r="K2339" s="50"/>
      <c r="L2339" s="50"/>
      <c r="M2339" s="50" t="s">
        <v>14430</v>
      </c>
      <c r="N2339" s="50"/>
      <c r="O2339" s="53" t="s">
        <v>92</v>
      </c>
      <c r="P2339" s="55" t="s">
        <v>14431</v>
      </c>
      <c r="Q2339" s="50">
        <v>88.0</v>
      </c>
      <c r="R2339" s="50">
        <v>266.0</v>
      </c>
      <c r="S2339" s="50"/>
      <c r="T2339" s="56" t="s">
        <v>14432</v>
      </c>
      <c r="U2339" s="53" t="s">
        <v>322</v>
      </c>
    </row>
    <row r="2340">
      <c r="A2340" s="54" t="s">
        <v>14433</v>
      </c>
      <c r="B2340" s="50" t="s">
        <v>14434</v>
      </c>
      <c r="C2340" s="51" t="s">
        <v>14435</v>
      </c>
      <c r="D2340" s="51"/>
      <c r="E2340" s="51"/>
      <c r="F2340" s="51"/>
      <c r="G2340" s="50" t="s">
        <v>14436</v>
      </c>
      <c r="H2340" s="52">
        <v>44683.087488425925</v>
      </c>
      <c r="I2340" s="50"/>
      <c r="J2340" s="50"/>
      <c r="K2340" s="50"/>
      <c r="L2340" s="50"/>
      <c r="M2340" s="50" t="s">
        <v>14437</v>
      </c>
      <c r="N2340" s="50"/>
      <c r="O2340" s="53" t="s">
        <v>70</v>
      </c>
      <c r="P2340" s="55" t="s">
        <v>14438</v>
      </c>
      <c r="Q2340" s="50">
        <v>3323.0</v>
      </c>
      <c r="R2340" s="50">
        <v>5000.0</v>
      </c>
      <c r="S2340" s="50" t="s">
        <v>14439</v>
      </c>
      <c r="T2340" s="56" t="s">
        <v>14440</v>
      </c>
      <c r="U2340" s="53" t="s">
        <v>14441</v>
      </c>
    </row>
    <row r="2341">
      <c r="A2341" s="54" t="s">
        <v>14442</v>
      </c>
      <c r="B2341" s="50" t="s">
        <v>14428</v>
      </c>
      <c r="C2341" s="51" t="s">
        <v>329</v>
      </c>
      <c r="D2341" s="51"/>
      <c r="E2341" s="51"/>
      <c r="F2341" s="51"/>
      <c r="G2341" s="50" t="s">
        <v>14443</v>
      </c>
      <c r="H2341" s="52">
        <v>44683.08732638889</v>
      </c>
      <c r="I2341" s="50"/>
      <c r="J2341" s="50"/>
      <c r="K2341" s="50"/>
      <c r="L2341" s="50"/>
      <c r="M2341" s="50" t="s">
        <v>14430</v>
      </c>
      <c r="N2341" s="50"/>
      <c r="O2341" s="53" t="s">
        <v>92</v>
      </c>
      <c r="P2341" s="55" t="s">
        <v>14431</v>
      </c>
      <c r="Q2341" s="50">
        <v>88.0</v>
      </c>
      <c r="R2341" s="50">
        <v>266.0</v>
      </c>
      <c r="S2341" s="50"/>
      <c r="T2341" s="56" t="s">
        <v>14444</v>
      </c>
      <c r="U2341" s="53" t="s">
        <v>332</v>
      </c>
    </row>
    <row r="2342">
      <c r="A2342" s="54" t="s">
        <v>14445</v>
      </c>
      <c r="B2342" s="50" t="s">
        <v>14428</v>
      </c>
      <c r="C2342" s="51" t="s">
        <v>367</v>
      </c>
      <c r="D2342" s="51"/>
      <c r="E2342" s="51"/>
      <c r="F2342" s="51"/>
      <c r="G2342" s="50" t="s">
        <v>14446</v>
      </c>
      <c r="H2342" s="52">
        <v>44683.08715277778</v>
      </c>
      <c r="I2342" s="50"/>
      <c r="J2342" s="50"/>
      <c r="K2342" s="50"/>
      <c r="L2342" s="50"/>
      <c r="M2342" s="50" t="s">
        <v>14430</v>
      </c>
      <c r="N2342" s="50"/>
      <c r="O2342" s="53" t="s">
        <v>92</v>
      </c>
      <c r="P2342" s="55" t="s">
        <v>14431</v>
      </c>
      <c r="Q2342" s="50">
        <v>88.0</v>
      </c>
      <c r="R2342" s="50">
        <v>266.0</v>
      </c>
      <c r="S2342" s="50"/>
      <c r="T2342" s="56" t="s">
        <v>14447</v>
      </c>
      <c r="U2342" s="53" t="s">
        <v>370</v>
      </c>
    </row>
    <row r="2343">
      <c r="A2343" s="54" t="s">
        <v>14448</v>
      </c>
      <c r="B2343" s="50" t="s">
        <v>13743</v>
      </c>
      <c r="C2343" s="51" t="s">
        <v>14449</v>
      </c>
      <c r="D2343" s="51"/>
      <c r="E2343" s="51"/>
      <c r="F2343" s="51"/>
      <c r="G2343" s="50" t="s">
        <v>14450</v>
      </c>
      <c r="H2343" s="52">
        <v>44683.08644675926</v>
      </c>
      <c r="I2343" s="50"/>
      <c r="J2343" s="50"/>
      <c r="K2343" s="50"/>
      <c r="L2343" s="50"/>
      <c r="M2343" s="50" t="s">
        <v>13746</v>
      </c>
      <c r="N2343" s="50"/>
      <c r="O2343" s="53" t="s">
        <v>92</v>
      </c>
      <c r="P2343" s="55" t="s">
        <v>13747</v>
      </c>
      <c r="Q2343" s="50">
        <v>1165.0</v>
      </c>
      <c r="R2343" s="50">
        <v>1240.0</v>
      </c>
      <c r="S2343" s="50" t="s">
        <v>658</v>
      </c>
      <c r="T2343" s="56" t="s">
        <v>14451</v>
      </c>
      <c r="U2343" s="53" t="s">
        <v>14452</v>
      </c>
    </row>
    <row r="2344">
      <c r="A2344" s="54" t="s">
        <v>14453</v>
      </c>
      <c r="B2344" s="50" t="s">
        <v>14454</v>
      </c>
      <c r="C2344" s="51" t="s">
        <v>367</v>
      </c>
      <c r="D2344" s="51"/>
      <c r="E2344" s="51"/>
      <c r="F2344" s="51"/>
      <c r="G2344" s="50" t="s">
        <v>14455</v>
      </c>
      <c r="H2344" s="52">
        <v>44683.08533564815</v>
      </c>
      <c r="I2344" s="50"/>
      <c r="J2344" s="50"/>
      <c r="K2344" s="50"/>
      <c r="L2344" s="50"/>
      <c r="M2344" s="50" t="s">
        <v>14456</v>
      </c>
      <c r="N2344" s="50"/>
      <c r="O2344" s="53" t="s">
        <v>92</v>
      </c>
      <c r="P2344" s="55" t="s">
        <v>14457</v>
      </c>
      <c r="Q2344" s="50">
        <v>2876.0</v>
      </c>
      <c r="R2344" s="50">
        <v>3193.0</v>
      </c>
      <c r="S2344" s="50" t="s">
        <v>887</v>
      </c>
      <c r="T2344" s="56" t="s">
        <v>14458</v>
      </c>
      <c r="U2344" s="53" t="s">
        <v>370</v>
      </c>
    </row>
    <row r="2345">
      <c r="A2345" s="54" t="s">
        <v>14459</v>
      </c>
      <c r="B2345" s="50" t="s">
        <v>14460</v>
      </c>
      <c r="C2345" s="51" t="s">
        <v>367</v>
      </c>
      <c r="D2345" s="51"/>
      <c r="E2345" s="51"/>
      <c r="F2345" s="51"/>
      <c r="G2345" s="50" t="s">
        <v>14461</v>
      </c>
      <c r="H2345" s="52">
        <v>44683.08459490741</v>
      </c>
      <c r="I2345" s="50"/>
      <c r="J2345" s="50"/>
      <c r="K2345" s="50"/>
      <c r="L2345" s="50"/>
      <c r="M2345" s="50" t="s">
        <v>14462</v>
      </c>
      <c r="N2345" s="50"/>
      <c r="O2345" s="53" t="s">
        <v>60</v>
      </c>
      <c r="P2345" s="55" t="s">
        <v>14463</v>
      </c>
      <c r="Q2345" s="50">
        <v>80.0</v>
      </c>
      <c r="R2345" s="50">
        <v>295.0</v>
      </c>
      <c r="S2345" s="50" t="s">
        <v>379</v>
      </c>
      <c r="T2345" s="56" t="s">
        <v>14464</v>
      </c>
      <c r="U2345" s="53" t="s">
        <v>370</v>
      </c>
    </row>
    <row r="2346">
      <c r="A2346" s="54" t="s">
        <v>14465</v>
      </c>
      <c r="B2346" s="50" t="s">
        <v>14466</v>
      </c>
      <c r="C2346" s="51" t="s">
        <v>14467</v>
      </c>
      <c r="D2346" s="51"/>
      <c r="E2346" s="51"/>
      <c r="F2346" s="51"/>
      <c r="G2346" s="50" t="s">
        <v>14468</v>
      </c>
      <c r="H2346" s="52">
        <v>44683.082453703704</v>
      </c>
      <c r="I2346" s="50"/>
      <c r="J2346" s="50"/>
      <c r="K2346" s="50"/>
      <c r="L2346" s="50"/>
      <c r="M2346" s="50" t="s">
        <v>14469</v>
      </c>
      <c r="N2346" s="50"/>
      <c r="O2346" s="53" t="s">
        <v>60</v>
      </c>
      <c r="P2346" s="55" t="s">
        <v>14470</v>
      </c>
      <c r="Q2346" s="50">
        <v>6.0</v>
      </c>
      <c r="R2346" s="50">
        <v>35.0</v>
      </c>
      <c r="S2346" s="50" t="s">
        <v>14471</v>
      </c>
      <c r="T2346" s="56" t="s">
        <v>14472</v>
      </c>
      <c r="U2346" s="53" t="s">
        <v>14473</v>
      </c>
    </row>
    <row r="2347">
      <c r="A2347" s="54" t="s">
        <v>14474</v>
      </c>
      <c r="B2347" s="50" t="s">
        <v>14475</v>
      </c>
      <c r="C2347" s="51" t="s">
        <v>316</v>
      </c>
      <c r="D2347" s="51"/>
      <c r="E2347" s="51"/>
      <c r="F2347" s="51"/>
      <c r="G2347" s="50" t="s">
        <v>14476</v>
      </c>
      <c r="H2347" s="52">
        <v>44683.08137731481</v>
      </c>
      <c r="I2347" s="50"/>
      <c r="J2347" s="50"/>
      <c r="K2347" s="50"/>
      <c r="L2347" s="50"/>
      <c r="M2347" s="50" t="s">
        <v>14477</v>
      </c>
      <c r="N2347" s="50"/>
      <c r="O2347" s="53" t="s">
        <v>92</v>
      </c>
      <c r="P2347" s="55" t="s">
        <v>14478</v>
      </c>
      <c r="Q2347" s="50">
        <v>137.0</v>
      </c>
      <c r="R2347" s="50">
        <v>334.0</v>
      </c>
      <c r="S2347" s="50" t="s">
        <v>219</v>
      </c>
      <c r="T2347" s="56" t="s">
        <v>14479</v>
      </c>
      <c r="U2347" s="53" t="s">
        <v>322</v>
      </c>
    </row>
    <row r="2348">
      <c r="A2348" s="54" t="s">
        <v>14480</v>
      </c>
      <c r="B2348" s="50" t="s">
        <v>14475</v>
      </c>
      <c r="C2348" s="51" t="s">
        <v>329</v>
      </c>
      <c r="D2348" s="51"/>
      <c r="E2348" s="51"/>
      <c r="F2348" s="51"/>
      <c r="G2348" s="50" t="s">
        <v>14481</v>
      </c>
      <c r="H2348" s="52">
        <v>44683.081296296295</v>
      </c>
      <c r="I2348" s="50"/>
      <c r="J2348" s="50"/>
      <c r="K2348" s="50"/>
      <c r="L2348" s="50"/>
      <c r="M2348" s="50" t="s">
        <v>14477</v>
      </c>
      <c r="N2348" s="50"/>
      <c r="O2348" s="53" t="s">
        <v>92</v>
      </c>
      <c r="P2348" s="55" t="s">
        <v>14478</v>
      </c>
      <c r="Q2348" s="50">
        <v>137.0</v>
      </c>
      <c r="R2348" s="50">
        <v>334.0</v>
      </c>
      <c r="S2348" s="50" t="s">
        <v>219</v>
      </c>
      <c r="T2348" s="56" t="s">
        <v>14482</v>
      </c>
      <c r="U2348" s="53" t="s">
        <v>332</v>
      </c>
    </row>
    <row r="2349">
      <c r="A2349" s="54" t="s">
        <v>14483</v>
      </c>
      <c r="B2349" s="50" t="s">
        <v>14475</v>
      </c>
      <c r="C2349" s="51" t="s">
        <v>367</v>
      </c>
      <c r="D2349" s="51"/>
      <c r="E2349" s="51"/>
      <c r="F2349" s="51"/>
      <c r="G2349" s="50" t="s">
        <v>14484</v>
      </c>
      <c r="H2349" s="52">
        <v>44683.0812037037</v>
      </c>
      <c r="I2349" s="50"/>
      <c r="J2349" s="50"/>
      <c r="K2349" s="50"/>
      <c r="L2349" s="50"/>
      <c r="M2349" s="50" t="s">
        <v>14477</v>
      </c>
      <c r="N2349" s="50"/>
      <c r="O2349" s="53" t="s">
        <v>92</v>
      </c>
      <c r="P2349" s="55" t="s">
        <v>14478</v>
      </c>
      <c r="Q2349" s="50">
        <v>137.0</v>
      </c>
      <c r="R2349" s="50">
        <v>334.0</v>
      </c>
      <c r="S2349" s="50" t="s">
        <v>219</v>
      </c>
      <c r="T2349" s="56" t="s">
        <v>14485</v>
      </c>
      <c r="U2349" s="53" t="s">
        <v>370</v>
      </c>
    </row>
    <row r="2350">
      <c r="A2350" s="54" t="s">
        <v>14486</v>
      </c>
      <c r="B2350" s="50" t="s">
        <v>14487</v>
      </c>
      <c r="C2350" s="51" t="s">
        <v>367</v>
      </c>
      <c r="D2350" s="51"/>
      <c r="E2350" s="51"/>
      <c r="F2350" s="51"/>
      <c r="G2350" s="50" t="s">
        <v>14488</v>
      </c>
      <c r="H2350" s="52">
        <v>44683.08094907408</v>
      </c>
      <c r="I2350" s="50"/>
      <c r="J2350" s="50"/>
      <c r="K2350" s="50"/>
      <c r="L2350" s="50"/>
      <c r="M2350" s="50" t="s">
        <v>14489</v>
      </c>
      <c r="N2350" s="50"/>
      <c r="O2350" s="53" t="s">
        <v>70</v>
      </c>
      <c r="P2350" s="55" t="s">
        <v>14490</v>
      </c>
      <c r="Q2350" s="50">
        <v>7262.0</v>
      </c>
      <c r="R2350" s="50">
        <v>7797.0</v>
      </c>
      <c r="S2350" s="50" t="s">
        <v>14491</v>
      </c>
      <c r="T2350" s="56" t="s">
        <v>14492</v>
      </c>
      <c r="U2350" s="53" t="s">
        <v>370</v>
      </c>
    </row>
    <row r="2351">
      <c r="A2351" s="54" t="s">
        <v>14493</v>
      </c>
      <c r="B2351" s="50" t="s">
        <v>14494</v>
      </c>
      <c r="C2351" s="51" t="s">
        <v>14495</v>
      </c>
      <c r="D2351" s="51"/>
      <c r="E2351" s="51"/>
      <c r="F2351" s="51"/>
      <c r="G2351" s="50" t="s">
        <v>14496</v>
      </c>
      <c r="H2351" s="52">
        <v>44683.077673611115</v>
      </c>
      <c r="I2351" s="50"/>
      <c r="J2351" s="50"/>
      <c r="K2351" s="50"/>
      <c r="L2351" s="50"/>
      <c r="M2351" s="50" t="s">
        <v>14497</v>
      </c>
      <c r="N2351" s="50"/>
      <c r="O2351" s="53" t="s">
        <v>70</v>
      </c>
      <c r="P2351" s="55" t="s">
        <v>14498</v>
      </c>
      <c r="Q2351" s="50">
        <v>1568.0</v>
      </c>
      <c r="R2351" s="50">
        <v>5002.0</v>
      </c>
      <c r="S2351" s="50"/>
      <c r="T2351" s="56" t="s">
        <v>14499</v>
      </c>
      <c r="U2351" s="53" t="s">
        <v>14500</v>
      </c>
    </row>
    <row r="2352">
      <c r="A2352" s="54" t="s">
        <v>14501</v>
      </c>
      <c r="B2352" s="50" t="s">
        <v>14502</v>
      </c>
      <c r="C2352" s="51" t="s">
        <v>367</v>
      </c>
      <c r="D2352" s="51"/>
      <c r="E2352" s="51"/>
      <c r="F2352" s="51"/>
      <c r="G2352" s="50" t="s">
        <v>14503</v>
      </c>
      <c r="H2352" s="52">
        <v>44683.0766087963</v>
      </c>
      <c r="I2352" s="50"/>
      <c r="J2352" s="50"/>
      <c r="K2352" s="50"/>
      <c r="L2352" s="50"/>
      <c r="M2352" s="50" t="s">
        <v>14504</v>
      </c>
      <c r="N2352" s="50"/>
      <c r="O2352" s="53" t="s">
        <v>92</v>
      </c>
      <c r="P2352" s="55" t="s">
        <v>14505</v>
      </c>
      <c r="Q2352" s="50">
        <v>208.0</v>
      </c>
      <c r="R2352" s="50">
        <v>385.0</v>
      </c>
      <c r="S2352" s="50" t="s">
        <v>14506</v>
      </c>
      <c r="T2352" s="56" t="s">
        <v>14507</v>
      </c>
      <c r="U2352" s="53" t="s">
        <v>370</v>
      </c>
    </row>
    <row r="2353">
      <c r="A2353" s="54" t="s">
        <v>14508</v>
      </c>
      <c r="B2353" s="50" t="s">
        <v>14509</v>
      </c>
      <c r="C2353" s="51" t="s">
        <v>14510</v>
      </c>
      <c r="D2353" s="51"/>
      <c r="E2353" s="51"/>
      <c r="F2353" s="51"/>
      <c r="G2353" s="50" t="s">
        <v>14511</v>
      </c>
      <c r="H2353" s="52">
        <v>44683.076574074075</v>
      </c>
      <c r="I2353" s="50"/>
      <c r="J2353" s="50"/>
      <c r="K2353" s="50"/>
      <c r="L2353" s="50"/>
      <c r="M2353" s="50" t="s">
        <v>14512</v>
      </c>
      <c r="N2353" s="50"/>
      <c r="O2353" s="53" t="s">
        <v>92</v>
      </c>
      <c r="P2353" s="55" t="s">
        <v>14513</v>
      </c>
      <c r="Q2353" s="50">
        <v>3786.0</v>
      </c>
      <c r="R2353" s="50">
        <v>4994.0</v>
      </c>
      <c r="S2353" s="50" t="s">
        <v>14514</v>
      </c>
      <c r="T2353" s="56" t="s">
        <v>14515</v>
      </c>
      <c r="U2353" s="53" t="s">
        <v>14516</v>
      </c>
    </row>
    <row r="2354">
      <c r="A2354" s="54" t="s">
        <v>14517</v>
      </c>
      <c r="B2354" s="50" t="s">
        <v>14518</v>
      </c>
      <c r="C2354" s="51" t="s">
        <v>367</v>
      </c>
      <c r="D2354" s="51"/>
      <c r="E2354" s="51"/>
      <c r="F2354" s="51"/>
      <c r="G2354" s="50" t="s">
        <v>14519</v>
      </c>
      <c r="H2354" s="52">
        <v>44683.07612268519</v>
      </c>
      <c r="I2354" s="50"/>
      <c r="J2354" s="50"/>
      <c r="K2354" s="50"/>
      <c r="L2354" s="50"/>
      <c r="M2354" s="50" t="s">
        <v>14520</v>
      </c>
      <c r="N2354" s="50"/>
      <c r="O2354" s="53" t="s">
        <v>92</v>
      </c>
      <c r="P2354" s="55" t="s">
        <v>14521</v>
      </c>
      <c r="Q2354" s="50">
        <v>656.0</v>
      </c>
      <c r="R2354" s="50">
        <v>1275.0</v>
      </c>
      <c r="S2354" s="50"/>
      <c r="T2354" s="56" t="s">
        <v>14522</v>
      </c>
      <c r="U2354" s="53" t="s">
        <v>370</v>
      </c>
    </row>
    <row r="2355">
      <c r="A2355" s="54" t="s">
        <v>14523</v>
      </c>
      <c r="B2355" s="50" t="s">
        <v>14524</v>
      </c>
      <c r="C2355" s="51" t="s">
        <v>1195</v>
      </c>
      <c r="D2355" s="51"/>
      <c r="E2355" s="51"/>
      <c r="F2355" s="51"/>
      <c r="G2355" s="50" t="s">
        <v>14525</v>
      </c>
      <c r="H2355" s="52">
        <v>44683.07590277778</v>
      </c>
      <c r="I2355" s="50"/>
      <c r="J2355" s="50"/>
      <c r="K2355" s="50"/>
      <c r="L2355" s="50"/>
      <c r="M2355" s="50" t="s">
        <v>14526</v>
      </c>
      <c r="N2355" s="50"/>
      <c r="O2355" s="53" t="s">
        <v>217</v>
      </c>
      <c r="P2355" s="55" t="s">
        <v>14527</v>
      </c>
      <c r="Q2355" s="50">
        <v>3225.0</v>
      </c>
      <c r="R2355" s="50">
        <v>4033.0</v>
      </c>
      <c r="S2355" s="50" t="s">
        <v>14528</v>
      </c>
      <c r="T2355" s="56" t="s">
        <v>14529</v>
      </c>
      <c r="U2355" s="53" t="s">
        <v>691</v>
      </c>
    </row>
    <row r="2356">
      <c r="A2356" s="54" t="s">
        <v>14530</v>
      </c>
      <c r="B2356" s="50" t="s">
        <v>2694</v>
      </c>
      <c r="C2356" s="51" t="s">
        <v>14376</v>
      </c>
      <c r="D2356" s="51"/>
      <c r="E2356" s="51"/>
      <c r="F2356" s="51"/>
      <c r="G2356" s="50" t="s">
        <v>14531</v>
      </c>
      <c r="H2356" s="52">
        <v>44683.07572916667</v>
      </c>
      <c r="I2356" s="50"/>
      <c r="J2356" s="50"/>
      <c r="K2356" s="50"/>
      <c r="L2356" s="50"/>
      <c r="M2356" s="50" t="s">
        <v>2697</v>
      </c>
      <c r="N2356" s="50"/>
      <c r="O2356" s="53" t="s">
        <v>2698</v>
      </c>
      <c r="P2356" s="55" t="s">
        <v>2699</v>
      </c>
      <c r="Q2356" s="50">
        <v>2177.0</v>
      </c>
      <c r="R2356" s="50">
        <v>508.0</v>
      </c>
      <c r="S2356" s="50" t="s">
        <v>2700</v>
      </c>
      <c r="T2356" s="56" t="s">
        <v>14532</v>
      </c>
      <c r="U2356" s="53" t="s">
        <v>14379</v>
      </c>
    </row>
    <row r="2357">
      <c r="A2357" s="54" t="s">
        <v>14533</v>
      </c>
      <c r="B2357" s="50" t="s">
        <v>14058</v>
      </c>
      <c r="C2357" s="51" t="s">
        <v>14534</v>
      </c>
      <c r="D2357" s="51"/>
      <c r="E2357" s="51"/>
      <c r="F2357" s="51"/>
      <c r="G2357" s="50" t="s">
        <v>14535</v>
      </c>
      <c r="H2357" s="52">
        <v>44683.07555555555</v>
      </c>
      <c r="I2357" s="50"/>
      <c r="J2357" s="50"/>
      <c r="K2357" s="50"/>
      <c r="L2357" s="50"/>
      <c r="M2357" s="50" t="s">
        <v>14061</v>
      </c>
      <c r="N2357" s="50"/>
      <c r="O2357" s="53" t="s">
        <v>60</v>
      </c>
      <c r="P2357" s="55" t="s">
        <v>354</v>
      </c>
      <c r="Q2357" s="50">
        <v>199.0</v>
      </c>
      <c r="R2357" s="50">
        <v>155.0</v>
      </c>
      <c r="S2357" s="50"/>
      <c r="T2357" s="56" t="s">
        <v>14536</v>
      </c>
      <c r="U2357" s="53" t="s">
        <v>14537</v>
      </c>
    </row>
    <row r="2358">
      <c r="A2358" s="54" t="s">
        <v>14538</v>
      </c>
      <c r="B2358" s="50" t="s">
        <v>14539</v>
      </c>
      <c r="C2358" s="51" t="s">
        <v>367</v>
      </c>
      <c r="D2358" s="51"/>
      <c r="E2358" s="51"/>
      <c r="F2358" s="51"/>
      <c r="G2358" s="50" t="s">
        <v>14540</v>
      </c>
      <c r="H2358" s="52">
        <v>44683.07440972222</v>
      </c>
      <c r="I2358" s="50"/>
      <c r="J2358" s="50"/>
      <c r="K2358" s="50"/>
      <c r="L2358" s="50"/>
      <c r="M2358" s="50" t="s">
        <v>14541</v>
      </c>
      <c r="N2358" s="50"/>
      <c r="O2358" s="53" t="s">
        <v>60</v>
      </c>
      <c r="P2358" s="55" t="s">
        <v>14542</v>
      </c>
      <c r="Q2358" s="50">
        <v>280.0</v>
      </c>
      <c r="R2358" s="50">
        <v>802.0</v>
      </c>
      <c r="S2358" s="50" t="s">
        <v>14543</v>
      </c>
      <c r="T2358" s="56" t="s">
        <v>14544</v>
      </c>
      <c r="U2358" s="53" t="s">
        <v>370</v>
      </c>
    </row>
    <row r="2359">
      <c r="A2359" s="54" t="s">
        <v>14545</v>
      </c>
      <c r="B2359" s="50" t="s">
        <v>1736</v>
      </c>
      <c r="C2359" s="51" t="s">
        <v>14546</v>
      </c>
      <c r="D2359" s="51"/>
      <c r="E2359" s="51"/>
      <c r="F2359" s="51"/>
      <c r="G2359" s="50" t="s">
        <v>14547</v>
      </c>
      <c r="H2359" s="52">
        <v>44683.07415509259</v>
      </c>
      <c r="I2359" s="50"/>
      <c r="J2359" s="50"/>
      <c r="K2359" s="50"/>
      <c r="L2359" s="50"/>
      <c r="M2359" s="50" t="s">
        <v>1738</v>
      </c>
      <c r="N2359" s="50"/>
      <c r="O2359" s="53" t="s">
        <v>1739</v>
      </c>
      <c r="P2359" s="55" t="s">
        <v>1740</v>
      </c>
      <c r="Q2359" s="50">
        <v>3355.0</v>
      </c>
      <c r="R2359" s="50">
        <v>1645.0</v>
      </c>
      <c r="S2359" s="50" t="s">
        <v>1741</v>
      </c>
      <c r="T2359" s="56" t="s">
        <v>14548</v>
      </c>
      <c r="U2359" s="53" t="s">
        <v>14549</v>
      </c>
    </row>
    <row r="2360">
      <c r="A2360" s="54" t="s">
        <v>14550</v>
      </c>
      <c r="B2360" s="50" t="s">
        <v>14551</v>
      </c>
      <c r="C2360" s="51" t="s">
        <v>14546</v>
      </c>
      <c r="D2360" s="51"/>
      <c r="E2360" s="51"/>
      <c r="F2360" s="51"/>
      <c r="G2360" s="50" t="s">
        <v>14552</v>
      </c>
      <c r="H2360" s="52">
        <v>44683.07414351852</v>
      </c>
      <c r="I2360" s="50"/>
      <c r="J2360" s="50"/>
      <c r="K2360" s="50"/>
      <c r="L2360" s="50"/>
      <c r="M2360" s="50" t="s">
        <v>14553</v>
      </c>
      <c r="N2360" s="50"/>
      <c r="O2360" s="53" t="s">
        <v>70</v>
      </c>
      <c r="P2360" s="55" t="s">
        <v>14554</v>
      </c>
      <c r="Q2360" s="50">
        <v>1281.0</v>
      </c>
      <c r="R2360" s="50">
        <v>4994.0</v>
      </c>
      <c r="S2360" s="50" t="s">
        <v>14555</v>
      </c>
      <c r="T2360" s="56" t="s">
        <v>14556</v>
      </c>
      <c r="U2360" s="53" t="s">
        <v>14549</v>
      </c>
    </row>
    <row r="2361">
      <c r="A2361" s="54" t="s">
        <v>14557</v>
      </c>
      <c r="B2361" s="50" t="s">
        <v>14558</v>
      </c>
      <c r="C2361" s="51" t="s">
        <v>316</v>
      </c>
      <c r="D2361" s="51"/>
      <c r="E2361" s="51"/>
      <c r="F2361" s="51"/>
      <c r="G2361" s="50" t="s">
        <v>14559</v>
      </c>
      <c r="H2361" s="52">
        <v>44683.072488425925</v>
      </c>
      <c r="I2361" s="50"/>
      <c r="J2361" s="50"/>
      <c r="K2361" s="50"/>
      <c r="L2361" s="50"/>
      <c r="M2361" s="50" t="s">
        <v>14560</v>
      </c>
      <c r="N2361" s="50"/>
      <c r="O2361" s="53" t="s">
        <v>70</v>
      </c>
      <c r="P2361" s="55" t="s">
        <v>14561</v>
      </c>
      <c r="Q2361" s="50">
        <v>106.0</v>
      </c>
      <c r="R2361" s="50">
        <v>142.0</v>
      </c>
      <c r="S2361" s="50"/>
      <c r="T2361" s="56" t="s">
        <v>14562</v>
      </c>
      <c r="U2361" s="53" t="s">
        <v>322</v>
      </c>
    </row>
    <row r="2362">
      <c r="A2362" s="54" t="s">
        <v>14563</v>
      </c>
      <c r="B2362" s="50" t="s">
        <v>14558</v>
      </c>
      <c r="C2362" s="51" t="s">
        <v>367</v>
      </c>
      <c r="D2362" s="51"/>
      <c r="E2362" s="51"/>
      <c r="F2362" s="51"/>
      <c r="G2362" s="50" t="s">
        <v>14564</v>
      </c>
      <c r="H2362" s="52">
        <v>44683.071967592594</v>
      </c>
      <c r="I2362" s="50"/>
      <c r="J2362" s="50"/>
      <c r="K2362" s="50"/>
      <c r="L2362" s="50"/>
      <c r="M2362" s="50" t="s">
        <v>14560</v>
      </c>
      <c r="N2362" s="50"/>
      <c r="O2362" s="53" t="s">
        <v>70</v>
      </c>
      <c r="P2362" s="55" t="s">
        <v>14561</v>
      </c>
      <c r="Q2362" s="50">
        <v>106.0</v>
      </c>
      <c r="R2362" s="50">
        <v>142.0</v>
      </c>
      <c r="S2362" s="50"/>
      <c r="T2362" s="56" t="s">
        <v>14565</v>
      </c>
      <c r="U2362" s="53" t="s">
        <v>370</v>
      </c>
    </row>
    <row r="2363">
      <c r="A2363" s="54" t="s">
        <v>14566</v>
      </c>
      <c r="B2363" s="50" t="s">
        <v>10070</v>
      </c>
      <c r="C2363" s="51" t="s">
        <v>367</v>
      </c>
      <c r="D2363" s="51"/>
      <c r="E2363" s="51"/>
      <c r="F2363" s="51"/>
      <c r="G2363" s="50" t="s">
        <v>14567</v>
      </c>
      <c r="H2363" s="52">
        <v>44683.07114583333</v>
      </c>
      <c r="I2363" s="50"/>
      <c r="J2363" s="50"/>
      <c r="K2363" s="50"/>
      <c r="L2363" s="50"/>
      <c r="M2363" s="50" t="s">
        <v>10072</v>
      </c>
      <c r="N2363" s="50"/>
      <c r="O2363" s="53" t="s">
        <v>92</v>
      </c>
      <c r="P2363" s="55" t="s">
        <v>10073</v>
      </c>
      <c r="Q2363" s="50">
        <v>5678.0</v>
      </c>
      <c r="R2363" s="50">
        <v>6236.0</v>
      </c>
      <c r="S2363" s="50"/>
      <c r="T2363" s="56" t="s">
        <v>14568</v>
      </c>
      <c r="U2363" s="53" t="s">
        <v>370</v>
      </c>
    </row>
    <row r="2364">
      <c r="A2364" s="54" t="s">
        <v>14569</v>
      </c>
      <c r="B2364" s="50" t="s">
        <v>14570</v>
      </c>
      <c r="C2364" s="51" t="s">
        <v>14571</v>
      </c>
      <c r="D2364" s="51"/>
      <c r="E2364" s="51"/>
      <c r="F2364" s="51"/>
      <c r="G2364" s="50" t="s">
        <v>14572</v>
      </c>
      <c r="H2364" s="52">
        <v>44683.07094907407</v>
      </c>
      <c r="I2364" s="50"/>
      <c r="J2364" s="50"/>
      <c r="K2364" s="50" t="s">
        <v>14573</v>
      </c>
      <c r="L2364" s="50" t="s">
        <v>14574</v>
      </c>
      <c r="M2364" s="50" t="s">
        <v>14575</v>
      </c>
      <c r="N2364" s="50" t="s">
        <v>14576</v>
      </c>
      <c r="O2364" s="53" t="s">
        <v>70</v>
      </c>
      <c r="P2364" s="55" t="s">
        <v>14577</v>
      </c>
      <c r="Q2364" s="50">
        <v>2463.0</v>
      </c>
      <c r="R2364" s="50">
        <v>2534.0</v>
      </c>
      <c r="S2364" s="50"/>
      <c r="T2364" s="56" t="s">
        <v>14578</v>
      </c>
      <c r="U2364" s="53" t="s">
        <v>14579</v>
      </c>
    </row>
    <row r="2365">
      <c r="A2365" s="54" t="s">
        <v>14580</v>
      </c>
      <c r="B2365" s="50" t="s">
        <v>14581</v>
      </c>
      <c r="C2365" s="51" t="s">
        <v>2877</v>
      </c>
      <c r="D2365" s="51"/>
      <c r="E2365" s="51"/>
      <c r="F2365" s="51"/>
      <c r="G2365" s="50" t="s">
        <v>14582</v>
      </c>
      <c r="H2365" s="52">
        <v>44683.07079861111</v>
      </c>
      <c r="I2365" s="50"/>
      <c r="J2365" s="50"/>
      <c r="K2365" s="50"/>
      <c r="L2365" s="50"/>
      <c r="M2365" s="50" t="s">
        <v>14583</v>
      </c>
      <c r="N2365" s="50"/>
      <c r="O2365" s="53" t="s">
        <v>92</v>
      </c>
      <c r="P2365" s="55" t="s">
        <v>14584</v>
      </c>
      <c r="Q2365" s="50">
        <v>1685.0</v>
      </c>
      <c r="R2365" s="50">
        <v>2915.0</v>
      </c>
      <c r="S2365" s="50" t="s">
        <v>1311</v>
      </c>
      <c r="T2365" s="56" t="s">
        <v>14585</v>
      </c>
      <c r="U2365" s="53" t="s">
        <v>2882</v>
      </c>
    </row>
    <row r="2366">
      <c r="A2366" s="54" t="s">
        <v>14586</v>
      </c>
      <c r="B2366" s="50" t="s">
        <v>14587</v>
      </c>
      <c r="C2366" s="51" t="s">
        <v>14588</v>
      </c>
      <c r="D2366" s="51"/>
      <c r="E2366" s="51"/>
      <c r="F2366" s="51"/>
      <c r="G2366" s="50" t="s">
        <v>14589</v>
      </c>
      <c r="H2366" s="52">
        <v>44683.06946759259</v>
      </c>
      <c r="I2366" s="50"/>
      <c r="J2366" s="50"/>
      <c r="K2366" s="50"/>
      <c r="L2366" s="50"/>
      <c r="M2366" s="50" t="s">
        <v>14590</v>
      </c>
      <c r="N2366" s="50"/>
      <c r="O2366" s="53" t="s">
        <v>92</v>
      </c>
      <c r="P2366" s="55" t="s">
        <v>14591</v>
      </c>
      <c r="Q2366" s="50">
        <v>572.0</v>
      </c>
      <c r="R2366" s="50">
        <v>1639.0</v>
      </c>
      <c r="S2366" s="50" t="s">
        <v>14592</v>
      </c>
      <c r="T2366" s="56" t="s">
        <v>14593</v>
      </c>
      <c r="U2366" s="53" t="s">
        <v>14594</v>
      </c>
    </row>
    <row r="2367">
      <c r="A2367" s="54" t="s">
        <v>14595</v>
      </c>
      <c r="B2367" s="50" t="s">
        <v>14596</v>
      </c>
      <c r="C2367" s="51" t="s">
        <v>363</v>
      </c>
      <c r="D2367" s="51"/>
      <c r="E2367" s="51"/>
      <c r="F2367" s="51"/>
      <c r="G2367" s="50" t="s">
        <v>14597</v>
      </c>
      <c r="H2367" s="52">
        <v>44683.06872685185</v>
      </c>
      <c r="I2367" s="50"/>
      <c r="J2367" s="50"/>
      <c r="K2367" s="50"/>
      <c r="L2367" s="50"/>
      <c r="M2367" s="50" t="s">
        <v>14598</v>
      </c>
      <c r="N2367" s="50"/>
      <c r="O2367" s="53" t="s">
        <v>70</v>
      </c>
      <c r="P2367" s="55" t="s">
        <v>14599</v>
      </c>
      <c r="Q2367" s="50">
        <v>12.0</v>
      </c>
      <c r="R2367" s="50">
        <v>347.0</v>
      </c>
      <c r="S2367" s="50"/>
      <c r="T2367" s="56" t="s">
        <v>14600</v>
      </c>
      <c r="U2367" s="53" t="s">
        <v>332</v>
      </c>
    </row>
    <row r="2368">
      <c r="A2368" s="54" t="s">
        <v>14601</v>
      </c>
      <c r="B2368" s="50" t="s">
        <v>14602</v>
      </c>
      <c r="C2368" s="51" t="s">
        <v>726</v>
      </c>
      <c r="D2368" s="51"/>
      <c r="E2368" s="51"/>
      <c r="F2368" s="51"/>
      <c r="G2368" s="50" t="s">
        <v>14603</v>
      </c>
      <c r="H2368" s="52">
        <v>44683.06825231481</v>
      </c>
      <c r="I2368" s="50"/>
      <c r="J2368" s="50"/>
      <c r="K2368" s="50"/>
      <c r="L2368" s="50"/>
      <c r="M2368" s="50" t="s">
        <v>14604</v>
      </c>
      <c r="N2368" s="50"/>
      <c r="O2368" s="53" t="s">
        <v>70</v>
      </c>
      <c r="P2368" s="55" t="s">
        <v>14605</v>
      </c>
      <c r="Q2368" s="50">
        <v>64.0</v>
      </c>
      <c r="R2368" s="50">
        <v>204.0</v>
      </c>
      <c r="S2368" s="50" t="s">
        <v>729</v>
      </c>
      <c r="T2368" s="56" t="s">
        <v>14606</v>
      </c>
      <c r="U2368" s="53" t="s">
        <v>731</v>
      </c>
    </row>
    <row r="2369">
      <c r="A2369" s="54" t="s">
        <v>14607</v>
      </c>
      <c r="B2369" s="50" t="s">
        <v>2694</v>
      </c>
      <c r="C2369" s="51" t="s">
        <v>14608</v>
      </c>
      <c r="D2369" s="51"/>
      <c r="E2369" s="51"/>
      <c r="F2369" s="51"/>
      <c r="G2369" s="50" t="s">
        <v>14609</v>
      </c>
      <c r="H2369" s="52">
        <v>44683.06809027778</v>
      </c>
      <c r="I2369" s="50"/>
      <c r="J2369" s="50"/>
      <c r="K2369" s="50"/>
      <c r="L2369" s="50"/>
      <c r="M2369" s="50" t="s">
        <v>2697</v>
      </c>
      <c r="N2369" s="50"/>
      <c r="O2369" s="53" t="s">
        <v>2698</v>
      </c>
      <c r="P2369" s="55" t="s">
        <v>2699</v>
      </c>
      <c r="Q2369" s="50">
        <v>2177.0</v>
      </c>
      <c r="R2369" s="50">
        <v>508.0</v>
      </c>
      <c r="S2369" s="50" t="s">
        <v>2700</v>
      </c>
      <c r="T2369" s="56" t="s">
        <v>14610</v>
      </c>
      <c r="U2369" s="53" t="s">
        <v>14611</v>
      </c>
    </row>
    <row r="2370">
      <c r="A2370" s="54" t="s">
        <v>14612</v>
      </c>
      <c r="B2370" s="50" t="s">
        <v>14058</v>
      </c>
      <c r="C2370" s="51" t="s">
        <v>14613</v>
      </c>
      <c r="D2370" s="51"/>
      <c r="E2370" s="51"/>
      <c r="F2370" s="51"/>
      <c r="G2370" s="50" t="s">
        <v>14614</v>
      </c>
      <c r="H2370" s="52">
        <v>44683.067824074074</v>
      </c>
      <c r="I2370" s="50"/>
      <c r="J2370" s="50"/>
      <c r="K2370" s="50"/>
      <c r="L2370" s="50"/>
      <c r="M2370" s="50" t="s">
        <v>14061</v>
      </c>
      <c r="N2370" s="50"/>
      <c r="O2370" s="53" t="s">
        <v>60</v>
      </c>
      <c r="P2370" s="55" t="s">
        <v>354</v>
      </c>
      <c r="Q2370" s="50">
        <v>199.0</v>
      </c>
      <c r="R2370" s="50">
        <v>155.0</v>
      </c>
      <c r="S2370" s="50"/>
      <c r="T2370" s="56" t="s">
        <v>14615</v>
      </c>
      <c r="U2370" s="53" t="s">
        <v>14616</v>
      </c>
    </row>
    <row r="2371">
      <c r="A2371" s="54" t="s">
        <v>14617</v>
      </c>
      <c r="B2371" s="50" t="s">
        <v>14618</v>
      </c>
      <c r="C2371" s="51" t="s">
        <v>316</v>
      </c>
      <c r="D2371" s="51"/>
      <c r="E2371" s="51"/>
      <c r="F2371" s="51"/>
      <c r="G2371" s="50" t="s">
        <v>14619</v>
      </c>
      <c r="H2371" s="52">
        <v>44683.06748842592</v>
      </c>
      <c r="I2371" s="50"/>
      <c r="J2371" s="50"/>
      <c r="K2371" s="50"/>
      <c r="L2371" s="50"/>
      <c r="M2371" s="50" t="s">
        <v>14620</v>
      </c>
      <c r="N2371" s="50"/>
      <c r="O2371" s="53" t="s">
        <v>70</v>
      </c>
      <c r="P2371" s="55" t="s">
        <v>14621</v>
      </c>
      <c r="Q2371" s="50">
        <v>173.0</v>
      </c>
      <c r="R2371" s="50">
        <v>859.0</v>
      </c>
      <c r="S2371" s="50"/>
      <c r="T2371" s="56" t="s">
        <v>14622</v>
      </c>
      <c r="U2371" s="53" t="s">
        <v>322</v>
      </c>
    </row>
    <row r="2372">
      <c r="A2372" s="54" t="s">
        <v>14623</v>
      </c>
      <c r="B2372" s="50" t="s">
        <v>14624</v>
      </c>
      <c r="C2372" s="51" t="s">
        <v>367</v>
      </c>
      <c r="D2372" s="51"/>
      <c r="E2372" s="51"/>
      <c r="F2372" s="51"/>
      <c r="G2372" s="50" t="s">
        <v>14625</v>
      </c>
      <c r="H2372" s="52">
        <v>44683.067453703705</v>
      </c>
      <c r="I2372" s="50"/>
      <c r="J2372" s="50"/>
      <c r="K2372" s="50"/>
      <c r="L2372" s="50"/>
      <c r="M2372" s="50" t="s">
        <v>14626</v>
      </c>
      <c r="N2372" s="50"/>
      <c r="O2372" s="53" t="s">
        <v>92</v>
      </c>
      <c r="P2372" s="55" t="s">
        <v>14627</v>
      </c>
      <c r="Q2372" s="50">
        <v>1499.0</v>
      </c>
      <c r="R2372" s="50">
        <v>1384.0</v>
      </c>
      <c r="S2372" s="50"/>
      <c r="T2372" s="56" t="s">
        <v>14628</v>
      </c>
      <c r="U2372" s="53" t="s">
        <v>370</v>
      </c>
    </row>
    <row r="2373">
      <c r="A2373" s="54" t="s">
        <v>14629</v>
      </c>
      <c r="B2373" s="50" t="s">
        <v>14618</v>
      </c>
      <c r="C2373" s="51" t="s">
        <v>367</v>
      </c>
      <c r="D2373" s="51"/>
      <c r="E2373" s="51"/>
      <c r="F2373" s="51"/>
      <c r="G2373" s="50" t="s">
        <v>14630</v>
      </c>
      <c r="H2373" s="52">
        <v>44683.06716435185</v>
      </c>
      <c r="I2373" s="50"/>
      <c r="J2373" s="50"/>
      <c r="K2373" s="50"/>
      <c r="L2373" s="50"/>
      <c r="M2373" s="50" t="s">
        <v>14620</v>
      </c>
      <c r="N2373" s="50"/>
      <c r="O2373" s="53" t="s">
        <v>70</v>
      </c>
      <c r="P2373" s="55" t="s">
        <v>14621</v>
      </c>
      <c r="Q2373" s="50">
        <v>173.0</v>
      </c>
      <c r="R2373" s="50">
        <v>859.0</v>
      </c>
      <c r="S2373" s="50"/>
      <c r="T2373" s="56" t="s">
        <v>14631</v>
      </c>
      <c r="U2373" s="53" t="s">
        <v>370</v>
      </c>
    </row>
    <row r="2374">
      <c r="A2374" s="54" t="s">
        <v>14632</v>
      </c>
      <c r="B2374" s="50" t="s">
        <v>14633</v>
      </c>
      <c r="C2374" s="51" t="s">
        <v>367</v>
      </c>
      <c r="D2374" s="51"/>
      <c r="E2374" s="51"/>
      <c r="F2374" s="51"/>
      <c r="G2374" s="50" t="s">
        <v>14634</v>
      </c>
      <c r="H2374" s="52">
        <v>44683.066157407404</v>
      </c>
      <c r="I2374" s="50"/>
      <c r="J2374" s="50"/>
      <c r="K2374" s="50"/>
      <c r="L2374" s="50"/>
      <c r="M2374" s="50" t="s">
        <v>14635</v>
      </c>
      <c r="N2374" s="50"/>
      <c r="O2374" s="53" t="s">
        <v>217</v>
      </c>
      <c r="P2374" s="55" t="s">
        <v>14636</v>
      </c>
      <c r="Q2374" s="50">
        <v>355.0</v>
      </c>
      <c r="R2374" s="50">
        <v>55.0</v>
      </c>
      <c r="S2374" s="50" t="s">
        <v>14637</v>
      </c>
      <c r="T2374" s="56" t="s">
        <v>14638</v>
      </c>
      <c r="U2374" s="53" t="s">
        <v>370</v>
      </c>
    </row>
    <row r="2375">
      <c r="A2375" s="54" t="s">
        <v>14639</v>
      </c>
      <c r="B2375" s="50" t="s">
        <v>14640</v>
      </c>
      <c r="C2375" s="51" t="s">
        <v>367</v>
      </c>
      <c r="D2375" s="51"/>
      <c r="E2375" s="51"/>
      <c r="F2375" s="51"/>
      <c r="G2375" s="50" t="s">
        <v>14641</v>
      </c>
      <c r="H2375" s="52">
        <v>44683.06579861111</v>
      </c>
      <c r="I2375" s="50"/>
      <c r="J2375" s="50"/>
      <c r="K2375" s="50"/>
      <c r="L2375" s="50"/>
      <c r="M2375" s="50" t="s">
        <v>14642</v>
      </c>
      <c r="N2375" s="50"/>
      <c r="O2375" s="53" t="s">
        <v>92</v>
      </c>
      <c r="P2375" s="55" t="s">
        <v>354</v>
      </c>
      <c r="Q2375" s="50">
        <v>7.0</v>
      </c>
      <c r="R2375" s="50">
        <v>119.0</v>
      </c>
      <c r="S2375" s="50"/>
      <c r="T2375" s="56" t="s">
        <v>14643</v>
      </c>
      <c r="U2375" s="53" t="s">
        <v>370</v>
      </c>
    </row>
    <row r="2376">
      <c r="A2376" s="54" t="s">
        <v>14644</v>
      </c>
      <c r="B2376" s="50" t="s">
        <v>14645</v>
      </c>
      <c r="C2376" s="51" t="s">
        <v>367</v>
      </c>
      <c r="D2376" s="51"/>
      <c r="E2376" s="51"/>
      <c r="F2376" s="51"/>
      <c r="G2376" s="50" t="s">
        <v>14646</v>
      </c>
      <c r="H2376" s="52">
        <v>44683.065034722225</v>
      </c>
      <c r="I2376" s="50"/>
      <c r="J2376" s="50"/>
      <c r="K2376" s="50"/>
      <c r="L2376" s="50"/>
      <c r="M2376" s="50" t="s">
        <v>14647</v>
      </c>
      <c r="N2376" s="50"/>
      <c r="O2376" s="53" t="s">
        <v>92</v>
      </c>
      <c r="P2376" s="55" t="s">
        <v>14648</v>
      </c>
      <c r="Q2376" s="50">
        <v>356.0</v>
      </c>
      <c r="R2376" s="50">
        <v>3008.0</v>
      </c>
      <c r="S2376" s="50"/>
      <c r="T2376" s="56" t="s">
        <v>14649</v>
      </c>
      <c r="U2376" s="53" t="s">
        <v>370</v>
      </c>
    </row>
    <row r="2377">
      <c r="A2377" s="54" t="s">
        <v>14650</v>
      </c>
      <c r="B2377" s="50" t="s">
        <v>14651</v>
      </c>
      <c r="C2377" s="51" t="s">
        <v>367</v>
      </c>
      <c r="D2377" s="51"/>
      <c r="E2377" s="51"/>
      <c r="F2377" s="51"/>
      <c r="G2377" s="50" t="s">
        <v>14652</v>
      </c>
      <c r="H2377" s="52">
        <v>44683.06486111111</v>
      </c>
      <c r="I2377" s="50"/>
      <c r="J2377" s="50"/>
      <c r="K2377" s="50"/>
      <c r="L2377" s="50"/>
      <c r="M2377" s="50" t="s">
        <v>14653</v>
      </c>
      <c r="N2377" s="50"/>
      <c r="O2377" s="53" t="s">
        <v>92</v>
      </c>
      <c r="P2377" s="55" t="s">
        <v>14654</v>
      </c>
      <c r="Q2377" s="50">
        <v>76.0</v>
      </c>
      <c r="R2377" s="50">
        <v>144.0</v>
      </c>
      <c r="S2377" s="50"/>
      <c r="T2377" s="56" t="s">
        <v>14655</v>
      </c>
      <c r="U2377" s="53" t="s">
        <v>370</v>
      </c>
    </row>
    <row r="2378">
      <c r="A2378" s="54" t="s">
        <v>14656</v>
      </c>
      <c r="B2378" s="50" t="s">
        <v>14657</v>
      </c>
      <c r="C2378" s="51" t="s">
        <v>367</v>
      </c>
      <c r="D2378" s="51"/>
      <c r="E2378" s="51"/>
      <c r="F2378" s="51"/>
      <c r="G2378" s="50" t="s">
        <v>14658</v>
      </c>
      <c r="H2378" s="52">
        <v>44683.064247685186</v>
      </c>
      <c r="I2378" s="50"/>
      <c r="J2378" s="50"/>
      <c r="K2378" s="50"/>
      <c r="L2378" s="50"/>
      <c r="M2378" s="50" t="s">
        <v>14659</v>
      </c>
      <c r="N2378" s="50"/>
      <c r="O2378" s="53" t="s">
        <v>70</v>
      </c>
      <c r="P2378" s="55" t="s">
        <v>14660</v>
      </c>
      <c r="Q2378" s="50">
        <v>6028.0</v>
      </c>
      <c r="R2378" s="50">
        <v>6595.0</v>
      </c>
      <c r="S2378" s="50" t="s">
        <v>226</v>
      </c>
      <c r="T2378" s="56" t="s">
        <v>14661</v>
      </c>
      <c r="U2378" s="53" t="s">
        <v>370</v>
      </c>
    </row>
    <row r="2379">
      <c r="A2379" s="54" t="s">
        <v>14662</v>
      </c>
      <c r="B2379" s="50" t="s">
        <v>14663</v>
      </c>
      <c r="C2379" s="51" t="s">
        <v>367</v>
      </c>
      <c r="D2379" s="51"/>
      <c r="E2379" s="51"/>
      <c r="F2379" s="51"/>
      <c r="G2379" s="50" t="s">
        <v>14664</v>
      </c>
      <c r="H2379" s="52">
        <v>44683.06395833333</v>
      </c>
      <c r="I2379" s="50"/>
      <c r="J2379" s="50"/>
      <c r="K2379" s="50"/>
      <c r="L2379" s="50"/>
      <c r="M2379" s="50" t="s">
        <v>14665</v>
      </c>
      <c r="N2379" s="50"/>
      <c r="O2379" s="53" t="s">
        <v>92</v>
      </c>
      <c r="P2379" s="55" t="s">
        <v>14666</v>
      </c>
      <c r="Q2379" s="50">
        <v>51.0</v>
      </c>
      <c r="R2379" s="50">
        <v>183.0</v>
      </c>
      <c r="S2379" s="50" t="s">
        <v>379</v>
      </c>
      <c r="T2379" s="56" t="s">
        <v>14667</v>
      </c>
      <c r="U2379" s="53" t="s">
        <v>370</v>
      </c>
    </row>
    <row r="2380">
      <c r="A2380" s="54" t="s">
        <v>14668</v>
      </c>
      <c r="B2380" s="50" t="s">
        <v>14669</v>
      </c>
      <c r="C2380" s="51" t="s">
        <v>367</v>
      </c>
      <c r="D2380" s="51"/>
      <c r="E2380" s="51"/>
      <c r="F2380" s="51"/>
      <c r="G2380" s="50" t="s">
        <v>14670</v>
      </c>
      <c r="H2380" s="52">
        <v>44683.06319444445</v>
      </c>
      <c r="I2380" s="50"/>
      <c r="J2380" s="50"/>
      <c r="K2380" s="50"/>
      <c r="L2380" s="50"/>
      <c r="M2380" s="50" t="s">
        <v>14671</v>
      </c>
      <c r="N2380" s="50"/>
      <c r="O2380" s="53" t="s">
        <v>92</v>
      </c>
      <c r="P2380" s="55" t="s">
        <v>14672</v>
      </c>
      <c r="Q2380" s="50">
        <v>788.0</v>
      </c>
      <c r="R2380" s="50">
        <v>117.0</v>
      </c>
      <c r="S2380" s="50" t="s">
        <v>246</v>
      </c>
      <c r="T2380" s="56" t="s">
        <v>14673</v>
      </c>
      <c r="U2380" s="53" t="s">
        <v>370</v>
      </c>
    </row>
    <row r="2381">
      <c r="A2381" s="54" t="s">
        <v>14674</v>
      </c>
      <c r="B2381" s="50" t="s">
        <v>2694</v>
      </c>
      <c r="C2381" s="51" t="s">
        <v>14675</v>
      </c>
      <c r="D2381" s="51"/>
      <c r="E2381" s="51"/>
      <c r="F2381" s="51"/>
      <c r="G2381" s="50" t="s">
        <v>14676</v>
      </c>
      <c r="H2381" s="52">
        <v>44683.061840277776</v>
      </c>
      <c r="I2381" s="50"/>
      <c r="J2381" s="50"/>
      <c r="K2381" s="50"/>
      <c r="L2381" s="50"/>
      <c r="M2381" s="50" t="s">
        <v>2697</v>
      </c>
      <c r="N2381" s="50"/>
      <c r="O2381" s="53" t="s">
        <v>2698</v>
      </c>
      <c r="P2381" s="55" t="s">
        <v>2699</v>
      </c>
      <c r="Q2381" s="50">
        <v>2177.0</v>
      </c>
      <c r="R2381" s="50">
        <v>508.0</v>
      </c>
      <c r="S2381" s="50" t="s">
        <v>2700</v>
      </c>
      <c r="T2381" s="56" t="s">
        <v>14677</v>
      </c>
      <c r="U2381" s="53" t="s">
        <v>13863</v>
      </c>
    </row>
    <row r="2382">
      <c r="A2382" s="54" t="s">
        <v>14678</v>
      </c>
      <c r="B2382" s="50" t="s">
        <v>14679</v>
      </c>
      <c r="C2382" s="51" t="s">
        <v>367</v>
      </c>
      <c r="D2382" s="51"/>
      <c r="E2382" s="51"/>
      <c r="F2382" s="51"/>
      <c r="G2382" s="50" t="s">
        <v>14680</v>
      </c>
      <c r="H2382" s="52">
        <v>44683.06181712963</v>
      </c>
      <c r="I2382" s="50"/>
      <c r="J2382" s="50"/>
      <c r="K2382" s="50"/>
      <c r="L2382" s="50"/>
      <c r="M2382" s="50" t="s">
        <v>14681</v>
      </c>
      <c r="N2382" s="50"/>
      <c r="O2382" s="53" t="s">
        <v>70</v>
      </c>
      <c r="P2382" s="55" t="s">
        <v>14682</v>
      </c>
      <c r="Q2382" s="50">
        <v>120.0</v>
      </c>
      <c r="R2382" s="50">
        <v>274.0</v>
      </c>
      <c r="S2382" s="50"/>
      <c r="T2382" s="56" t="s">
        <v>14683</v>
      </c>
      <c r="U2382" s="53" t="s">
        <v>370</v>
      </c>
    </row>
    <row r="2383">
      <c r="A2383" s="54" t="s">
        <v>14684</v>
      </c>
      <c r="B2383" s="50" t="s">
        <v>14058</v>
      </c>
      <c r="C2383" s="51" t="s">
        <v>14685</v>
      </c>
      <c r="D2383" s="51"/>
      <c r="E2383" s="51"/>
      <c r="F2383" s="51"/>
      <c r="G2383" s="50" t="s">
        <v>14686</v>
      </c>
      <c r="H2383" s="52">
        <v>44683.061331018514</v>
      </c>
      <c r="I2383" s="50"/>
      <c r="J2383" s="50"/>
      <c r="K2383" s="50"/>
      <c r="L2383" s="50"/>
      <c r="M2383" s="50" t="s">
        <v>14061</v>
      </c>
      <c r="N2383" s="50"/>
      <c r="O2383" s="53" t="s">
        <v>60</v>
      </c>
      <c r="P2383" s="55" t="s">
        <v>354</v>
      </c>
      <c r="Q2383" s="50">
        <v>199.0</v>
      </c>
      <c r="R2383" s="50">
        <v>155.0</v>
      </c>
      <c r="S2383" s="50"/>
      <c r="T2383" s="56" t="s">
        <v>14687</v>
      </c>
      <c r="U2383" s="53" t="s">
        <v>14688</v>
      </c>
    </row>
    <row r="2384">
      <c r="A2384" s="54" t="s">
        <v>14689</v>
      </c>
      <c r="B2384" s="50" t="s">
        <v>2694</v>
      </c>
      <c r="C2384" s="51" t="s">
        <v>14690</v>
      </c>
      <c r="D2384" s="51"/>
      <c r="E2384" s="51"/>
      <c r="F2384" s="51"/>
      <c r="G2384" s="50" t="s">
        <v>14691</v>
      </c>
      <c r="H2384" s="52">
        <v>44683.06114583333</v>
      </c>
      <c r="I2384" s="50"/>
      <c r="J2384" s="50"/>
      <c r="K2384" s="50"/>
      <c r="L2384" s="50"/>
      <c r="M2384" s="50" t="s">
        <v>2697</v>
      </c>
      <c r="N2384" s="50"/>
      <c r="O2384" s="53" t="s">
        <v>2698</v>
      </c>
      <c r="P2384" s="55" t="s">
        <v>2699</v>
      </c>
      <c r="Q2384" s="50">
        <v>2177.0</v>
      </c>
      <c r="R2384" s="50">
        <v>508.0</v>
      </c>
      <c r="S2384" s="50" t="s">
        <v>2700</v>
      </c>
      <c r="T2384" s="56" t="s">
        <v>14692</v>
      </c>
      <c r="U2384" s="53" t="s">
        <v>13863</v>
      </c>
    </row>
    <row r="2385">
      <c r="A2385" s="54" t="s">
        <v>14693</v>
      </c>
      <c r="B2385" s="50" t="s">
        <v>2694</v>
      </c>
      <c r="C2385" s="51" t="s">
        <v>14694</v>
      </c>
      <c r="D2385" s="51"/>
      <c r="E2385" s="51"/>
      <c r="F2385" s="51"/>
      <c r="G2385" s="50" t="s">
        <v>14691</v>
      </c>
      <c r="H2385" s="52">
        <v>44683.06114583333</v>
      </c>
      <c r="I2385" s="50"/>
      <c r="J2385" s="50"/>
      <c r="K2385" s="50"/>
      <c r="L2385" s="50"/>
      <c r="M2385" s="50" t="s">
        <v>2697</v>
      </c>
      <c r="N2385" s="50"/>
      <c r="O2385" s="53" t="s">
        <v>2698</v>
      </c>
      <c r="P2385" s="55" t="s">
        <v>2699</v>
      </c>
      <c r="Q2385" s="50">
        <v>2177.0</v>
      </c>
      <c r="R2385" s="50">
        <v>508.0</v>
      </c>
      <c r="S2385" s="50" t="s">
        <v>2700</v>
      </c>
      <c r="T2385" s="56" t="s">
        <v>14695</v>
      </c>
      <c r="U2385" s="53" t="s">
        <v>13863</v>
      </c>
    </row>
    <row r="2386">
      <c r="A2386" s="54" t="s">
        <v>14696</v>
      </c>
      <c r="B2386" s="50" t="s">
        <v>14058</v>
      </c>
      <c r="C2386" s="51" t="s">
        <v>14697</v>
      </c>
      <c r="D2386" s="51"/>
      <c r="E2386" s="51"/>
      <c r="F2386" s="51"/>
      <c r="G2386" s="50" t="s">
        <v>14698</v>
      </c>
      <c r="H2386" s="52">
        <v>44683.0609837963</v>
      </c>
      <c r="I2386" s="50"/>
      <c r="J2386" s="50"/>
      <c r="K2386" s="50"/>
      <c r="L2386" s="50"/>
      <c r="M2386" s="50" t="s">
        <v>14061</v>
      </c>
      <c r="N2386" s="50"/>
      <c r="O2386" s="53" t="s">
        <v>60</v>
      </c>
      <c r="P2386" s="55" t="s">
        <v>354</v>
      </c>
      <c r="Q2386" s="50">
        <v>199.0</v>
      </c>
      <c r="R2386" s="50">
        <v>155.0</v>
      </c>
      <c r="S2386" s="50"/>
      <c r="T2386" s="56" t="s">
        <v>14699</v>
      </c>
      <c r="U2386" s="53" t="s">
        <v>14700</v>
      </c>
    </row>
    <row r="2387">
      <c r="A2387" s="54" t="s">
        <v>14701</v>
      </c>
      <c r="B2387" s="50" t="s">
        <v>14058</v>
      </c>
      <c r="C2387" s="51" t="s">
        <v>14702</v>
      </c>
      <c r="D2387" s="51"/>
      <c r="E2387" s="51"/>
      <c r="F2387" s="51"/>
      <c r="G2387" s="50" t="s">
        <v>14703</v>
      </c>
      <c r="H2387" s="52">
        <v>44683.060636574075</v>
      </c>
      <c r="I2387" s="50"/>
      <c r="J2387" s="50"/>
      <c r="K2387" s="50"/>
      <c r="L2387" s="50"/>
      <c r="M2387" s="50" t="s">
        <v>14061</v>
      </c>
      <c r="N2387" s="50"/>
      <c r="O2387" s="53" t="s">
        <v>60</v>
      </c>
      <c r="P2387" s="55" t="s">
        <v>354</v>
      </c>
      <c r="Q2387" s="50">
        <v>199.0</v>
      </c>
      <c r="R2387" s="50">
        <v>155.0</v>
      </c>
      <c r="S2387" s="50"/>
      <c r="T2387" s="56" t="s">
        <v>14704</v>
      </c>
      <c r="U2387" s="53" t="s">
        <v>14705</v>
      </c>
    </row>
    <row r="2388">
      <c r="A2388" s="54" t="s">
        <v>14706</v>
      </c>
      <c r="B2388" s="50" t="s">
        <v>2694</v>
      </c>
      <c r="C2388" s="51" t="s">
        <v>14707</v>
      </c>
      <c r="D2388" s="51"/>
      <c r="E2388" s="51"/>
      <c r="F2388" s="51"/>
      <c r="G2388" s="50" t="s">
        <v>14708</v>
      </c>
      <c r="H2388" s="52">
        <v>44683.06045138889</v>
      </c>
      <c r="I2388" s="50"/>
      <c r="J2388" s="50"/>
      <c r="K2388" s="50"/>
      <c r="L2388" s="50"/>
      <c r="M2388" s="50" t="s">
        <v>2697</v>
      </c>
      <c r="N2388" s="50"/>
      <c r="O2388" s="53" t="s">
        <v>2698</v>
      </c>
      <c r="P2388" s="55" t="s">
        <v>2699</v>
      </c>
      <c r="Q2388" s="50">
        <v>2177.0</v>
      </c>
      <c r="R2388" s="50">
        <v>508.0</v>
      </c>
      <c r="S2388" s="50" t="s">
        <v>2700</v>
      </c>
      <c r="T2388" s="56" t="s">
        <v>14709</v>
      </c>
      <c r="U2388" s="53" t="s">
        <v>13863</v>
      </c>
    </row>
    <row r="2389">
      <c r="A2389" s="54" t="s">
        <v>14710</v>
      </c>
      <c r="B2389" s="50" t="s">
        <v>14711</v>
      </c>
      <c r="C2389" s="51" t="s">
        <v>367</v>
      </c>
      <c r="D2389" s="51"/>
      <c r="E2389" s="51"/>
      <c r="F2389" s="51"/>
      <c r="G2389" s="50" t="s">
        <v>14712</v>
      </c>
      <c r="H2389" s="52">
        <v>44683.06028935185</v>
      </c>
      <c r="I2389" s="50"/>
      <c r="J2389" s="50"/>
      <c r="K2389" s="50"/>
      <c r="L2389" s="50"/>
      <c r="M2389" s="50" t="s">
        <v>14713</v>
      </c>
      <c r="N2389" s="50"/>
      <c r="O2389" s="53" t="s">
        <v>70</v>
      </c>
      <c r="P2389" s="55" t="s">
        <v>14714</v>
      </c>
      <c r="Q2389" s="50">
        <v>1582.0</v>
      </c>
      <c r="R2389" s="50">
        <v>4323.0</v>
      </c>
      <c r="S2389" s="50" t="s">
        <v>2610</v>
      </c>
      <c r="T2389" s="56" t="s">
        <v>14715</v>
      </c>
      <c r="U2389" s="53" t="s">
        <v>370</v>
      </c>
    </row>
    <row r="2390">
      <c r="A2390" s="54" t="s">
        <v>14716</v>
      </c>
      <c r="B2390" s="50" t="s">
        <v>14058</v>
      </c>
      <c r="C2390" s="51" t="s">
        <v>14717</v>
      </c>
      <c r="D2390" s="51"/>
      <c r="E2390" s="51"/>
      <c r="F2390" s="51"/>
      <c r="G2390" s="50" t="s">
        <v>14718</v>
      </c>
      <c r="H2390" s="52">
        <v>44683.059965277775</v>
      </c>
      <c r="I2390" s="50"/>
      <c r="J2390" s="50"/>
      <c r="K2390" s="50"/>
      <c r="L2390" s="50"/>
      <c r="M2390" s="50" t="s">
        <v>14061</v>
      </c>
      <c r="N2390" s="50"/>
      <c r="O2390" s="53" t="s">
        <v>60</v>
      </c>
      <c r="P2390" s="55" t="s">
        <v>354</v>
      </c>
      <c r="Q2390" s="50">
        <v>199.0</v>
      </c>
      <c r="R2390" s="50">
        <v>155.0</v>
      </c>
      <c r="S2390" s="50"/>
      <c r="T2390" s="56" t="s">
        <v>14719</v>
      </c>
      <c r="U2390" s="53" t="s">
        <v>14720</v>
      </c>
    </row>
    <row r="2391">
      <c r="A2391" s="54" t="s">
        <v>14721</v>
      </c>
      <c r="B2391" s="50" t="s">
        <v>2694</v>
      </c>
      <c r="C2391" s="51" t="s">
        <v>14722</v>
      </c>
      <c r="D2391" s="51"/>
      <c r="E2391" s="51"/>
      <c r="F2391" s="51"/>
      <c r="G2391" s="50" t="s">
        <v>14723</v>
      </c>
      <c r="H2391" s="52">
        <v>44683.05975694444</v>
      </c>
      <c r="I2391" s="50"/>
      <c r="J2391" s="50"/>
      <c r="K2391" s="50"/>
      <c r="L2391" s="50"/>
      <c r="M2391" s="50" t="s">
        <v>2697</v>
      </c>
      <c r="N2391" s="50"/>
      <c r="O2391" s="53" t="s">
        <v>2698</v>
      </c>
      <c r="P2391" s="55" t="s">
        <v>2699</v>
      </c>
      <c r="Q2391" s="50">
        <v>2177.0</v>
      </c>
      <c r="R2391" s="50">
        <v>508.0</v>
      </c>
      <c r="S2391" s="50" t="s">
        <v>2700</v>
      </c>
      <c r="T2391" s="56" t="s">
        <v>14724</v>
      </c>
      <c r="U2391" s="53" t="s">
        <v>13863</v>
      </c>
    </row>
    <row r="2392">
      <c r="A2392" s="54" t="s">
        <v>14725</v>
      </c>
      <c r="B2392" s="50" t="s">
        <v>14726</v>
      </c>
      <c r="C2392" s="51" t="s">
        <v>9864</v>
      </c>
      <c r="D2392" s="51"/>
      <c r="E2392" s="51"/>
      <c r="F2392" s="51"/>
      <c r="G2392" s="50" t="s">
        <v>14727</v>
      </c>
      <c r="H2392" s="52">
        <v>44683.0597337963</v>
      </c>
      <c r="I2392" s="50"/>
      <c r="J2392" s="50"/>
      <c r="K2392" s="50"/>
      <c r="L2392" s="50"/>
      <c r="M2392" s="50" t="s">
        <v>14728</v>
      </c>
      <c r="N2392" s="50"/>
      <c r="O2392" s="53" t="s">
        <v>70</v>
      </c>
      <c r="P2392" s="55" t="s">
        <v>14729</v>
      </c>
      <c r="Q2392" s="50">
        <v>612.0</v>
      </c>
      <c r="R2392" s="50">
        <v>5001.0</v>
      </c>
      <c r="S2392" s="50"/>
      <c r="T2392" s="56" t="s">
        <v>14730</v>
      </c>
      <c r="U2392" s="53" t="s">
        <v>9870</v>
      </c>
    </row>
    <row r="2393">
      <c r="A2393" s="54" t="s">
        <v>14731</v>
      </c>
      <c r="B2393" s="50" t="s">
        <v>14732</v>
      </c>
      <c r="C2393" s="51" t="s">
        <v>316</v>
      </c>
      <c r="D2393" s="51"/>
      <c r="E2393" s="51"/>
      <c r="F2393" s="51"/>
      <c r="G2393" s="50" t="s">
        <v>14733</v>
      </c>
      <c r="H2393" s="52">
        <v>44683.059583333335</v>
      </c>
      <c r="I2393" s="50"/>
      <c r="J2393" s="50"/>
      <c r="K2393" s="50"/>
      <c r="L2393" s="50"/>
      <c r="M2393" s="50" t="s">
        <v>14734</v>
      </c>
      <c r="N2393" s="50"/>
      <c r="O2393" s="53" t="s">
        <v>70</v>
      </c>
      <c r="P2393" s="55" t="s">
        <v>354</v>
      </c>
      <c r="Q2393" s="50">
        <v>169.0</v>
      </c>
      <c r="R2393" s="50">
        <v>220.0</v>
      </c>
      <c r="S2393" s="50"/>
      <c r="T2393" s="56" t="s">
        <v>14735</v>
      </c>
      <c r="U2393" s="53" t="s">
        <v>322</v>
      </c>
    </row>
    <row r="2394">
      <c r="A2394" s="54" t="s">
        <v>14736</v>
      </c>
      <c r="B2394" s="50" t="s">
        <v>14058</v>
      </c>
      <c r="C2394" s="51" t="s">
        <v>14737</v>
      </c>
      <c r="D2394" s="51"/>
      <c r="E2394" s="51"/>
      <c r="F2394" s="51"/>
      <c r="G2394" s="50" t="s">
        <v>14738</v>
      </c>
      <c r="H2394" s="52">
        <v>44683.05944444444</v>
      </c>
      <c r="I2394" s="50"/>
      <c r="J2394" s="50"/>
      <c r="K2394" s="50"/>
      <c r="L2394" s="50"/>
      <c r="M2394" s="50" t="s">
        <v>14061</v>
      </c>
      <c r="N2394" s="50"/>
      <c r="O2394" s="53" t="s">
        <v>60</v>
      </c>
      <c r="P2394" s="55" t="s">
        <v>354</v>
      </c>
      <c r="Q2394" s="50">
        <v>199.0</v>
      </c>
      <c r="R2394" s="50">
        <v>155.0</v>
      </c>
      <c r="S2394" s="50"/>
      <c r="T2394" s="56" t="s">
        <v>14739</v>
      </c>
      <c r="U2394" s="53" t="s">
        <v>14740</v>
      </c>
    </row>
    <row r="2395">
      <c r="A2395" s="54" t="s">
        <v>14741</v>
      </c>
      <c r="B2395" s="50" t="s">
        <v>14742</v>
      </c>
      <c r="C2395" s="51" t="s">
        <v>335</v>
      </c>
      <c r="D2395" s="51"/>
      <c r="E2395" s="51"/>
      <c r="F2395" s="51"/>
      <c r="G2395" s="50" t="s">
        <v>14743</v>
      </c>
      <c r="H2395" s="52">
        <v>44683.059340277774</v>
      </c>
      <c r="I2395" s="50"/>
      <c r="J2395" s="50"/>
      <c r="K2395" s="50"/>
      <c r="L2395" s="50"/>
      <c r="M2395" s="50" t="s">
        <v>14744</v>
      </c>
      <c r="N2395" s="50"/>
      <c r="O2395" s="53" t="s">
        <v>217</v>
      </c>
      <c r="P2395" s="55" t="s">
        <v>354</v>
      </c>
      <c r="Q2395" s="50">
        <v>77.0</v>
      </c>
      <c r="R2395" s="50">
        <v>54.0</v>
      </c>
      <c r="S2395" s="50"/>
      <c r="T2395" s="56" t="s">
        <v>14745</v>
      </c>
      <c r="U2395" s="53" t="s">
        <v>339</v>
      </c>
    </row>
    <row r="2396">
      <c r="A2396" s="54" t="s">
        <v>14746</v>
      </c>
      <c r="B2396" s="50" t="s">
        <v>14732</v>
      </c>
      <c r="C2396" s="51" t="s">
        <v>363</v>
      </c>
      <c r="D2396" s="51"/>
      <c r="E2396" s="51"/>
      <c r="F2396" s="51"/>
      <c r="G2396" s="50" t="s">
        <v>14747</v>
      </c>
      <c r="H2396" s="52">
        <v>44683.05914351852</v>
      </c>
      <c r="I2396" s="50"/>
      <c r="J2396" s="50"/>
      <c r="K2396" s="50"/>
      <c r="L2396" s="50"/>
      <c r="M2396" s="50" t="s">
        <v>14734</v>
      </c>
      <c r="N2396" s="50"/>
      <c r="O2396" s="53" t="s">
        <v>70</v>
      </c>
      <c r="P2396" s="55" t="s">
        <v>354</v>
      </c>
      <c r="Q2396" s="50">
        <v>169.0</v>
      </c>
      <c r="R2396" s="50">
        <v>220.0</v>
      </c>
      <c r="S2396" s="50"/>
      <c r="T2396" s="56" t="s">
        <v>14748</v>
      </c>
      <c r="U2396" s="53" t="s">
        <v>332</v>
      </c>
    </row>
    <row r="2397">
      <c r="A2397" s="54" t="s">
        <v>14749</v>
      </c>
      <c r="B2397" s="50" t="s">
        <v>2694</v>
      </c>
      <c r="C2397" s="51" t="s">
        <v>14750</v>
      </c>
      <c r="D2397" s="51"/>
      <c r="E2397" s="51"/>
      <c r="F2397" s="51"/>
      <c r="G2397" s="50" t="s">
        <v>14751</v>
      </c>
      <c r="H2397" s="52">
        <v>44683.059062500004</v>
      </c>
      <c r="I2397" s="50"/>
      <c r="J2397" s="50"/>
      <c r="K2397" s="50"/>
      <c r="L2397" s="50"/>
      <c r="M2397" s="50" t="s">
        <v>2697</v>
      </c>
      <c r="N2397" s="50"/>
      <c r="O2397" s="53" t="s">
        <v>2698</v>
      </c>
      <c r="P2397" s="55" t="s">
        <v>2699</v>
      </c>
      <c r="Q2397" s="50">
        <v>2177.0</v>
      </c>
      <c r="R2397" s="50">
        <v>508.0</v>
      </c>
      <c r="S2397" s="50" t="s">
        <v>2700</v>
      </c>
      <c r="T2397" s="56" t="s">
        <v>14752</v>
      </c>
      <c r="U2397" s="53" t="s">
        <v>13863</v>
      </c>
    </row>
    <row r="2398">
      <c r="A2398" s="54" t="s">
        <v>14753</v>
      </c>
      <c r="B2398" s="50" t="s">
        <v>14732</v>
      </c>
      <c r="C2398" s="51" t="s">
        <v>367</v>
      </c>
      <c r="D2398" s="51"/>
      <c r="E2398" s="51"/>
      <c r="F2398" s="51"/>
      <c r="G2398" s="50" t="s">
        <v>14754</v>
      </c>
      <c r="H2398" s="52">
        <v>44683.05898148148</v>
      </c>
      <c r="I2398" s="50"/>
      <c r="J2398" s="50"/>
      <c r="K2398" s="50"/>
      <c r="L2398" s="50"/>
      <c r="M2398" s="50" t="s">
        <v>14734</v>
      </c>
      <c r="N2398" s="50"/>
      <c r="O2398" s="53" t="s">
        <v>70</v>
      </c>
      <c r="P2398" s="55" t="s">
        <v>354</v>
      </c>
      <c r="Q2398" s="50">
        <v>169.0</v>
      </c>
      <c r="R2398" s="50">
        <v>220.0</v>
      </c>
      <c r="S2398" s="50"/>
      <c r="T2398" s="56" t="s">
        <v>14755</v>
      </c>
      <c r="U2398" s="53" t="s">
        <v>370</v>
      </c>
    </row>
    <row r="2399">
      <c r="A2399" s="54" t="s">
        <v>14756</v>
      </c>
      <c r="B2399" s="50" t="s">
        <v>14058</v>
      </c>
      <c r="C2399" s="51" t="s">
        <v>14757</v>
      </c>
      <c r="D2399" s="51"/>
      <c r="E2399" s="51"/>
      <c r="F2399" s="51"/>
      <c r="G2399" s="50" t="s">
        <v>14758</v>
      </c>
      <c r="H2399" s="52">
        <v>44683.058796296296</v>
      </c>
      <c r="I2399" s="50"/>
      <c r="J2399" s="50"/>
      <c r="K2399" s="50"/>
      <c r="L2399" s="50"/>
      <c r="M2399" s="50" t="s">
        <v>14061</v>
      </c>
      <c r="N2399" s="50"/>
      <c r="O2399" s="53" t="s">
        <v>60</v>
      </c>
      <c r="P2399" s="55" t="s">
        <v>354</v>
      </c>
      <c r="Q2399" s="50">
        <v>199.0</v>
      </c>
      <c r="R2399" s="50">
        <v>155.0</v>
      </c>
      <c r="S2399" s="50"/>
      <c r="T2399" s="56" t="s">
        <v>14759</v>
      </c>
      <c r="U2399" s="53" t="s">
        <v>14760</v>
      </c>
    </row>
    <row r="2400">
      <c r="A2400" s="54" t="s">
        <v>14761</v>
      </c>
      <c r="B2400" s="50" t="s">
        <v>2694</v>
      </c>
      <c r="C2400" s="51" t="s">
        <v>14762</v>
      </c>
      <c r="D2400" s="51"/>
      <c r="E2400" s="51"/>
      <c r="F2400" s="51"/>
      <c r="G2400" s="50" t="s">
        <v>14763</v>
      </c>
      <c r="H2400" s="52">
        <v>44683.05836805556</v>
      </c>
      <c r="I2400" s="50"/>
      <c r="J2400" s="50"/>
      <c r="K2400" s="50"/>
      <c r="L2400" s="50"/>
      <c r="M2400" s="50" t="s">
        <v>2697</v>
      </c>
      <c r="N2400" s="50"/>
      <c r="O2400" s="53" t="s">
        <v>2698</v>
      </c>
      <c r="P2400" s="55" t="s">
        <v>2699</v>
      </c>
      <c r="Q2400" s="50">
        <v>2177.0</v>
      </c>
      <c r="R2400" s="50">
        <v>508.0</v>
      </c>
      <c r="S2400" s="50" t="s">
        <v>2700</v>
      </c>
      <c r="T2400" s="56" t="s">
        <v>14764</v>
      </c>
      <c r="U2400" s="53" t="s">
        <v>13863</v>
      </c>
    </row>
    <row r="2401">
      <c r="A2401" s="54" t="s">
        <v>14765</v>
      </c>
      <c r="B2401" s="50" t="s">
        <v>14058</v>
      </c>
      <c r="C2401" s="51" t="s">
        <v>14766</v>
      </c>
      <c r="D2401" s="51"/>
      <c r="E2401" s="51"/>
      <c r="F2401" s="51"/>
      <c r="G2401" s="50" t="s">
        <v>14767</v>
      </c>
      <c r="H2401" s="52">
        <v>44683.057800925926</v>
      </c>
      <c r="I2401" s="50"/>
      <c r="J2401" s="50"/>
      <c r="K2401" s="50"/>
      <c r="L2401" s="50"/>
      <c r="M2401" s="50" t="s">
        <v>14061</v>
      </c>
      <c r="N2401" s="50"/>
      <c r="O2401" s="53" t="s">
        <v>60</v>
      </c>
      <c r="P2401" s="55" t="s">
        <v>354</v>
      </c>
      <c r="Q2401" s="50">
        <v>199.0</v>
      </c>
      <c r="R2401" s="50">
        <v>155.0</v>
      </c>
      <c r="S2401" s="50"/>
      <c r="T2401" s="56" t="s">
        <v>14768</v>
      </c>
      <c r="U2401" s="53" t="s">
        <v>14769</v>
      </c>
    </row>
    <row r="2402">
      <c r="A2402" s="54" t="s">
        <v>14770</v>
      </c>
      <c r="B2402" s="50" t="s">
        <v>2694</v>
      </c>
      <c r="C2402" s="51" t="s">
        <v>14771</v>
      </c>
      <c r="D2402" s="51"/>
      <c r="E2402" s="51"/>
      <c r="F2402" s="51"/>
      <c r="G2402" s="50" t="s">
        <v>14772</v>
      </c>
      <c r="H2402" s="52">
        <v>44683.056979166664</v>
      </c>
      <c r="I2402" s="50"/>
      <c r="J2402" s="50"/>
      <c r="K2402" s="50"/>
      <c r="L2402" s="50"/>
      <c r="M2402" s="50" t="s">
        <v>2697</v>
      </c>
      <c r="N2402" s="50"/>
      <c r="O2402" s="53" t="s">
        <v>2698</v>
      </c>
      <c r="P2402" s="55" t="s">
        <v>2699</v>
      </c>
      <c r="Q2402" s="50">
        <v>2177.0</v>
      </c>
      <c r="R2402" s="50">
        <v>508.0</v>
      </c>
      <c r="S2402" s="50" t="s">
        <v>2700</v>
      </c>
      <c r="T2402" s="56" t="s">
        <v>14773</v>
      </c>
      <c r="U2402" s="53" t="s">
        <v>13863</v>
      </c>
    </row>
    <row r="2403">
      <c r="A2403" s="54" t="s">
        <v>14774</v>
      </c>
      <c r="B2403" s="50" t="s">
        <v>14775</v>
      </c>
      <c r="C2403" s="51" t="s">
        <v>329</v>
      </c>
      <c r="D2403" s="51"/>
      <c r="E2403" s="51"/>
      <c r="F2403" s="51"/>
      <c r="G2403" s="50" t="s">
        <v>14776</v>
      </c>
      <c r="H2403" s="52">
        <v>44683.0565162037</v>
      </c>
      <c r="I2403" s="50"/>
      <c r="J2403" s="50"/>
      <c r="K2403" s="50"/>
      <c r="L2403" s="50"/>
      <c r="M2403" s="50" t="s">
        <v>14777</v>
      </c>
      <c r="N2403" s="50"/>
      <c r="O2403" s="53" t="s">
        <v>92</v>
      </c>
      <c r="P2403" s="55" t="s">
        <v>14778</v>
      </c>
      <c r="Q2403" s="50">
        <v>1783.0</v>
      </c>
      <c r="R2403" s="50">
        <v>3339.0</v>
      </c>
      <c r="S2403" s="50" t="s">
        <v>14779</v>
      </c>
      <c r="T2403" s="56" t="s">
        <v>14780</v>
      </c>
      <c r="U2403" s="53" t="s">
        <v>332</v>
      </c>
    </row>
    <row r="2404">
      <c r="A2404" s="54" t="s">
        <v>14781</v>
      </c>
      <c r="B2404" s="50" t="s">
        <v>14058</v>
      </c>
      <c r="C2404" s="51" t="s">
        <v>14782</v>
      </c>
      <c r="D2404" s="51"/>
      <c r="E2404" s="51"/>
      <c r="F2404" s="51"/>
      <c r="G2404" s="50" t="s">
        <v>14783</v>
      </c>
      <c r="H2404" s="52">
        <v>44683.05642361111</v>
      </c>
      <c r="I2404" s="50"/>
      <c r="J2404" s="50"/>
      <c r="K2404" s="50"/>
      <c r="L2404" s="50"/>
      <c r="M2404" s="50" t="s">
        <v>14061</v>
      </c>
      <c r="N2404" s="50"/>
      <c r="O2404" s="53" t="s">
        <v>60</v>
      </c>
      <c r="P2404" s="55" t="s">
        <v>354</v>
      </c>
      <c r="Q2404" s="50">
        <v>199.0</v>
      </c>
      <c r="R2404" s="50">
        <v>155.0</v>
      </c>
      <c r="S2404" s="50"/>
      <c r="T2404" s="56" t="s">
        <v>14784</v>
      </c>
      <c r="U2404" s="53" t="s">
        <v>14785</v>
      </c>
    </row>
    <row r="2405">
      <c r="A2405" s="54" t="s">
        <v>14786</v>
      </c>
      <c r="B2405" s="50" t="s">
        <v>14775</v>
      </c>
      <c r="C2405" s="51" t="s">
        <v>335</v>
      </c>
      <c r="D2405" s="51"/>
      <c r="E2405" s="51"/>
      <c r="F2405" s="51"/>
      <c r="G2405" s="50" t="s">
        <v>14787</v>
      </c>
      <c r="H2405" s="52">
        <v>44683.05640046296</v>
      </c>
      <c r="I2405" s="50"/>
      <c r="J2405" s="50"/>
      <c r="K2405" s="50"/>
      <c r="L2405" s="50"/>
      <c r="M2405" s="50" t="s">
        <v>14777</v>
      </c>
      <c r="N2405" s="50"/>
      <c r="O2405" s="53" t="s">
        <v>92</v>
      </c>
      <c r="P2405" s="55" t="s">
        <v>14778</v>
      </c>
      <c r="Q2405" s="50">
        <v>1783.0</v>
      </c>
      <c r="R2405" s="50">
        <v>3339.0</v>
      </c>
      <c r="S2405" s="50" t="s">
        <v>14779</v>
      </c>
      <c r="T2405" s="56" t="s">
        <v>14788</v>
      </c>
      <c r="U2405" s="53" t="s">
        <v>339</v>
      </c>
    </row>
    <row r="2406">
      <c r="A2406" s="54" t="s">
        <v>14789</v>
      </c>
      <c r="B2406" s="50" t="s">
        <v>14775</v>
      </c>
      <c r="C2406" s="51" t="s">
        <v>363</v>
      </c>
      <c r="D2406" s="51"/>
      <c r="E2406" s="51"/>
      <c r="F2406" s="51"/>
      <c r="G2406" s="50" t="s">
        <v>14790</v>
      </c>
      <c r="H2406" s="52">
        <v>44683.056238425925</v>
      </c>
      <c r="I2406" s="50"/>
      <c r="J2406" s="50"/>
      <c r="K2406" s="50"/>
      <c r="L2406" s="50"/>
      <c r="M2406" s="50" t="s">
        <v>14777</v>
      </c>
      <c r="N2406" s="50"/>
      <c r="O2406" s="53" t="s">
        <v>92</v>
      </c>
      <c r="P2406" s="55" t="s">
        <v>14778</v>
      </c>
      <c r="Q2406" s="50">
        <v>1783.0</v>
      </c>
      <c r="R2406" s="50">
        <v>3339.0</v>
      </c>
      <c r="S2406" s="50" t="s">
        <v>14779</v>
      </c>
      <c r="T2406" s="56" t="s">
        <v>14791</v>
      </c>
      <c r="U2406" s="53" t="s">
        <v>332</v>
      </c>
    </row>
    <row r="2407">
      <c r="A2407" s="54" t="s">
        <v>14792</v>
      </c>
      <c r="B2407" s="50" t="s">
        <v>14775</v>
      </c>
      <c r="C2407" s="51" t="s">
        <v>367</v>
      </c>
      <c r="D2407" s="51"/>
      <c r="E2407" s="51"/>
      <c r="F2407" s="51"/>
      <c r="G2407" s="50" t="s">
        <v>14793</v>
      </c>
      <c r="H2407" s="52">
        <v>44683.05603009259</v>
      </c>
      <c r="I2407" s="50"/>
      <c r="J2407" s="50"/>
      <c r="K2407" s="50"/>
      <c r="L2407" s="50"/>
      <c r="M2407" s="50" t="s">
        <v>14777</v>
      </c>
      <c r="N2407" s="50"/>
      <c r="O2407" s="53" t="s">
        <v>92</v>
      </c>
      <c r="P2407" s="55" t="s">
        <v>14778</v>
      </c>
      <c r="Q2407" s="50">
        <v>1783.0</v>
      </c>
      <c r="R2407" s="50">
        <v>3339.0</v>
      </c>
      <c r="S2407" s="50" t="s">
        <v>14779</v>
      </c>
      <c r="T2407" s="56" t="s">
        <v>14794</v>
      </c>
      <c r="U2407" s="53" t="s">
        <v>370</v>
      </c>
    </row>
    <row r="2408">
      <c r="A2408" s="54" t="s">
        <v>14795</v>
      </c>
      <c r="B2408" s="50" t="s">
        <v>14775</v>
      </c>
      <c r="C2408" s="51" t="s">
        <v>316</v>
      </c>
      <c r="D2408" s="51"/>
      <c r="E2408" s="51"/>
      <c r="F2408" s="51"/>
      <c r="G2408" s="50" t="s">
        <v>14796</v>
      </c>
      <c r="H2408" s="52">
        <v>44683.055763888886</v>
      </c>
      <c r="I2408" s="50"/>
      <c r="J2408" s="50"/>
      <c r="K2408" s="50"/>
      <c r="L2408" s="50"/>
      <c r="M2408" s="50" t="s">
        <v>14777</v>
      </c>
      <c r="N2408" s="50"/>
      <c r="O2408" s="53" t="s">
        <v>92</v>
      </c>
      <c r="P2408" s="55" t="s">
        <v>14778</v>
      </c>
      <c r="Q2408" s="50">
        <v>1783.0</v>
      </c>
      <c r="R2408" s="50">
        <v>3339.0</v>
      </c>
      <c r="S2408" s="50" t="s">
        <v>14779</v>
      </c>
      <c r="T2408" s="56" t="s">
        <v>14797</v>
      </c>
      <c r="U2408" s="53" t="s">
        <v>322</v>
      </c>
    </row>
    <row r="2409">
      <c r="A2409" s="54" t="s">
        <v>14798</v>
      </c>
      <c r="B2409" s="50" t="s">
        <v>14799</v>
      </c>
      <c r="C2409" s="51" t="s">
        <v>14800</v>
      </c>
      <c r="D2409" s="51"/>
      <c r="E2409" s="51"/>
      <c r="F2409" s="51"/>
      <c r="G2409" s="50" t="s">
        <v>14801</v>
      </c>
      <c r="H2409" s="52">
        <v>44683.055497685185</v>
      </c>
      <c r="I2409" s="50"/>
      <c r="J2409" s="50"/>
      <c r="K2409" s="50"/>
      <c r="L2409" s="50"/>
      <c r="M2409" s="50" t="s">
        <v>14802</v>
      </c>
      <c r="N2409" s="50"/>
      <c r="O2409" s="53" t="s">
        <v>60</v>
      </c>
      <c r="P2409" s="55" t="s">
        <v>14803</v>
      </c>
      <c r="Q2409" s="50">
        <v>540.0</v>
      </c>
      <c r="R2409" s="50">
        <v>51.0</v>
      </c>
      <c r="S2409" s="50"/>
      <c r="T2409" s="56" t="s">
        <v>14804</v>
      </c>
      <c r="U2409" s="53" t="s">
        <v>14805</v>
      </c>
    </row>
    <row r="2410">
      <c r="A2410" s="54" t="s">
        <v>14806</v>
      </c>
      <c r="B2410" s="50" t="s">
        <v>14807</v>
      </c>
      <c r="C2410" s="51" t="s">
        <v>329</v>
      </c>
      <c r="D2410" s="51"/>
      <c r="E2410" s="51"/>
      <c r="F2410" s="51"/>
      <c r="G2410" s="50" t="s">
        <v>14808</v>
      </c>
      <c r="H2410" s="52">
        <v>44683.054189814815</v>
      </c>
      <c r="I2410" s="50"/>
      <c r="J2410" s="50"/>
      <c r="K2410" s="50"/>
      <c r="L2410" s="50"/>
      <c r="M2410" s="50" t="s">
        <v>14809</v>
      </c>
      <c r="N2410" s="50"/>
      <c r="O2410" s="53" t="s">
        <v>92</v>
      </c>
      <c r="P2410" s="55" t="s">
        <v>14810</v>
      </c>
      <c r="Q2410" s="50">
        <v>908.0</v>
      </c>
      <c r="R2410" s="50">
        <v>1175.0</v>
      </c>
      <c r="S2410" s="50" t="s">
        <v>14811</v>
      </c>
      <c r="T2410" s="56" t="s">
        <v>14812</v>
      </c>
      <c r="U2410" s="53" t="s">
        <v>332</v>
      </c>
    </row>
    <row r="2411">
      <c r="A2411" s="54" t="s">
        <v>14813</v>
      </c>
      <c r="B2411" s="50" t="s">
        <v>14807</v>
      </c>
      <c r="C2411" s="51" t="s">
        <v>316</v>
      </c>
      <c r="D2411" s="51"/>
      <c r="E2411" s="51"/>
      <c r="F2411" s="51"/>
      <c r="G2411" s="50" t="s">
        <v>14814</v>
      </c>
      <c r="H2411" s="52">
        <v>44683.05417824074</v>
      </c>
      <c r="I2411" s="50"/>
      <c r="J2411" s="50"/>
      <c r="K2411" s="50"/>
      <c r="L2411" s="50"/>
      <c r="M2411" s="50" t="s">
        <v>14809</v>
      </c>
      <c r="N2411" s="50"/>
      <c r="O2411" s="53" t="s">
        <v>92</v>
      </c>
      <c r="P2411" s="55" t="s">
        <v>14810</v>
      </c>
      <c r="Q2411" s="50">
        <v>908.0</v>
      </c>
      <c r="R2411" s="50">
        <v>1175.0</v>
      </c>
      <c r="S2411" s="50" t="s">
        <v>14811</v>
      </c>
      <c r="T2411" s="56" t="s">
        <v>14815</v>
      </c>
      <c r="U2411" s="53" t="s">
        <v>322</v>
      </c>
    </row>
    <row r="2412">
      <c r="A2412" s="54" t="s">
        <v>14816</v>
      </c>
      <c r="B2412" s="50" t="s">
        <v>14807</v>
      </c>
      <c r="C2412" s="51" t="s">
        <v>335</v>
      </c>
      <c r="D2412" s="51"/>
      <c r="E2412" s="51"/>
      <c r="F2412" s="51"/>
      <c r="G2412" s="50" t="s">
        <v>14817</v>
      </c>
      <c r="H2412" s="52">
        <v>44683.05407407407</v>
      </c>
      <c r="I2412" s="50"/>
      <c r="J2412" s="50"/>
      <c r="K2412" s="50"/>
      <c r="L2412" s="50"/>
      <c r="M2412" s="50" t="s">
        <v>14809</v>
      </c>
      <c r="N2412" s="50"/>
      <c r="O2412" s="53" t="s">
        <v>92</v>
      </c>
      <c r="P2412" s="55" t="s">
        <v>14810</v>
      </c>
      <c r="Q2412" s="50">
        <v>908.0</v>
      </c>
      <c r="R2412" s="50">
        <v>1175.0</v>
      </c>
      <c r="S2412" s="50" t="s">
        <v>14811</v>
      </c>
      <c r="T2412" s="56" t="s">
        <v>14818</v>
      </c>
      <c r="U2412" s="53" t="s">
        <v>339</v>
      </c>
    </row>
    <row r="2413">
      <c r="A2413" s="54" t="s">
        <v>14819</v>
      </c>
      <c r="B2413" s="50" t="s">
        <v>14807</v>
      </c>
      <c r="C2413" s="51" t="s">
        <v>363</v>
      </c>
      <c r="D2413" s="51"/>
      <c r="E2413" s="51"/>
      <c r="F2413" s="51"/>
      <c r="G2413" s="50" t="s">
        <v>14820</v>
      </c>
      <c r="H2413" s="52">
        <v>44683.053877314815</v>
      </c>
      <c r="I2413" s="50"/>
      <c r="J2413" s="50"/>
      <c r="K2413" s="50"/>
      <c r="L2413" s="50"/>
      <c r="M2413" s="50" t="s">
        <v>14809</v>
      </c>
      <c r="N2413" s="50"/>
      <c r="O2413" s="53" t="s">
        <v>92</v>
      </c>
      <c r="P2413" s="55" t="s">
        <v>14810</v>
      </c>
      <c r="Q2413" s="50">
        <v>908.0</v>
      </c>
      <c r="R2413" s="50">
        <v>1175.0</v>
      </c>
      <c r="S2413" s="50" t="s">
        <v>14811</v>
      </c>
      <c r="T2413" s="56" t="s">
        <v>14821</v>
      </c>
      <c r="U2413" s="53" t="s">
        <v>332</v>
      </c>
    </row>
    <row r="2414">
      <c r="A2414" s="54" t="s">
        <v>14822</v>
      </c>
      <c r="B2414" s="50" t="s">
        <v>14823</v>
      </c>
      <c r="C2414" s="51" t="s">
        <v>9864</v>
      </c>
      <c r="D2414" s="51"/>
      <c r="E2414" s="51"/>
      <c r="F2414" s="51"/>
      <c r="G2414" s="50" t="s">
        <v>14824</v>
      </c>
      <c r="H2414" s="52">
        <v>44683.05385416667</v>
      </c>
      <c r="I2414" s="50"/>
      <c r="J2414" s="50"/>
      <c r="K2414" s="50"/>
      <c r="L2414" s="50"/>
      <c r="M2414" s="50" t="s">
        <v>14825</v>
      </c>
      <c r="N2414" s="50"/>
      <c r="O2414" s="53" t="s">
        <v>70</v>
      </c>
      <c r="P2414" s="55" t="s">
        <v>14826</v>
      </c>
      <c r="Q2414" s="50">
        <v>487.0</v>
      </c>
      <c r="R2414" s="50">
        <v>773.0</v>
      </c>
      <c r="S2414" s="50" t="s">
        <v>14827</v>
      </c>
      <c r="T2414" s="56" t="s">
        <v>14828</v>
      </c>
      <c r="U2414" s="53" t="s">
        <v>9870</v>
      </c>
    </row>
    <row r="2415">
      <c r="A2415" s="54" t="s">
        <v>14829</v>
      </c>
      <c r="B2415" s="50" t="s">
        <v>14807</v>
      </c>
      <c r="C2415" s="51" t="s">
        <v>367</v>
      </c>
      <c r="D2415" s="51"/>
      <c r="E2415" s="51"/>
      <c r="F2415" s="51"/>
      <c r="G2415" s="50" t="s">
        <v>14830</v>
      </c>
      <c r="H2415" s="52">
        <v>44683.05373842592</v>
      </c>
      <c r="I2415" s="50"/>
      <c r="J2415" s="50"/>
      <c r="K2415" s="50"/>
      <c r="L2415" s="50"/>
      <c r="M2415" s="50" t="s">
        <v>14809</v>
      </c>
      <c r="N2415" s="50"/>
      <c r="O2415" s="53" t="s">
        <v>92</v>
      </c>
      <c r="P2415" s="55" t="s">
        <v>14810</v>
      </c>
      <c r="Q2415" s="50">
        <v>908.0</v>
      </c>
      <c r="R2415" s="50">
        <v>1175.0</v>
      </c>
      <c r="S2415" s="50" t="s">
        <v>14811</v>
      </c>
      <c r="T2415" s="56" t="s">
        <v>14831</v>
      </c>
      <c r="U2415" s="53" t="s">
        <v>370</v>
      </c>
    </row>
    <row r="2416">
      <c r="A2416" s="54" t="s">
        <v>14832</v>
      </c>
      <c r="B2416" s="50" t="s">
        <v>14833</v>
      </c>
      <c r="C2416" s="51" t="s">
        <v>9864</v>
      </c>
      <c r="D2416" s="51"/>
      <c r="E2416" s="51"/>
      <c r="F2416" s="51"/>
      <c r="G2416" s="50" t="s">
        <v>14834</v>
      </c>
      <c r="H2416" s="52">
        <v>44683.05354166667</v>
      </c>
      <c r="I2416" s="50"/>
      <c r="J2416" s="50"/>
      <c r="K2416" s="50"/>
      <c r="L2416" s="50"/>
      <c r="M2416" s="50" t="s">
        <v>14835</v>
      </c>
      <c r="N2416" s="50"/>
      <c r="O2416" s="53" t="s">
        <v>92</v>
      </c>
      <c r="P2416" s="55" t="s">
        <v>14836</v>
      </c>
      <c r="Q2416" s="50">
        <v>454.0</v>
      </c>
      <c r="R2416" s="50">
        <v>1323.0</v>
      </c>
      <c r="S2416" s="50" t="s">
        <v>14837</v>
      </c>
      <c r="T2416" s="56" t="s">
        <v>14838</v>
      </c>
      <c r="U2416" s="53" t="s">
        <v>9870</v>
      </c>
    </row>
    <row r="2417">
      <c r="A2417" s="54" t="s">
        <v>14839</v>
      </c>
      <c r="B2417" s="50" t="s">
        <v>14840</v>
      </c>
      <c r="C2417" s="51" t="s">
        <v>14841</v>
      </c>
      <c r="D2417" s="51"/>
      <c r="E2417" s="51"/>
      <c r="F2417" s="51"/>
      <c r="G2417" s="50" t="s">
        <v>14842</v>
      </c>
      <c r="H2417" s="52">
        <v>44683.053252314814</v>
      </c>
      <c r="I2417" s="50"/>
      <c r="J2417" s="50"/>
      <c r="K2417" s="50"/>
      <c r="L2417" s="50"/>
      <c r="M2417" s="50" t="s">
        <v>14843</v>
      </c>
      <c r="N2417" s="50"/>
      <c r="O2417" s="53" t="s">
        <v>70</v>
      </c>
      <c r="P2417" s="55" t="s">
        <v>14844</v>
      </c>
      <c r="Q2417" s="50">
        <v>1088.0</v>
      </c>
      <c r="R2417" s="50">
        <v>1189.0</v>
      </c>
      <c r="S2417" s="50" t="s">
        <v>14845</v>
      </c>
      <c r="T2417" s="56" t="s">
        <v>14846</v>
      </c>
      <c r="U2417" s="53" t="s">
        <v>14847</v>
      </c>
    </row>
    <row r="2418">
      <c r="A2418" s="54" t="s">
        <v>14848</v>
      </c>
      <c r="B2418" s="50" t="s">
        <v>14849</v>
      </c>
      <c r="C2418" s="51" t="s">
        <v>9864</v>
      </c>
      <c r="D2418" s="51"/>
      <c r="E2418" s="51"/>
      <c r="F2418" s="51"/>
      <c r="G2418" s="50" t="s">
        <v>14850</v>
      </c>
      <c r="H2418" s="52">
        <v>44683.05209490741</v>
      </c>
      <c r="I2418" s="50"/>
      <c r="J2418" s="50"/>
      <c r="K2418" s="50"/>
      <c r="L2418" s="50"/>
      <c r="M2418" s="50" t="s">
        <v>14851</v>
      </c>
      <c r="N2418" s="50"/>
      <c r="O2418" s="53" t="s">
        <v>60</v>
      </c>
      <c r="P2418" s="55" t="s">
        <v>14852</v>
      </c>
      <c r="Q2418" s="50">
        <v>6814.0</v>
      </c>
      <c r="R2418" s="50">
        <v>3671.0</v>
      </c>
      <c r="S2418" s="50" t="s">
        <v>14853</v>
      </c>
      <c r="T2418" s="56" t="s">
        <v>14854</v>
      </c>
      <c r="U2418" s="53" t="s">
        <v>9870</v>
      </c>
    </row>
    <row r="2419">
      <c r="A2419" s="54" t="s">
        <v>14855</v>
      </c>
      <c r="B2419" s="50" t="s">
        <v>14856</v>
      </c>
      <c r="C2419" s="51" t="s">
        <v>9864</v>
      </c>
      <c r="D2419" s="51"/>
      <c r="E2419" s="51"/>
      <c r="F2419" s="51"/>
      <c r="G2419" s="50" t="s">
        <v>14857</v>
      </c>
      <c r="H2419" s="52">
        <v>44683.05142361111</v>
      </c>
      <c r="I2419" s="50"/>
      <c r="J2419" s="50"/>
      <c r="K2419" s="50"/>
      <c r="L2419" s="50"/>
      <c r="M2419" s="50" t="s">
        <v>14858</v>
      </c>
      <c r="N2419" s="50"/>
      <c r="O2419" s="53" t="s">
        <v>60</v>
      </c>
      <c r="P2419" s="55" t="s">
        <v>14859</v>
      </c>
      <c r="Q2419" s="50">
        <v>54.0</v>
      </c>
      <c r="R2419" s="50">
        <v>498.0</v>
      </c>
      <c r="S2419" s="50"/>
      <c r="T2419" s="56" t="s">
        <v>14860</v>
      </c>
      <c r="U2419" s="53" t="s">
        <v>9870</v>
      </c>
    </row>
    <row r="2420">
      <c r="A2420" s="54" t="s">
        <v>14861</v>
      </c>
      <c r="B2420" s="50" t="s">
        <v>14862</v>
      </c>
      <c r="C2420" s="51" t="s">
        <v>9864</v>
      </c>
      <c r="D2420" s="51"/>
      <c r="E2420" s="51"/>
      <c r="F2420" s="51"/>
      <c r="G2420" s="50" t="s">
        <v>14863</v>
      </c>
      <c r="H2420" s="52">
        <v>44683.051412037035</v>
      </c>
      <c r="I2420" s="50"/>
      <c r="J2420" s="50"/>
      <c r="K2420" s="50"/>
      <c r="L2420" s="50"/>
      <c r="M2420" s="50" t="s">
        <v>14864</v>
      </c>
      <c r="N2420" s="50"/>
      <c r="O2420" s="53" t="s">
        <v>783</v>
      </c>
      <c r="P2420" s="55" t="s">
        <v>14865</v>
      </c>
      <c r="Q2420" s="50">
        <v>338.0</v>
      </c>
      <c r="R2420" s="50">
        <v>1194.0</v>
      </c>
      <c r="S2420" s="50" t="s">
        <v>14866</v>
      </c>
      <c r="T2420" s="56" t="s">
        <v>14867</v>
      </c>
      <c r="U2420" s="53" t="s">
        <v>9870</v>
      </c>
    </row>
    <row r="2421">
      <c r="A2421" s="54" t="s">
        <v>14868</v>
      </c>
      <c r="B2421" s="50" t="s">
        <v>14869</v>
      </c>
      <c r="C2421" s="51" t="s">
        <v>367</v>
      </c>
      <c r="D2421" s="51"/>
      <c r="E2421" s="51"/>
      <c r="F2421" s="51"/>
      <c r="G2421" s="50" t="s">
        <v>14870</v>
      </c>
      <c r="H2421" s="52">
        <v>44683.05002314815</v>
      </c>
      <c r="I2421" s="50"/>
      <c r="J2421" s="50"/>
      <c r="K2421" s="50"/>
      <c r="L2421" s="50"/>
      <c r="M2421" s="50" t="s">
        <v>14871</v>
      </c>
      <c r="N2421" s="50"/>
      <c r="O2421" s="53" t="s">
        <v>92</v>
      </c>
      <c r="P2421" s="55" t="s">
        <v>14872</v>
      </c>
      <c r="Q2421" s="50">
        <v>5.0</v>
      </c>
      <c r="R2421" s="50">
        <v>91.0</v>
      </c>
      <c r="S2421" s="50"/>
      <c r="T2421" s="56" t="s">
        <v>14873</v>
      </c>
      <c r="U2421" s="53" t="s">
        <v>370</v>
      </c>
    </row>
    <row r="2422">
      <c r="A2422" s="54" t="s">
        <v>14874</v>
      </c>
      <c r="B2422" s="50" t="s">
        <v>14875</v>
      </c>
      <c r="C2422" s="51" t="s">
        <v>5522</v>
      </c>
      <c r="D2422" s="51"/>
      <c r="E2422" s="51"/>
      <c r="F2422" s="51"/>
      <c r="G2422" s="50" t="s">
        <v>14876</v>
      </c>
      <c r="H2422" s="52">
        <v>44683.05001157407</v>
      </c>
      <c r="I2422" s="50"/>
      <c r="J2422" s="50"/>
      <c r="K2422" s="50"/>
      <c r="L2422" s="50"/>
      <c r="M2422" s="50" t="s">
        <v>14877</v>
      </c>
      <c r="N2422" s="50"/>
      <c r="O2422" s="53" t="s">
        <v>70</v>
      </c>
      <c r="P2422" s="55" t="s">
        <v>14878</v>
      </c>
      <c r="Q2422" s="50">
        <v>325.0</v>
      </c>
      <c r="R2422" s="50">
        <v>581.0</v>
      </c>
      <c r="S2422" s="50" t="s">
        <v>5526</v>
      </c>
      <c r="T2422" s="56" t="s">
        <v>14879</v>
      </c>
      <c r="U2422" s="53" t="s">
        <v>5528</v>
      </c>
    </row>
    <row r="2423">
      <c r="A2423" s="54" t="s">
        <v>14880</v>
      </c>
      <c r="B2423" s="50" t="s">
        <v>14881</v>
      </c>
      <c r="C2423" s="51" t="s">
        <v>14882</v>
      </c>
      <c r="D2423" s="51"/>
      <c r="E2423" s="51"/>
      <c r="F2423" s="51"/>
      <c r="G2423" s="50" t="s">
        <v>14883</v>
      </c>
      <c r="H2423" s="52">
        <v>44683.049988425926</v>
      </c>
      <c r="I2423" s="50"/>
      <c r="J2423" s="50"/>
      <c r="K2423" s="50"/>
      <c r="L2423" s="50"/>
      <c r="M2423" s="50" t="s">
        <v>14884</v>
      </c>
      <c r="N2423" s="50"/>
      <c r="O2423" s="53" t="s">
        <v>60</v>
      </c>
      <c r="P2423" s="55" t="s">
        <v>14885</v>
      </c>
      <c r="Q2423" s="50">
        <v>3559.0</v>
      </c>
      <c r="R2423" s="50">
        <v>4979.0</v>
      </c>
      <c r="S2423" s="50" t="s">
        <v>14886</v>
      </c>
      <c r="T2423" s="56" t="s">
        <v>14887</v>
      </c>
      <c r="U2423" s="53" t="s">
        <v>14888</v>
      </c>
    </row>
    <row r="2424">
      <c r="A2424" s="54" t="s">
        <v>14889</v>
      </c>
      <c r="B2424" s="50" t="s">
        <v>14890</v>
      </c>
      <c r="C2424" s="51" t="s">
        <v>9864</v>
      </c>
      <c r="D2424" s="51"/>
      <c r="E2424" s="51"/>
      <c r="F2424" s="51"/>
      <c r="G2424" s="50" t="s">
        <v>14891</v>
      </c>
      <c r="H2424" s="52">
        <v>44683.04944444445</v>
      </c>
      <c r="I2424" s="50"/>
      <c r="J2424" s="50"/>
      <c r="K2424" s="50"/>
      <c r="L2424" s="50"/>
      <c r="M2424" s="50" t="s">
        <v>14892</v>
      </c>
      <c r="N2424" s="50"/>
      <c r="O2424" s="53" t="s">
        <v>217</v>
      </c>
      <c r="P2424" s="55" t="s">
        <v>14893</v>
      </c>
      <c r="Q2424" s="50">
        <v>12168.0</v>
      </c>
      <c r="R2424" s="50">
        <v>3604.0</v>
      </c>
      <c r="S2424" s="50" t="s">
        <v>14894</v>
      </c>
      <c r="T2424" s="56" t="s">
        <v>14895</v>
      </c>
      <c r="U2424" s="53" t="s">
        <v>9870</v>
      </c>
    </row>
    <row r="2425">
      <c r="A2425" s="54" t="s">
        <v>14896</v>
      </c>
      <c r="B2425" s="50" t="s">
        <v>14897</v>
      </c>
      <c r="C2425" s="51" t="s">
        <v>367</v>
      </c>
      <c r="D2425" s="51"/>
      <c r="E2425" s="51"/>
      <c r="F2425" s="51"/>
      <c r="G2425" s="50" t="s">
        <v>14898</v>
      </c>
      <c r="H2425" s="52">
        <v>44683.04939814815</v>
      </c>
      <c r="I2425" s="50"/>
      <c r="J2425" s="50"/>
      <c r="K2425" s="50"/>
      <c r="L2425" s="50"/>
      <c r="M2425" s="50" t="s">
        <v>14899</v>
      </c>
      <c r="N2425" s="50"/>
      <c r="O2425" s="53" t="s">
        <v>92</v>
      </c>
      <c r="P2425" s="55" t="s">
        <v>14900</v>
      </c>
      <c r="Q2425" s="50">
        <v>196.0</v>
      </c>
      <c r="R2425" s="50">
        <v>356.0</v>
      </c>
      <c r="S2425" s="50" t="s">
        <v>14901</v>
      </c>
      <c r="T2425" s="56" t="s">
        <v>14902</v>
      </c>
      <c r="U2425" s="53" t="s">
        <v>370</v>
      </c>
    </row>
    <row r="2426">
      <c r="A2426" s="54" t="s">
        <v>14903</v>
      </c>
      <c r="B2426" s="50" t="s">
        <v>14904</v>
      </c>
      <c r="C2426" s="51" t="s">
        <v>14905</v>
      </c>
      <c r="D2426" s="51"/>
      <c r="E2426" s="51"/>
      <c r="F2426" s="51"/>
      <c r="G2426" s="50" t="s">
        <v>14906</v>
      </c>
      <c r="H2426" s="52">
        <v>44683.049050925925</v>
      </c>
      <c r="I2426" s="50"/>
      <c r="J2426" s="50"/>
      <c r="K2426" s="50" t="s">
        <v>14907</v>
      </c>
      <c r="L2426" s="50" t="s">
        <v>14908</v>
      </c>
      <c r="M2426" s="50" t="s">
        <v>14909</v>
      </c>
      <c r="N2426" s="50" t="s">
        <v>14910</v>
      </c>
      <c r="O2426" s="53" t="s">
        <v>70</v>
      </c>
      <c r="P2426" s="55" t="s">
        <v>14911</v>
      </c>
      <c r="Q2426" s="50">
        <v>25947.0</v>
      </c>
      <c r="R2426" s="50">
        <v>25459.0</v>
      </c>
      <c r="S2426" s="50" t="s">
        <v>14912</v>
      </c>
      <c r="T2426" s="56" t="s">
        <v>14913</v>
      </c>
      <c r="U2426" s="53" t="s">
        <v>14914</v>
      </c>
    </row>
    <row r="2427">
      <c r="A2427" s="54" t="s">
        <v>14915</v>
      </c>
      <c r="B2427" s="50" t="s">
        <v>14916</v>
      </c>
      <c r="C2427" s="51" t="s">
        <v>9864</v>
      </c>
      <c r="D2427" s="51"/>
      <c r="E2427" s="51"/>
      <c r="F2427" s="51"/>
      <c r="G2427" s="50" t="s">
        <v>14917</v>
      </c>
      <c r="H2427" s="52">
        <v>44683.04771990741</v>
      </c>
      <c r="I2427" s="50"/>
      <c r="J2427" s="50"/>
      <c r="K2427" s="50"/>
      <c r="L2427" s="50"/>
      <c r="M2427" s="50" t="s">
        <v>14918</v>
      </c>
      <c r="N2427" s="50"/>
      <c r="O2427" s="53" t="s">
        <v>60</v>
      </c>
      <c r="P2427" s="55" t="s">
        <v>14919</v>
      </c>
      <c r="Q2427" s="50">
        <v>2353.0</v>
      </c>
      <c r="R2427" s="50">
        <v>4653.0</v>
      </c>
      <c r="S2427" s="50" t="s">
        <v>14920</v>
      </c>
      <c r="T2427" s="56" t="s">
        <v>14921</v>
      </c>
      <c r="U2427" s="53" t="s">
        <v>9870</v>
      </c>
    </row>
    <row r="2428">
      <c r="A2428" s="54" t="s">
        <v>14922</v>
      </c>
      <c r="B2428" s="50" t="s">
        <v>14923</v>
      </c>
      <c r="C2428" s="51" t="s">
        <v>14924</v>
      </c>
      <c r="D2428" s="51"/>
      <c r="E2428" s="51"/>
      <c r="F2428" s="51"/>
      <c r="G2428" s="50" t="s">
        <v>14925</v>
      </c>
      <c r="H2428" s="52">
        <v>44683.047326388885</v>
      </c>
      <c r="I2428" s="50"/>
      <c r="J2428" s="50"/>
      <c r="K2428" s="50"/>
      <c r="L2428" s="50"/>
      <c r="M2428" s="50" t="s">
        <v>14926</v>
      </c>
      <c r="N2428" s="50"/>
      <c r="O2428" s="53" t="s">
        <v>70</v>
      </c>
      <c r="P2428" s="55" t="s">
        <v>14927</v>
      </c>
      <c r="Q2428" s="50">
        <v>144.0</v>
      </c>
      <c r="R2428" s="50">
        <v>616.0</v>
      </c>
      <c r="S2428" s="50" t="s">
        <v>14928</v>
      </c>
      <c r="T2428" s="56" t="s">
        <v>14929</v>
      </c>
      <c r="U2428" s="53" t="s">
        <v>14930</v>
      </c>
    </row>
    <row r="2429">
      <c r="A2429" s="54" t="s">
        <v>14931</v>
      </c>
      <c r="B2429" s="50" t="s">
        <v>14932</v>
      </c>
      <c r="C2429" s="51" t="s">
        <v>367</v>
      </c>
      <c r="D2429" s="51"/>
      <c r="E2429" s="51"/>
      <c r="F2429" s="51"/>
      <c r="G2429" s="50" t="s">
        <v>14933</v>
      </c>
      <c r="H2429" s="52">
        <v>44683.04677083333</v>
      </c>
      <c r="I2429" s="50"/>
      <c r="J2429" s="50"/>
      <c r="K2429" s="50"/>
      <c r="L2429" s="50"/>
      <c r="M2429" s="50" t="s">
        <v>14934</v>
      </c>
      <c r="N2429" s="50"/>
      <c r="O2429" s="53" t="s">
        <v>60</v>
      </c>
      <c r="P2429" s="55" t="s">
        <v>14935</v>
      </c>
      <c r="Q2429" s="50">
        <v>1207.0</v>
      </c>
      <c r="R2429" s="50">
        <v>3583.0</v>
      </c>
      <c r="S2429" s="50" t="s">
        <v>14936</v>
      </c>
      <c r="T2429" s="56" t="s">
        <v>14937</v>
      </c>
      <c r="U2429" s="53" t="s">
        <v>370</v>
      </c>
    </row>
    <row r="2430">
      <c r="A2430" s="54" t="s">
        <v>14938</v>
      </c>
      <c r="B2430" s="50" t="s">
        <v>14939</v>
      </c>
      <c r="C2430" s="51" t="s">
        <v>367</v>
      </c>
      <c r="D2430" s="51"/>
      <c r="E2430" s="51"/>
      <c r="F2430" s="51"/>
      <c r="G2430" s="50" t="s">
        <v>14940</v>
      </c>
      <c r="H2430" s="52">
        <v>44683.04611111111</v>
      </c>
      <c r="I2430" s="50"/>
      <c r="J2430" s="50"/>
      <c r="K2430" s="50"/>
      <c r="L2430" s="50"/>
      <c r="M2430" s="50" t="s">
        <v>14941</v>
      </c>
      <c r="N2430" s="50"/>
      <c r="O2430" s="53" t="s">
        <v>70</v>
      </c>
      <c r="P2430" s="55" t="s">
        <v>14942</v>
      </c>
      <c r="Q2430" s="50">
        <v>424.0</v>
      </c>
      <c r="R2430" s="50">
        <v>339.0</v>
      </c>
      <c r="S2430" s="50"/>
      <c r="T2430" s="56" t="s">
        <v>14943</v>
      </c>
      <c r="U2430" s="53" t="s">
        <v>370</v>
      </c>
    </row>
    <row r="2431">
      <c r="A2431" s="54" t="s">
        <v>14944</v>
      </c>
      <c r="B2431" s="50" t="s">
        <v>14945</v>
      </c>
      <c r="C2431" s="51" t="s">
        <v>367</v>
      </c>
      <c r="D2431" s="51"/>
      <c r="E2431" s="51"/>
      <c r="F2431" s="51"/>
      <c r="G2431" s="50" t="s">
        <v>14946</v>
      </c>
      <c r="H2431" s="52">
        <v>44683.04545138888</v>
      </c>
      <c r="I2431" s="50"/>
      <c r="J2431" s="50"/>
      <c r="K2431" s="50"/>
      <c r="L2431" s="50"/>
      <c r="M2431" s="50" t="s">
        <v>14947</v>
      </c>
      <c r="N2431" s="50"/>
      <c r="O2431" s="53" t="s">
        <v>92</v>
      </c>
      <c r="P2431" s="55" t="s">
        <v>14948</v>
      </c>
      <c r="Q2431" s="50">
        <v>3812.0</v>
      </c>
      <c r="R2431" s="50">
        <v>4984.0</v>
      </c>
      <c r="S2431" s="50"/>
      <c r="T2431" s="56" t="s">
        <v>14949</v>
      </c>
      <c r="U2431" s="53" t="s">
        <v>370</v>
      </c>
    </row>
    <row r="2432">
      <c r="A2432" s="54" t="s">
        <v>14950</v>
      </c>
      <c r="B2432" s="50" t="s">
        <v>14951</v>
      </c>
      <c r="C2432" s="51" t="s">
        <v>367</v>
      </c>
      <c r="D2432" s="51"/>
      <c r="E2432" s="51"/>
      <c r="F2432" s="51"/>
      <c r="G2432" s="50" t="s">
        <v>14952</v>
      </c>
      <c r="H2432" s="52">
        <v>44683.04520833334</v>
      </c>
      <c r="I2432" s="50"/>
      <c r="J2432" s="50"/>
      <c r="K2432" s="50"/>
      <c r="L2432" s="50"/>
      <c r="M2432" s="50" t="s">
        <v>14953</v>
      </c>
      <c r="N2432" s="50"/>
      <c r="O2432" s="53" t="s">
        <v>92</v>
      </c>
      <c r="P2432" s="55" t="s">
        <v>14954</v>
      </c>
      <c r="Q2432" s="50">
        <v>812.0</v>
      </c>
      <c r="R2432" s="50">
        <v>2484.0</v>
      </c>
      <c r="S2432" s="50" t="s">
        <v>14955</v>
      </c>
      <c r="T2432" s="56" t="s">
        <v>14956</v>
      </c>
      <c r="U2432" s="53" t="s">
        <v>370</v>
      </c>
    </row>
    <row r="2433">
      <c r="A2433" s="54" t="s">
        <v>14957</v>
      </c>
      <c r="B2433" s="50" t="s">
        <v>14958</v>
      </c>
      <c r="C2433" s="51" t="s">
        <v>14882</v>
      </c>
      <c r="D2433" s="51"/>
      <c r="E2433" s="51"/>
      <c r="F2433" s="51"/>
      <c r="G2433" s="50" t="s">
        <v>14959</v>
      </c>
      <c r="H2433" s="52">
        <v>44683.04510416667</v>
      </c>
      <c r="I2433" s="50"/>
      <c r="J2433" s="50"/>
      <c r="K2433" s="50"/>
      <c r="L2433" s="50"/>
      <c r="M2433" s="50" t="s">
        <v>14960</v>
      </c>
      <c r="N2433" s="50"/>
      <c r="O2433" s="53" t="s">
        <v>92</v>
      </c>
      <c r="P2433" s="55" t="s">
        <v>14961</v>
      </c>
      <c r="Q2433" s="50">
        <v>400.0</v>
      </c>
      <c r="R2433" s="50">
        <v>552.0</v>
      </c>
      <c r="S2433" s="50" t="s">
        <v>14962</v>
      </c>
      <c r="T2433" s="56" t="s">
        <v>14963</v>
      </c>
      <c r="U2433" s="53" t="s">
        <v>14888</v>
      </c>
    </row>
    <row r="2434">
      <c r="A2434" s="54" t="s">
        <v>14964</v>
      </c>
      <c r="B2434" s="50" t="s">
        <v>14965</v>
      </c>
      <c r="C2434" s="51" t="s">
        <v>329</v>
      </c>
      <c r="D2434" s="51"/>
      <c r="E2434" s="51"/>
      <c r="F2434" s="51"/>
      <c r="G2434" s="50" t="s">
        <v>14966</v>
      </c>
      <c r="H2434" s="52">
        <v>44683.043912037036</v>
      </c>
      <c r="I2434" s="50"/>
      <c r="J2434" s="50"/>
      <c r="K2434" s="50"/>
      <c r="L2434" s="50"/>
      <c r="M2434" s="50" t="s">
        <v>14967</v>
      </c>
      <c r="N2434" s="50"/>
      <c r="O2434" s="53" t="s">
        <v>92</v>
      </c>
      <c r="P2434" s="55" t="s">
        <v>14968</v>
      </c>
      <c r="Q2434" s="50">
        <v>4128.0</v>
      </c>
      <c r="R2434" s="50">
        <v>4996.0</v>
      </c>
      <c r="S2434" s="50" t="s">
        <v>1064</v>
      </c>
      <c r="T2434" s="56" t="s">
        <v>14969</v>
      </c>
      <c r="U2434" s="53" t="s">
        <v>332</v>
      </c>
    </row>
    <row r="2435">
      <c r="A2435" s="54" t="s">
        <v>14970</v>
      </c>
      <c r="B2435" s="50" t="s">
        <v>14971</v>
      </c>
      <c r="C2435" s="51" t="s">
        <v>329</v>
      </c>
      <c r="D2435" s="51"/>
      <c r="E2435" s="51"/>
      <c r="F2435" s="51"/>
      <c r="G2435" s="50" t="s">
        <v>14972</v>
      </c>
      <c r="H2435" s="52">
        <v>44683.04387731482</v>
      </c>
      <c r="I2435" s="50"/>
      <c r="J2435" s="50"/>
      <c r="K2435" s="50"/>
      <c r="L2435" s="50"/>
      <c r="M2435" s="50" t="s">
        <v>14973</v>
      </c>
      <c r="N2435" s="50"/>
      <c r="O2435" s="53" t="s">
        <v>70</v>
      </c>
      <c r="P2435" s="55" t="s">
        <v>14974</v>
      </c>
      <c r="Q2435" s="50">
        <v>483.0</v>
      </c>
      <c r="R2435" s="50">
        <v>374.0</v>
      </c>
      <c r="S2435" s="50" t="s">
        <v>5254</v>
      </c>
      <c r="T2435" s="56" t="s">
        <v>14975</v>
      </c>
      <c r="U2435" s="53" t="s">
        <v>332</v>
      </c>
    </row>
    <row r="2436">
      <c r="A2436" s="54" t="s">
        <v>14976</v>
      </c>
      <c r="B2436" s="50" t="s">
        <v>14971</v>
      </c>
      <c r="C2436" s="51" t="s">
        <v>316</v>
      </c>
      <c r="D2436" s="51"/>
      <c r="E2436" s="51"/>
      <c r="F2436" s="51"/>
      <c r="G2436" s="50" t="s">
        <v>14977</v>
      </c>
      <c r="H2436" s="52">
        <v>44683.04365740741</v>
      </c>
      <c r="I2436" s="50"/>
      <c r="J2436" s="50"/>
      <c r="K2436" s="50"/>
      <c r="L2436" s="50"/>
      <c r="M2436" s="50" t="s">
        <v>14973</v>
      </c>
      <c r="N2436" s="50"/>
      <c r="O2436" s="53" t="s">
        <v>70</v>
      </c>
      <c r="P2436" s="55" t="s">
        <v>14974</v>
      </c>
      <c r="Q2436" s="50">
        <v>483.0</v>
      </c>
      <c r="R2436" s="50">
        <v>374.0</v>
      </c>
      <c r="S2436" s="50" t="s">
        <v>5254</v>
      </c>
      <c r="T2436" s="56" t="s">
        <v>14978</v>
      </c>
      <c r="U2436" s="53" t="s">
        <v>322</v>
      </c>
    </row>
    <row r="2437">
      <c r="A2437" s="54" t="s">
        <v>14979</v>
      </c>
      <c r="B2437" s="50" t="s">
        <v>14980</v>
      </c>
      <c r="C2437" s="51" t="s">
        <v>9864</v>
      </c>
      <c r="D2437" s="51"/>
      <c r="E2437" s="51"/>
      <c r="F2437" s="51"/>
      <c r="G2437" s="50" t="s">
        <v>14981</v>
      </c>
      <c r="H2437" s="52">
        <v>44683.04357638889</v>
      </c>
      <c r="I2437" s="50"/>
      <c r="J2437" s="50"/>
      <c r="K2437" s="50"/>
      <c r="L2437" s="50"/>
      <c r="M2437" s="50" t="s">
        <v>14982</v>
      </c>
      <c r="N2437" s="50"/>
      <c r="O2437" s="53" t="s">
        <v>60</v>
      </c>
      <c r="P2437" s="55" t="s">
        <v>14983</v>
      </c>
      <c r="Q2437" s="50">
        <v>24591.0</v>
      </c>
      <c r="R2437" s="50">
        <v>9220.0</v>
      </c>
      <c r="S2437" s="50" t="s">
        <v>14984</v>
      </c>
      <c r="T2437" s="56" t="s">
        <v>14985</v>
      </c>
      <c r="U2437" s="53" t="s">
        <v>9870</v>
      </c>
    </row>
    <row r="2438">
      <c r="A2438" s="54" t="s">
        <v>14986</v>
      </c>
      <c r="B2438" s="50" t="s">
        <v>14987</v>
      </c>
      <c r="C2438" s="51" t="s">
        <v>367</v>
      </c>
      <c r="D2438" s="51"/>
      <c r="E2438" s="51"/>
      <c r="F2438" s="51"/>
      <c r="G2438" s="50" t="s">
        <v>14988</v>
      </c>
      <c r="H2438" s="52">
        <v>44683.04225694445</v>
      </c>
      <c r="I2438" s="50"/>
      <c r="J2438" s="50"/>
      <c r="K2438" s="50"/>
      <c r="L2438" s="50"/>
      <c r="M2438" s="50" t="s">
        <v>14989</v>
      </c>
      <c r="N2438" s="50"/>
      <c r="O2438" s="53" t="s">
        <v>70</v>
      </c>
      <c r="P2438" s="55" t="s">
        <v>354</v>
      </c>
      <c r="Q2438" s="50">
        <v>3.0</v>
      </c>
      <c r="R2438" s="50">
        <v>66.0</v>
      </c>
      <c r="S2438" s="50" t="s">
        <v>14990</v>
      </c>
      <c r="T2438" s="56" t="s">
        <v>14991</v>
      </c>
      <c r="U2438" s="53" t="s">
        <v>370</v>
      </c>
    </row>
    <row r="2439">
      <c r="A2439" s="54" t="s">
        <v>14992</v>
      </c>
      <c r="B2439" s="50" t="s">
        <v>14993</v>
      </c>
      <c r="C2439" s="51" t="s">
        <v>367</v>
      </c>
      <c r="D2439" s="51"/>
      <c r="E2439" s="51"/>
      <c r="F2439" s="51"/>
      <c r="G2439" s="50" t="s">
        <v>14994</v>
      </c>
      <c r="H2439" s="52">
        <v>44683.04219907407</v>
      </c>
      <c r="I2439" s="50"/>
      <c r="J2439" s="50"/>
      <c r="K2439" s="50"/>
      <c r="L2439" s="50"/>
      <c r="M2439" s="50" t="s">
        <v>14995</v>
      </c>
      <c r="N2439" s="50"/>
      <c r="O2439" s="53" t="s">
        <v>70</v>
      </c>
      <c r="P2439" s="55" t="s">
        <v>14996</v>
      </c>
      <c r="Q2439" s="50">
        <v>118.0</v>
      </c>
      <c r="R2439" s="50">
        <v>101.0</v>
      </c>
      <c r="S2439" s="50"/>
      <c r="T2439" s="56" t="s">
        <v>14997</v>
      </c>
      <c r="U2439" s="53" t="s">
        <v>370</v>
      </c>
    </row>
    <row r="2440">
      <c r="A2440" s="54" t="s">
        <v>14998</v>
      </c>
      <c r="B2440" s="50" t="s">
        <v>14999</v>
      </c>
      <c r="C2440" s="51" t="s">
        <v>367</v>
      </c>
      <c r="D2440" s="51"/>
      <c r="E2440" s="51"/>
      <c r="F2440" s="51"/>
      <c r="G2440" s="50" t="s">
        <v>15000</v>
      </c>
      <c r="H2440" s="52">
        <v>44683.04201388889</v>
      </c>
      <c r="I2440" s="50"/>
      <c r="J2440" s="50"/>
      <c r="K2440" s="50"/>
      <c r="L2440" s="50"/>
      <c r="M2440" s="50" t="s">
        <v>15001</v>
      </c>
      <c r="N2440" s="50"/>
      <c r="O2440" s="53" t="s">
        <v>60</v>
      </c>
      <c r="P2440" s="55" t="s">
        <v>15002</v>
      </c>
      <c r="Q2440" s="50">
        <v>3776.0</v>
      </c>
      <c r="R2440" s="50">
        <v>4999.0</v>
      </c>
      <c r="S2440" s="50"/>
      <c r="T2440" s="56" t="s">
        <v>15003</v>
      </c>
      <c r="U2440" s="53" t="s">
        <v>370</v>
      </c>
    </row>
    <row r="2441">
      <c r="A2441" s="54" t="s">
        <v>15004</v>
      </c>
      <c r="B2441" s="50" t="s">
        <v>15005</v>
      </c>
      <c r="C2441" s="51" t="s">
        <v>367</v>
      </c>
      <c r="D2441" s="51"/>
      <c r="E2441" s="51"/>
      <c r="F2441" s="51"/>
      <c r="G2441" s="50" t="s">
        <v>15006</v>
      </c>
      <c r="H2441" s="52">
        <v>44683.04181712963</v>
      </c>
      <c r="I2441" s="50"/>
      <c r="J2441" s="50"/>
      <c r="K2441" s="50"/>
      <c r="L2441" s="50"/>
      <c r="M2441" s="50" t="s">
        <v>15007</v>
      </c>
      <c r="N2441" s="50"/>
      <c r="O2441" s="53" t="s">
        <v>217</v>
      </c>
      <c r="P2441" s="55" t="s">
        <v>15008</v>
      </c>
      <c r="Q2441" s="50">
        <v>404.0</v>
      </c>
      <c r="R2441" s="50">
        <v>506.0</v>
      </c>
      <c r="S2441" s="50"/>
      <c r="T2441" s="56" t="s">
        <v>15009</v>
      </c>
      <c r="U2441" s="53" t="s">
        <v>370</v>
      </c>
    </row>
    <row r="2442">
      <c r="A2442" s="54" t="s">
        <v>15010</v>
      </c>
      <c r="B2442" s="50" t="s">
        <v>15011</v>
      </c>
      <c r="C2442" s="51" t="s">
        <v>367</v>
      </c>
      <c r="D2442" s="51"/>
      <c r="E2442" s="51"/>
      <c r="F2442" s="51"/>
      <c r="G2442" s="50" t="s">
        <v>15012</v>
      </c>
      <c r="H2442" s="52">
        <v>44683.04131944444</v>
      </c>
      <c r="I2442" s="50"/>
      <c r="J2442" s="50"/>
      <c r="K2442" s="50"/>
      <c r="L2442" s="50"/>
      <c r="M2442" s="50" t="s">
        <v>15013</v>
      </c>
      <c r="N2442" s="50"/>
      <c r="O2442" s="53" t="s">
        <v>92</v>
      </c>
      <c r="P2442" s="55" t="s">
        <v>15014</v>
      </c>
      <c r="Q2442" s="50">
        <v>2671.0</v>
      </c>
      <c r="R2442" s="50">
        <v>4968.0</v>
      </c>
      <c r="S2442" s="50" t="s">
        <v>15015</v>
      </c>
      <c r="T2442" s="56" t="s">
        <v>15016</v>
      </c>
      <c r="U2442" s="53" t="s">
        <v>370</v>
      </c>
    </row>
    <row r="2443">
      <c r="A2443" s="54" t="s">
        <v>15017</v>
      </c>
      <c r="B2443" s="50" t="s">
        <v>15018</v>
      </c>
      <c r="C2443" s="51" t="s">
        <v>329</v>
      </c>
      <c r="D2443" s="51"/>
      <c r="E2443" s="51"/>
      <c r="F2443" s="51"/>
      <c r="G2443" s="50" t="s">
        <v>15019</v>
      </c>
      <c r="H2443" s="52">
        <v>44683.041238425925</v>
      </c>
      <c r="I2443" s="50"/>
      <c r="J2443" s="50"/>
      <c r="K2443" s="50"/>
      <c r="L2443" s="50"/>
      <c r="M2443" s="50" t="s">
        <v>15020</v>
      </c>
      <c r="N2443" s="50"/>
      <c r="O2443" s="53" t="s">
        <v>92</v>
      </c>
      <c r="P2443" s="55" t="s">
        <v>15021</v>
      </c>
      <c r="Q2443" s="50">
        <v>24.0</v>
      </c>
      <c r="R2443" s="50">
        <v>162.0</v>
      </c>
      <c r="S2443" s="50"/>
      <c r="T2443" s="56" t="s">
        <v>15022</v>
      </c>
      <c r="U2443" s="53" t="s">
        <v>332</v>
      </c>
    </row>
    <row r="2444">
      <c r="A2444" s="54" t="s">
        <v>15023</v>
      </c>
      <c r="B2444" s="50" t="s">
        <v>14980</v>
      </c>
      <c r="C2444" s="51" t="s">
        <v>15024</v>
      </c>
      <c r="D2444" s="51"/>
      <c r="E2444" s="51"/>
      <c r="F2444" s="51"/>
      <c r="G2444" s="50" t="s">
        <v>15025</v>
      </c>
      <c r="H2444" s="52">
        <v>44683.041180555556</v>
      </c>
      <c r="I2444" s="50"/>
      <c r="J2444" s="50"/>
      <c r="K2444" s="50"/>
      <c r="L2444" s="50"/>
      <c r="M2444" s="50" t="s">
        <v>14982</v>
      </c>
      <c r="N2444" s="50"/>
      <c r="O2444" s="53" t="s">
        <v>60</v>
      </c>
      <c r="P2444" s="55" t="s">
        <v>14983</v>
      </c>
      <c r="Q2444" s="50">
        <v>24591.0</v>
      </c>
      <c r="R2444" s="50">
        <v>9220.0</v>
      </c>
      <c r="S2444" s="50" t="s">
        <v>14984</v>
      </c>
      <c r="T2444" s="56" t="s">
        <v>15026</v>
      </c>
      <c r="U2444" s="53" t="s">
        <v>15027</v>
      </c>
    </row>
    <row r="2445">
      <c r="A2445" s="54" t="s">
        <v>15028</v>
      </c>
      <c r="B2445" s="50" t="s">
        <v>14980</v>
      </c>
      <c r="C2445" s="51" t="s">
        <v>15029</v>
      </c>
      <c r="D2445" s="51"/>
      <c r="E2445" s="51"/>
      <c r="F2445" s="51"/>
      <c r="G2445" s="50" t="s">
        <v>15030</v>
      </c>
      <c r="H2445" s="52">
        <v>44683.039930555555</v>
      </c>
      <c r="I2445" s="50"/>
      <c r="J2445" s="50"/>
      <c r="K2445" s="50"/>
      <c r="L2445" s="50"/>
      <c r="M2445" s="50" t="s">
        <v>14982</v>
      </c>
      <c r="N2445" s="50"/>
      <c r="O2445" s="53" t="s">
        <v>60</v>
      </c>
      <c r="P2445" s="55" t="s">
        <v>14983</v>
      </c>
      <c r="Q2445" s="50">
        <v>24591.0</v>
      </c>
      <c r="R2445" s="50">
        <v>9220.0</v>
      </c>
      <c r="S2445" s="50" t="s">
        <v>14984</v>
      </c>
      <c r="T2445" s="56" t="s">
        <v>15031</v>
      </c>
      <c r="U2445" s="53" t="s">
        <v>15032</v>
      </c>
    </row>
    <row r="2446">
      <c r="A2446" s="54" t="s">
        <v>15033</v>
      </c>
      <c r="B2446" s="50" t="s">
        <v>15034</v>
      </c>
      <c r="C2446" s="51" t="s">
        <v>367</v>
      </c>
      <c r="D2446" s="51"/>
      <c r="E2446" s="51"/>
      <c r="F2446" s="51"/>
      <c r="G2446" s="50" t="s">
        <v>15035</v>
      </c>
      <c r="H2446" s="52">
        <v>44683.03969907407</v>
      </c>
      <c r="I2446" s="50"/>
      <c r="J2446" s="50"/>
      <c r="K2446" s="50"/>
      <c r="L2446" s="50"/>
      <c r="M2446" s="50" t="s">
        <v>15036</v>
      </c>
      <c r="N2446" s="50"/>
      <c r="O2446" s="53" t="s">
        <v>70</v>
      </c>
      <c r="P2446" s="55" t="s">
        <v>15037</v>
      </c>
      <c r="Q2446" s="50">
        <v>6983.0</v>
      </c>
      <c r="R2446" s="50">
        <v>2595.0</v>
      </c>
      <c r="S2446" s="50" t="s">
        <v>129</v>
      </c>
      <c r="T2446" s="56" t="s">
        <v>15038</v>
      </c>
      <c r="U2446" s="53" t="s">
        <v>370</v>
      </c>
    </row>
    <row r="2447">
      <c r="A2447" s="54" t="s">
        <v>15039</v>
      </c>
      <c r="B2447" s="50" t="s">
        <v>15040</v>
      </c>
      <c r="C2447" s="51" t="s">
        <v>363</v>
      </c>
      <c r="D2447" s="51"/>
      <c r="E2447" s="51"/>
      <c r="F2447" s="51"/>
      <c r="G2447" s="50" t="s">
        <v>15041</v>
      </c>
      <c r="H2447" s="52">
        <v>44683.0390625</v>
      </c>
      <c r="I2447" s="50"/>
      <c r="J2447" s="50"/>
      <c r="K2447" s="50"/>
      <c r="L2447" s="50"/>
      <c r="M2447" s="50" t="s">
        <v>15042</v>
      </c>
      <c r="N2447" s="50"/>
      <c r="O2447" s="53" t="s">
        <v>92</v>
      </c>
      <c r="P2447" s="55" t="s">
        <v>354</v>
      </c>
      <c r="Q2447" s="50">
        <v>8.0</v>
      </c>
      <c r="R2447" s="50">
        <v>150.0</v>
      </c>
      <c r="S2447" s="50"/>
      <c r="T2447" s="56" t="s">
        <v>15043</v>
      </c>
      <c r="U2447" s="53" t="s">
        <v>332</v>
      </c>
    </row>
    <row r="2448">
      <c r="A2448" s="54" t="s">
        <v>15044</v>
      </c>
      <c r="B2448" s="50" t="s">
        <v>8154</v>
      </c>
      <c r="C2448" s="51" t="s">
        <v>316</v>
      </c>
      <c r="D2448" s="51"/>
      <c r="E2448" s="51"/>
      <c r="F2448" s="51"/>
      <c r="G2448" s="50" t="s">
        <v>15045</v>
      </c>
      <c r="H2448" s="52">
        <v>44683.038993055554</v>
      </c>
      <c r="I2448" s="50"/>
      <c r="J2448" s="50"/>
      <c r="K2448" s="50"/>
      <c r="L2448" s="50"/>
      <c r="M2448" s="50" t="s">
        <v>8156</v>
      </c>
      <c r="N2448" s="50"/>
      <c r="O2448" s="53" t="s">
        <v>60</v>
      </c>
      <c r="P2448" s="55" t="s">
        <v>8157</v>
      </c>
      <c r="Q2448" s="50">
        <v>1518.0</v>
      </c>
      <c r="R2448" s="50">
        <v>1814.0</v>
      </c>
      <c r="S2448" s="50" t="s">
        <v>8158</v>
      </c>
      <c r="T2448" s="56" t="s">
        <v>15046</v>
      </c>
      <c r="U2448" s="53" t="s">
        <v>322</v>
      </c>
    </row>
    <row r="2449">
      <c r="A2449" s="54" t="s">
        <v>15047</v>
      </c>
      <c r="B2449" s="50" t="s">
        <v>8154</v>
      </c>
      <c r="C2449" s="51" t="s">
        <v>363</v>
      </c>
      <c r="D2449" s="51"/>
      <c r="E2449" s="51"/>
      <c r="F2449" s="51"/>
      <c r="G2449" s="50" t="s">
        <v>15048</v>
      </c>
      <c r="H2449" s="52">
        <v>44683.03892361111</v>
      </c>
      <c r="I2449" s="50"/>
      <c r="J2449" s="50"/>
      <c r="K2449" s="50"/>
      <c r="L2449" s="50"/>
      <c r="M2449" s="50" t="s">
        <v>8156</v>
      </c>
      <c r="N2449" s="50"/>
      <c r="O2449" s="53" t="s">
        <v>60</v>
      </c>
      <c r="P2449" s="55" t="s">
        <v>8157</v>
      </c>
      <c r="Q2449" s="50">
        <v>1518.0</v>
      </c>
      <c r="R2449" s="50">
        <v>1814.0</v>
      </c>
      <c r="S2449" s="50" t="s">
        <v>8158</v>
      </c>
      <c r="T2449" s="56" t="s">
        <v>15049</v>
      </c>
      <c r="U2449" s="53" t="s">
        <v>332</v>
      </c>
    </row>
    <row r="2450">
      <c r="A2450" s="54" t="s">
        <v>15050</v>
      </c>
      <c r="B2450" s="50" t="s">
        <v>14980</v>
      </c>
      <c r="C2450" s="51" t="s">
        <v>1307</v>
      </c>
      <c r="D2450" s="51"/>
      <c r="E2450" s="51"/>
      <c r="F2450" s="51"/>
      <c r="G2450" s="50" t="s">
        <v>15051</v>
      </c>
      <c r="H2450" s="52">
        <v>44683.0372800926</v>
      </c>
      <c r="I2450" s="50"/>
      <c r="J2450" s="50"/>
      <c r="K2450" s="50"/>
      <c r="L2450" s="50"/>
      <c r="M2450" s="50" t="s">
        <v>14982</v>
      </c>
      <c r="N2450" s="50"/>
      <c r="O2450" s="53" t="s">
        <v>60</v>
      </c>
      <c r="P2450" s="55" t="s">
        <v>14983</v>
      </c>
      <c r="Q2450" s="50">
        <v>24591.0</v>
      </c>
      <c r="R2450" s="50">
        <v>9220.0</v>
      </c>
      <c r="S2450" s="50" t="s">
        <v>14984</v>
      </c>
      <c r="T2450" s="56" t="s">
        <v>15052</v>
      </c>
      <c r="U2450" s="53" t="s">
        <v>1313</v>
      </c>
    </row>
    <row r="2451">
      <c r="A2451" s="54" t="s">
        <v>15053</v>
      </c>
      <c r="B2451" s="50" t="s">
        <v>15054</v>
      </c>
      <c r="C2451" s="51" t="s">
        <v>316</v>
      </c>
      <c r="D2451" s="51"/>
      <c r="E2451" s="51"/>
      <c r="F2451" s="51"/>
      <c r="G2451" s="50" t="s">
        <v>15055</v>
      </c>
      <c r="H2451" s="52">
        <v>44683.037268518514</v>
      </c>
      <c r="I2451" s="50"/>
      <c r="J2451" s="50"/>
      <c r="K2451" s="50"/>
      <c r="L2451" s="50"/>
      <c r="M2451" s="50" t="s">
        <v>15056</v>
      </c>
      <c r="N2451" s="50"/>
      <c r="O2451" s="53" t="s">
        <v>70</v>
      </c>
      <c r="P2451" s="55" t="s">
        <v>15057</v>
      </c>
      <c r="Q2451" s="50">
        <v>2390.0</v>
      </c>
      <c r="R2451" s="50">
        <v>4984.0</v>
      </c>
      <c r="S2451" s="50" t="s">
        <v>5407</v>
      </c>
      <c r="T2451" s="56" t="s">
        <v>15058</v>
      </c>
      <c r="U2451" s="53" t="s">
        <v>322</v>
      </c>
    </row>
    <row r="2452">
      <c r="A2452" s="54" t="s">
        <v>15059</v>
      </c>
      <c r="B2452" s="50" t="s">
        <v>15060</v>
      </c>
      <c r="C2452" s="51" t="s">
        <v>367</v>
      </c>
      <c r="D2452" s="51"/>
      <c r="E2452" s="51"/>
      <c r="F2452" s="51"/>
      <c r="G2452" s="50" t="s">
        <v>15061</v>
      </c>
      <c r="H2452" s="52">
        <v>44683.0372337963</v>
      </c>
      <c r="I2452" s="50"/>
      <c r="J2452" s="50"/>
      <c r="K2452" s="50"/>
      <c r="L2452" s="50"/>
      <c r="M2452" s="50" t="s">
        <v>15062</v>
      </c>
      <c r="N2452" s="50"/>
      <c r="O2452" s="53" t="s">
        <v>60</v>
      </c>
      <c r="P2452" s="55" t="s">
        <v>15063</v>
      </c>
      <c r="Q2452" s="50">
        <v>65.0</v>
      </c>
      <c r="R2452" s="50">
        <v>463.0</v>
      </c>
      <c r="S2452" s="50" t="s">
        <v>805</v>
      </c>
      <c r="T2452" s="56" t="s">
        <v>15064</v>
      </c>
      <c r="U2452" s="53" t="s">
        <v>370</v>
      </c>
    </row>
    <row r="2453">
      <c r="A2453" s="54" t="s">
        <v>15065</v>
      </c>
      <c r="B2453" s="50" t="s">
        <v>15054</v>
      </c>
      <c r="C2453" s="51" t="s">
        <v>329</v>
      </c>
      <c r="D2453" s="51"/>
      <c r="E2453" s="51"/>
      <c r="F2453" s="51"/>
      <c r="G2453" s="50" t="s">
        <v>15066</v>
      </c>
      <c r="H2453" s="52">
        <v>44683.0371875</v>
      </c>
      <c r="I2453" s="50"/>
      <c r="J2453" s="50"/>
      <c r="K2453" s="50"/>
      <c r="L2453" s="50"/>
      <c r="M2453" s="50" t="s">
        <v>15056</v>
      </c>
      <c r="N2453" s="50"/>
      <c r="O2453" s="53" t="s">
        <v>70</v>
      </c>
      <c r="P2453" s="55" t="s">
        <v>15057</v>
      </c>
      <c r="Q2453" s="50">
        <v>2390.0</v>
      </c>
      <c r="R2453" s="50">
        <v>4984.0</v>
      </c>
      <c r="S2453" s="50" t="s">
        <v>5407</v>
      </c>
      <c r="T2453" s="56" t="s">
        <v>15067</v>
      </c>
      <c r="U2453" s="53" t="s">
        <v>332</v>
      </c>
    </row>
    <row r="2454">
      <c r="A2454" s="54" t="s">
        <v>15068</v>
      </c>
      <c r="B2454" s="50" t="s">
        <v>15069</v>
      </c>
      <c r="C2454" s="51" t="s">
        <v>367</v>
      </c>
      <c r="D2454" s="51"/>
      <c r="E2454" s="51"/>
      <c r="F2454" s="51"/>
      <c r="G2454" s="50" t="s">
        <v>15070</v>
      </c>
      <c r="H2454" s="52">
        <v>44683.036944444444</v>
      </c>
      <c r="I2454" s="50"/>
      <c r="J2454" s="50"/>
      <c r="K2454" s="50"/>
      <c r="L2454" s="50"/>
      <c r="M2454" s="50" t="s">
        <v>15071</v>
      </c>
      <c r="N2454" s="50"/>
      <c r="O2454" s="53" t="s">
        <v>92</v>
      </c>
      <c r="P2454" s="55" t="s">
        <v>15072</v>
      </c>
      <c r="Q2454" s="50">
        <v>1566.0</v>
      </c>
      <c r="R2454" s="50">
        <v>911.0</v>
      </c>
      <c r="S2454" s="50" t="s">
        <v>15073</v>
      </c>
      <c r="T2454" s="56" t="s">
        <v>15074</v>
      </c>
      <c r="U2454" s="53" t="s">
        <v>370</v>
      </c>
    </row>
    <row r="2455">
      <c r="A2455" s="54" t="s">
        <v>15075</v>
      </c>
      <c r="B2455" s="50" t="s">
        <v>14980</v>
      </c>
      <c r="C2455" s="51" t="s">
        <v>2499</v>
      </c>
      <c r="D2455" s="51"/>
      <c r="E2455" s="51"/>
      <c r="F2455" s="51"/>
      <c r="G2455" s="50" t="s">
        <v>15076</v>
      </c>
      <c r="H2455" s="52">
        <v>44683.03685185185</v>
      </c>
      <c r="I2455" s="50"/>
      <c r="J2455" s="50"/>
      <c r="K2455" s="50"/>
      <c r="L2455" s="50"/>
      <c r="M2455" s="50" t="s">
        <v>14982</v>
      </c>
      <c r="N2455" s="50"/>
      <c r="O2455" s="53" t="s">
        <v>60</v>
      </c>
      <c r="P2455" s="55" t="s">
        <v>14983</v>
      </c>
      <c r="Q2455" s="50">
        <v>24591.0</v>
      </c>
      <c r="R2455" s="50">
        <v>9220.0</v>
      </c>
      <c r="S2455" s="50" t="s">
        <v>14984</v>
      </c>
      <c r="T2455" s="56" t="s">
        <v>15077</v>
      </c>
      <c r="U2455" s="53" t="s">
        <v>2505</v>
      </c>
    </row>
    <row r="2456">
      <c r="A2456" s="54" t="s">
        <v>15078</v>
      </c>
      <c r="B2456" s="50" t="s">
        <v>15054</v>
      </c>
      <c r="C2456" s="51" t="s">
        <v>367</v>
      </c>
      <c r="D2456" s="51"/>
      <c r="E2456" s="51"/>
      <c r="F2456" s="51"/>
      <c r="G2456" s="50" t="s">
        <v>15079</v>
      </c>
      <c r="H2456" s="52">
        <v>44683.03680555556</v>
      </c>
      <c r="I2456" s="50"/>
      <c r="J2456" s="50"/>
      <c r="K2456" s="50"/>
      <c r="L2456" s="50"/>
      <c r="M2456" s="50" t="s">
        <v>15056</v>
      </c>
      <c r="N2456" s="50"/>
      <c r="O2456" s="53" t="s">
        <v>70</v>
      </c>
      <c r="P2456" s="55" t="s">
        <v>15057</v>
      </c>
      <c r="Q2456" s="50">
        <v>2390.0</v>
      </c>
      <c r="R2456" s="50">
        <v>4984.0</v>
      </c>
      <c r="S2456" s="50" t="s">
        <v>5407</v>
      </c>
      <c r="T2456" s="56" t="s">
        <v>15080</v>
      </c>
      <c r="U2456" s="53" t="s">
        <v>370</v>
      </c>
    </row>
    <row r="2457">
      <c r="A2457" s="54" t="s">
        <v>15081</v>
      </c>
      <c r="B2457" s="50" t="s">
        <v>15082</v>
      </c>
      <c r="C2457" s="51" t="s">
        <v>367</v>
      </c>
      <c r="D2457" s="51"/>
      <c r="E2457" s="51"/>
      <c r="F2457" s="51"/>
      <c r="G2457" s="50" t="s">
        <v>15083</v>
      </c>
      <c r="H2457" s="52">
        <v>44683.036631944444</v>
      </c>
      <c r="I2457" s="50"/>
      <c r="J2457" s="50"/>
      <c r="K2457" s="50"/>
      <c r="L2457" s="50"/>
      <c r="M2457" s="50" t="s">
        <v>15084</v>
      </c>
      <c r="N2457" s="50"/>
      <c r="O2457" s="53" t="s">
        <v>217</v>
      </c>
      <c r="P2457" s="55" t="s">
        <v>15085</v>
      </c>
      <c r="Q2457" s="50">
        <v>2735.0</v>
      </c>
      <c r="R2457" s="50">
        <v>4997.0</v>
      </c>
      <c r="S2457" s="50" t="s">
        <v>5009</v>
      </c>
      <c r="T2457" s="56" t="s">
        <v>15086</v>
      </c>
      <c r="U2457" s="53" t="s">
        <v>370</v>
      </c>
    </row>
    <row r="2458">
      <c r="A2458" s="54" t="s">
        <v>15087</v>
      </c>
      <c r="B2458" s="50" t="s">
        <v>15088</v>
      </c>
      <c r="C2458" s="51" t="s">
        <v>367</v>
      </c>
      <c r="D2458" s="51"/>
      <c r="E2458" s="51"/>
      <c r="F2458" s="51"/>
      <c r="G2458" s="50" t="s">
        <v>15089</v>
      </c>
      <c r="H2458" s="52">
        <v>44683.036574074074</v>
      </c>
      <c r="I2458" s="50"/>
      <c r="J2458" s="50"/>
      <c r="K2458" s="50"/>
      <c r="L2458" s="50"/>
      <c r="M2458" s="50" t="s">
        <v>15090</v>
      </c>
      <c r="N2458" s="50"/>
      <c r="O2458" s="53" t="s">
        <v>70</v>
      </c>
      <c r="P2458" s="55" t="s">
        <v>15091</v>
      </c>
      <c r="Q2458" s="50">
        <v>2431.0</v>
      </c>
      <c r="R2458" s="50">
        <v>4445.0</v>
      </c>
      <c r="S2458" s="50"/>
      <c r="T2458" s="56" t="s">
        <v>15092</v>
      </c>
      <c r="U2458" s="53" t="s">
        <v>370</v>
      </c>
    </row>
    <row r="2459">
      <c r="A2459" s="54" t="s">
        <v>15093</v>
      </c>
      <c r="B2459" s="50" t="s">
        <v>15094</v>
      </c>
      <c r="C2459" s="51" t="s">
        <v>363</v>
      </c>
      <c r="D2459" s="51"/>
      <c r="E2459" s="51"/>
      <c r="F2459" s="51"/>
      <c r="G2459" s="50" t="s">
        <v>15095</v>
      </c>
      <c r="H2459" s="52">
        <v>44683.03574074074</v>
      </c>
      <c r="I2459" s="50"/>
      <c r="J2459" s="50"/>
      <c r="K2459" s="50"/>
      <c r="L2459" s="50"/>
      <c r="M2459" s="50" t="s">
        <v>15096</v>
      </c>
      <c r="N2459" s="50"/>
      <c r="O2459" s="53" t="s">
        <v>70</v>
      </c>
      <c r="P2459" s="55" t="s">
        <v>15097</v>
      </c>
      <c r="Q2459" s="50">
        <v>2088.0</v>
      </c>
      <c r="R2459" s="50">
        <v>2762.0</v>
      </c>
      <c r="S2459" s="50" t="s">
        <v>15098</v>
      </c>
      <c r="T2459" s="56" t="s">
        <v>15099</v>
      </c>
      <c r="U2459" s="53" t="s">
        <v>332</v>
      </c>
    </row>
    <row r="2460">
      <c r="A2460" s="54" t="s">
        <v>15100</v>
      </c>
      <c r="B2460" s="50" t="s">
        <v>14980</v>
      </c>
      <c r="C2460" s="51" t="s">
        <v>367</v>
      </c>
      <c r="D2460" s="51"/>
      <c r="E2460" s="51"/>
      <c r="F2460" s="51"/>
      <c r="G2460" s="50" t="s">
        <v>15101</v>
      </c>
      <c r="H2460" s="52">
        <v>44683.03556712963</v>
      </c>
      <c r="I2460" s="50"/>
      <c r="J2460" s="50"/>
      <c r="K2460" s="50"/>
      <c r="L2460" s="50"/>
      <c r="M2460" s="50" t="s">
        <v>14982</v>
      </c>
      <c r="N2460" s="50"/>
      <c r="O2460" s="53" t="s">
        <v>60</v>
      </c>
      <c r="P2460" s="55" t="s">
        <v>14983</v>
      </c>
      <c r="Q2460" s="50">
        <v>24591.0</v>
      </c>
      <c r="R2460" s="50">
        <v>9220.0</v>
      </c>
      <c r="S2460" s="50" t="s">
        <v>14984</v>
      </c>
      <c r="T2460" s="56" t="s">
        <v>15102</v>
      </c>
      <c r="U2460" s="53" t="s">
        <v>370</v>
      </c>
    </row>
    <row r="2461">
      <c r="A2461" s="54" t="s">
        <v>15103</v>
      </c>
      <c r="B2461" s="50" t="s">
        <v>15094</v>
      </c>
      <c r="C2461" s="51" t="s">
        <v>367</v>
      </c>
      <c r="D2461" s="51"/>
      <c r="E2461" s="51"/>
      <c r="F2461" s="51"/>
      <c r="G2461" s="50" t="s">
        <v>15104</v>
      </c>
      <c r="H2461" s="52">
        <v>44683.03554398148</v>
      </c>
      <c r="I2461" s="50"/>
      <c r="J2461" s="50"/>
      <c r="K2461" s="50"/>
      <c r="L2461" s="50"/>
      <c r="M2461" s="50" t="s">
        <v>15096</v>
      </c>
      <c r="N2461" s="50"/>
      <c r="O2461" s="53" t="s">
        <v>70</v>
      </c>
      <c r="P2461" s="55" t="s">
        <v>15097</v>
      </c>
      <c r="Q2461" s="50">
        <v>2088.0</v>
      </c>
      <c r="R2461" s="50">
        <v>2762.0</v>
      </c>
      <c r="S2461" s="50" t="s">
        <v>15098</v>
      </c>
      <c r="T2461" s="56" t="s">
        <v>15105</v>
      </c>
      <c r="U2461" s="53" t="s">
        <v>370</v>
      </c>
    </row>
    <row r="2462">
      <c r="A2462" s="54" t="s">
        <v>15106</v>
      </c>
      <c r="B2462" s="50" t="s">
        <v>15107</v>
      </c>
      <c r="C2462" s="51" t="s">
        <v>367</v>
      </c>
      <c r="D2462" s="51"/>
      <c r="E2462" s="51"/>
      <c r="F2462" s="51"/>
      <c r="G2462" s="50" t="s">
        <v>15108</v>
      </c>
      <c r="H2462" s="52">
        <v>44683.03542824074</v>
      </c>
      <c r="I2462" s="50"/>
      <c r="J2462" s="50"/>
      <c r="K2462" s="50"/>
      <c r="L2462" s="50"/>
      <c r="M2462" s="50" t="s">
        <v>15109</v>
      </c>
      <c r="N2462" s="50"/>
      <c r="O2462" s="53" t="s">
        <v>60</v>
      </c>
      <c r="P2462" s="55" t="s">
        <v>15110</v>
      </c>
      <c r="Q2462" s="50">
        <v>1054.0</v>
      </c>
      <c r="R2462" s="50">
        <v>3703.0</v>
      </c>
      <c r="S2462" s="50" t="s">
        <v>15111</v>
      </c>
      <c r="T2462" s="56" t="s">
        <v>15112</v>
      </c>
      <c r="U2462" s="53" t="s">
        <v>370</v>
      </c>
    </row>
    <row r="2463">
      <c r="A2463" s="54" t="s">
        <v>15113</v>
      </c>
      <c r="B2463" s="50" t="s">
        <v>89</v>
      </c>
      <c r="C2463" s="51" t="s">
        <v>14882</v>
      </c>
      <c r="D2463" s="51"/>
      <c r="E2463" s="51"/>
      <c r="F2463" s="51"/>
      <c r="G2463" s="50" t="s">
        <v>15114</v>
      </c>
      <c r="H2463" s="52">
        <v>44683.035405092596</v>
      </c>
      <c r="I2463" s="50"/>
      <c r="J2463" s="50"/>
      <c r="K2463" s="50"/>
      <c r="L2463" s="50"/>
      <c r="M2463" s="50" t="s">
        <v>91</v>
      </c>
      <c r="N2463" s="50"/>
      <c r="O2463" s="53" t="s">
        <v>92</v>
      </c>
      <c r="P2463" s="55" t="s">
        <v>93</v>
      </c>
      <c r="Q2463" s="50">
        <v>2634.0</v>
      </c>
      <c r="R2463" s="50">
        <v>4984.0</v>
      </c>
      <c r="S2463" s="50" t="s">
        <v>94</v>
      </c>
      <c r="T2463" s="56" t="s">
        <v>15115</v>
      </c>
      <c r="U2463" s="53" t="s">
        <v>14888</v>
      </c>
    </row>
    <row r="2464">
      <c r="A2464" s="54" t="s">
        <v>15116</v>
      </c>
      <c r="B2464" s="50" t="s">
        <v>15117</v>
      </c>
      <c r="C2464" s="51" t="s">
        <v>367</v>
      </c>
      <c r="D2464" s="51"/>
      <c r="E2464" s="51"/>
      <c r="F2464" s="51"/>
      <c r="G2464" s="50" t="s">
        <v>15118</v>
      </c>
      <c r="H2464" s="52">
        <v>44683.035104166665</v>
      </c>
      <c r="I2464" s="50"/>
      <c r="J2464" s="50"/>
      <c r="K2464" s="50"/>
      <c r="L2464" s="50"/>
      <c r="M2464" s="50" t="s">
        <v>15119</v>
      </c>
      <c r="N2464" s="50"/>
      <c r="O2464" s="53" t="s">
        <v>70</v>
      </c>
      <c r="P2464" s="55" t="s">
        <v>15120</v>
      </c>
      <c r="Q2464" s="50">
        <v>945.0</v>
      </c>
      <c r="R2464" s="50">
        <v>3064.0</v>
      </c>
      <c r="S2464" s="50" t="s">
        <v>15121</v>
      </c>
      <c r="T2464" s="56" t="s">
        <v>15122</v>
      </c>
      <c r="U2464" s="53" t="s">
        <v>370</v>
      </c>
    </row>
    <row r="2465">
      <c r="A2465" s="54" t="s">
        <v>15123</v>
      </c>
      <c r="B2465" s="50" t="s">
        <v>1730</v>
      </c>
      <c r="C2465" s="51" t="s">
        <v>367</v>
      </c>
      <c r="D2465" s="51"/>
      <c r="E2465" s="51"/>
      <c r="F2465" s="51"/>
      <c r="G2465" s="50" t="s">
        <v>15124</v>
      </c>
      <c r="H2465" s="52">
        <v>44683.03471064815</v>
      </c>
      <c r="I2465" s="50"/>
      <c r="J2465" s="50"/>
      <c r="K2465" s="50"/>
      <c r="L2465" s="50"/>
      <c r="M2465" s="50" t="s">
        <v>1732</v>
      </c>
      <c r="N2465" s="50"/>
      <c r="O2465" s="53" t="s">
        <v>92</v>
      </c>
      <c r="P2465" s="55" t="s">
        <v>1733</v>
      </c>
      <c r="Q2465" s="50">
        <v>3441.0</v>
      </c>
      <c r="R2465" s="50">
        <v>3983.0</v>
      </c>
      <c r="S2465" s="50"/>
      <c r="T2465" s="56" t="s">
        <v>15125</v>
      </c>
      <c r="U2465" s="53" t="s">
        <v>370</v>
      </c>
    </row>
    <row r="2466">
      <c r="A2466" s="54" t="s">
        <v>15126</v>
      </c>
      <c r="B2466" s="50" t="s">
        <v>15127</v>
      </c>
      <c r="C2466" s="51" t="s">
        <v>367</v>
      </c>
      <c r="D2466" s="51"/>
      <c r="E2466" s="51"/>
      <c r="F2466" s="51"/>
      <c r="G2466" s="50" t="s">
        <v>15128</v>
      </c>
      <c r="H2466" s="52">
        <v>44683.034155092595</v>
      </c>
      <c r="I2466" s="50"/>
      <c r="J2466" s="50"/>
      <c r="K2466" s="50"/>
      <c r="L2466" s="50"/>
      <c r="M2466" s="50" t="s">
        <v>15129</v>
      </c>
      <c r="N2466" s="50"/>
      <c r="O2466" s="53" t="s">
        <v>70</v>
      </c>
      <c r="P2466" s="55" t="s">
        <v>15130</v>
      </c>
      <c r="Q2466" s="50">
        <v>1036.0</v>
      </c>
      <c r="R2466" s="50">
        <v>289.0</v>
      </c>
      <c r="S2466" s="50" t="s">
        <v>379</v>
      </c>
      <c r="T2466" s="56" t="s">
        <v>15131</v>
      </c>
      <c r="U2466" s="53" t="s">
        <v>370</v>
      </c>
    </row>
    <row r="2467">
      <c r="A2467" s="54" t="s">
        <v>15132</v>
      </c>
      <c r="B2467" s="50" t="s">
        <v>15133</v>
      </c>
      <c r="C2467" s="51" t="s">
        <v>15134</v>
      </c>
      <c r="D2467" s="51"/>
      <c r="E2467" s="51"/>
      <c r="F2467" s="51"/>
      <c r="G2467" s="50" t="s">
        <v>15135</v>
      </c>
      <c r="H2467" s="52">
        <v>44683.03375</v>
      </c>
      <c r="I2467" s="50"/>
      <c r="J2467" s="50"/>
      <c r="K2467" s="50"/>
      <c r="L2467" s="50"/>
      <c r="M2467" s="50" t="s">
        <v>15136</v>
      </c>
      <c r="N2467" s="50"/>
      <c r="O2467" s="53" t="s">
        <v>15137</v>
      </c>
      <c r="P2467" s="55" t="s">
        <v>354</v>
      </c>
      <c r="Q2467" s="50">
        <v>285.0</v>
      </c>
      <c r="R2467" s="50">
        <v>1.0</v>
      </c>
      <c r="S2467" s="50"/>
      <c r="T2467" s="56" t="s">
        <v>15138</v>
      </c>
      <c r="U2467" s="53" t="s">
        <v>15139</v>
      </c>
    </row>
    <row r="2468">
      <c r="A2468" s="54" t="s">
        <v>15140</v>
      </c>
      <c r="B2468" s="50" t="s">
        <v>15141</v>
      </c>
      <c r="C2468" s="51" t="s">
        <v>329</v>
      </c>
      <c r="D2468" s="51"/>
      <c r="E2468" s="51"/>
      <c r="F2468" s="51"/>
      <c r="G2468" s="50" t="s">
        <v>15142</v>
      </c>
      <c r="H2468" s="52">
        <v>44683.03324074074</v>
      </c>
      <c r="I2468" s="50"/>
      <c r="J2468" s="50"/>
      <c r="K2468" s="50"/>
      <c r="L2468" s="50"/>
      <c r="M2468" s="50" t="s">
        <v>15143</v>
      </c>
      <c r="N2468" s="50"/>
      <c r="O2468" s="53" t="s">
        <v>70</v>
      </c>
      <c r="P2468" s="55" t="s">
        <v>15144</v>
      </c>
      <c r="Q2468" s="50">
        <v>14276.0</v>
      </c>
      <c r="R2468" s="50">
        <v>15337.0</v>
      </c>
      <c r="S2468" s="50" t="s">
        <v>15145</v>
      </c>
      <c r="T2468" s="56" t="s">
        <v>15146</v>
      </c>
      <c r="U2468" s="53" t="s">
        <v>332</v>
      </c>
    </row>
    <row r="2469">
      <c r="A2469" s="54" t="s">
        <v>15147</v>
      </c>
      <c r="B2469" s="50" t="s">
        <v>15148</v>
      </c>
      <c r="C2469" s="51" t="s">
        <v>367</v>
      </c>
      <c r="D2469" s="51"/>
      <c r="E2469" s="51"/>
      <c r="F2469" s="51"/>
      <c r="G2469" s="50" t="s">
        <v>15149</v>
      </c>
      <c r="H2469" s="52">
        <v>44683.03322916667</v>
      </c>
      <c r="I2469" s="50"/>
      <c r="J2469" s="50"/>
      <c r="K2469" s="50"/>
      <c r="L2469" s="50"/>
      <c r="M2469" s="50" t="s">
        <v>15150</v>
      </c>
      <c r="N2469" s="50"/>
      <c r="O2469" s="53" t="s">
        <v>92</v>
      </c>
      <c r="P2469" s="55" t="s">
        <v>15151</v>
      </c>
      <c r="Q2469" s="50">
        <v>176.0</v>
      </c>
      <c r="R2469" s="50">
        <v>379.0</v>
      </c>
      <c r="S2469" s="50" t="s">
        <v>15152</v>
      </c>
      <c r="T2469" s="56" t="s">
        <v>15153</v>
      </c>
      <c r="U2469" s="53" t="s">
        <v>370</v>
      </c>
    </row>
    <row r="2470">
      <c r="A2470" s="54" t="s">
        <v>15154</v>
      </c>
      <c r="B2470" s="50" t="s">
        <v>15155</v>
      </c>
      <c r="C2470" s="51" t="s">
        <v>367</v>
      </c>
      <c r="D2470" s="51"/>
      <c r="E2470" s="51"/>
      <c r="F2470" s="51"/>
      <c r="G2470" s="50" t="s">
        <v>15156</v>
      </c>
      <c r="H2470" s="52">
        <v>44683.03297453704</v>
      </c>
      <c r="I2470" s="50"/>
      <c r="J2470" s="50"/>
      <c r="K2470" s="50"/>
      <c r="L2470" s="50"/>
      <c r="M2470" s="50" t="s">
        <v>15157</v>
      </c>
      <c r="N2470" s="50"/>
      <c r="O2470" s="53" t="s">
        <v>217</v>
      </c>
      <c r="P2470" s="55" t="s">
        <v>15158</v>
      </c>
      <c r="Q2470" s="50">
        <v>2341.0</v>
      </c>
      <c r="R2470" s="50">
        <v>2529.0</v>
      </c>
      <c r="S2470" s="50" t="s">
        <v>15159</v>
      </c>
      <c r="T2470" s="56" t="s">
        <v>15160</v>
      </c>
      <c r="U2470" s="53" t="s">
        <v>370</v>
      </c>
    </row>
    <row r="2471">
      <c r="A2471" s="54" t="s">
        <v>15161</v>
      </c>
      <c r="B2471" s="50" t="s">
        <v>14043</v>
      </c>
      <c r="C2471" s="51" t="s">
        <v>367</v>
      </c>
      <c r="D2471" s="51"/>
      <c r="E2471" s="51"/>
      <c r="F2471" s="51"/>
      <c r="G2471" s="50" t="s">
        <v>15162</v>
      </c>
      <c r="H2471" s="52">
        <v>44683.0322337963</v>
      </c>
      <c r="I2471" s="50"/>
      <c r="J2471" s="50"/>
      <c r="K2471" s="50"/>
      <c r="L2471" s="50"/>
      <c r="M2471" s="50" t="s">
        <v>14045</v>
      </c>
      <c r="N2471" s="50"/>
      <c r="O2471" s="53" t="s">
        <v>92</v>
      </c>
      <c r="P2471" s="55" t="s">
        <v>14046</v>
      </c>
      <c r="Q2471" s="50">
        <v>3325.0</v>
      </c>
      <c r="R2471" s="50">
        <v>4998.0</v>
      </c>
      <c r="S2471" s="50" t="s">
        <v>473</v>
      </c>
      <c r="T2471" s="56" t="s">
        <v>15163</v>
      </c>
      <c r="U2471" s="53" t="s">
        <v>370</v>
      </c>
    </row>
    <row r="2472">
      <c r="A2472" s="54" t="s">
        <v>15164</v>
      </c>
      <c r="B2472" s="50" t="s">
        <v>15165</v>
      </c>
      <c r="C2472" s="51" t="s">
        <v>15166</v>
      </c>
      <c r="D2472" s="51"/>
      <c r="E2472" s="51"/>
      <c r="F2472" s="51"/>
      <c r="G2472" s="50" t="s">
        <v>15167</v>
      </c>
      <c r="H2472" s="52">
        <v>44683.03130787037</v>
      </c>
      <c r="I2472" s="50"/>
      <c r="J2472" s="50"/>
      <c r="K2472" s="50" t="s">
        <v>10643</v>
      </c>
      <c r="L2472" s="50" t="s">
        <v>10644</v>
      </c>
      <c r="M2472" s="50" t="s">
        <v>15168</v>
      </c>
      <c r="N2472" s="50" t="s">
        <v>10646</v>
      </c>
      <c r="O2472" s="53" t="s">
        <v>60</v>
      </c>
      <c r="P2472" s="55" t="s">
        <v>15169</v>
      </c>
      <c r="Q2472" s="50">
        <v>303.0</v>
      </c>
      <c r="R2472" s="50">
        <v>714.0</v>
      </c>
      <c r="S2472" s="50" t="s">
        <v>5407</v>
      </c>
      <c r="T2472" s="56" t="s">
        <v>15170</v>
      </c>
      <c r="U2472" s="53" t="s">
        <v>15171</v>
      </c>
    </row>
    <row r="2473">
      <c r="A2473" s="54" t="s">
        <v>15172</v>
      </c>
      <c r="B2473" s="50" t="s">
        <v>15173</v>
      </c>
      <c r="C2473" s="51" t="s">
        <v>15174</v>
      </c>
      <c r="D2473" s="51"/>
      <c r="E2473" s="51"/>
      <c r="F2473" s="51"/>
      <c r="G2473" s="50" t="s">
        <v>15175</v>
      </c>
      <c r="H2473" s="52">
        <v>44683.031053240746</v>
      </c>
      <c r="I2473" s="50"/>
      <c r="J2473" s="50"/>
      <c r="K2473" s="50"/>
      <c r="L2473" s="50"/>
      <c r="M2473" s="50" t="s">
        <v>15176</v>
      </c>
      <c r="N2473" s="50"/>
      <c r="O2473" s="53" t="s">
        <v>60</v>
      </c>
      <c r="P2473" s="55" t="s">
        <v>15177</v>
      </c>
      <c r="Q2473" s="50">
        <v>37038.0</v>
      </c>
      <c r="R2473" s="50">
        <v>39935.0</v>
      </c>
      <c r="S2473" s="50" t="s">
        <v>1153</v>
      </c>
      <c r="T2473" s="56" t="s">
        <v>15178</v>
      </c>
      <c r="U2473" s="53" t="s">
        <v>15179</v>
      </c>
    </row>
    <row r="2474">
      <c r="A2474" s="54" t="s">
        <v>15180</v>
      </c>
      <c r="B2474" s="50" t="s">
        <v>15173</v>
      </c>
      <c r="C2474" s="51" t="s">
        <v>15181</v>
      </c>
      <c r="D2474" s="51"/>
      <c r="E2474" s="51"/>
      <c r="F2474" s="51"/>
      <c r="G2474" s="50" t="s">
        <v>15182</v>
      </c>
      <c r="H2474" s="52">
        <v>44683.03101851852</v>
      </c>
      <c r="I2474" s="50"/>
      <c r="J2474" s="50"/>
      <c r="K2474" s="50"/>
      <c r="L2474" s="50"/>
      <c r="M2474" s="50" t="s">
        <v>15176</v>
      </c>
      <c r="N2474" s="50"/>
      <c r="O2474" s="53" t="s">
        <v>60</v>
      </c>
      <c r="P2474" s="55" t="s">
        <v>15177</v>
      </c>
      <c r="Q2474" s="50">
        <v>37038.0</v>
      </c>
      <c r="R2474" s="50">
        <v>39935.0</v>
      </c>
      <c r="S2474" s="50" t="s">
        <v>1153</v>
      </c>
      <c r="T2474" s="56" t="s">
        <v>15183</v>
      </c>
      <c r="U2474" s="53" t="s">
        <v>15184</v>
      </c>
    </row>
    <row r="2475">
      <c r="A2475" s="54" t="s">
        <v>15185</v>
      </c>
      <c r="B2475" s="50" t="s">
        <v>15173</v>
      </c>
      <c r="C2475" s="51" t="s">
        <v>15186</v>
      </c>
      <c r="D2475" s="51"/>
      <c r="E2475" s="51"/>
      <c r="F2475" s="51"/>
      <c r="G2475" s="50" t="s">
        <v>15187</v>
      </c>
      <c r="H2475" s="52">
        <v>44683.03099537037</v>
      </c>
      <c r="I2475" s="50"/>
      <c r="J2475" s="50"/>
      <c r="K2475" s="50"/>
      <c r="L2475" s="50"/>
      <c r="M2475" s="50" t="s">
        <v>15176</v>
      </c>
      <c r="N2475" s="50"/>
      <c r="O2475" s="53" t="s">
        <v>60</v>
      </c>
      <c r="P2475" s="55" t="s">
        <v>15177</v>
      </c>
      <c r="Q2475" s="50">
        <v>37038.0</v>
      </c>
      <c r="R2475" s="50">
        <v>39935.0</v>
      </c>
      <c r="S2475" s="50" t="s">
        <v>1153</v>
      </c>
      <c r="T2475" s="56" t="s">
        <v>15188</v>
      </c>
      <c r="U2475" s="53" t="s">
        <v>15189</v>
      </c>
    </row>
    <row r="2476">
      <c r="A2476" s="54" t="s">
        <v>15190</v>
      </c>
      <c r="B2476" s="50" t="s">
        <v>15173</v>
      </c>
      <c r="C2476" s="51" t="s">
        <v>15191</v>
      </c>
      <c r="D2476" s="51"/>
      <c r="E2476" s="51"/>
      <c r="F2476" s="51"/>
      <c r="G2476" s="50" t="s">
        <v>15192</v>
      </c>
      <c r="H2476" s="52">
        <v>44683.03077546296</v>
      </c>
      <c r="I2476" s="50"/>
      <c r="J2476" s="50"/>
      <c r="K2476" s="50"/>
      <c r="L2476" s="50"/>
      <c r="M2476" s="50" t="s">
        <v>15176</v>
      </c>
      <c r="N2476" s="50"/>
      <c r="O2476" s="53" t="s">
        <v>60</v>
      </c>
      <c r="P2476" s="55" t="s">
        <v>15177</v>
      </c>
      <c r="Q2476" s="50">
        <v>37038.0</v>
      </c>
      <c r="R2476" s="50">
        <v>39935.0</v>
      </c>
      <c r="S2476" s="50" t="s">
        <v>1153</v>
      </c>
      <c r="T2476" s="56" t="s">
        <v>15193</v>
      </c>
      <c r="U2476" s="53" t="s">
        <v>15194</v>
      </c>
    </row>
    <row r="2477">
      <c r="A2477" s="54" t="s">
        <v>15195</v>
      </c>
      <c r="B2477" s="50" t="s">
        <v>15196</v>
      </c>
      <c r="C2477" s="51" t="s">
        <v>363</v>
      </c>
      <c r="D2477" s="51"/>
      <c r="E2477" s="51"/>
      <c r="F2477" s="51"/>
      <c r="G2477" s="50" t="s">
        <v>15197</v>
      </c>
      <c r="H2477" s="52">
        <v>44683.03074074074</v>
      </c>
      <c r="I2477" s="50"/>
      <c r="J2477" s="50"/>
      <c r="K2477" s="50"/>
      <c r="L2477" s="50"/>
      <c r="M2477" s="50" t="s">
        <v>15198</v>
      </c>
      <c r="N2477" s="50"/>
      <c r="O2477" s="53" t="s">
        <v>92</v>
      </c>
      <c r="P2477" s="55" t="s">
        <v>15199</v>
      </c>
      <c r="Q2477" s="50">
        <v>608.0</v>
      </c>
      <c r="R2477" s="50">
        <v>198.0</v>
      </c>
      <c r="S2477" s="50" t="s">
        <v>1064</v>
      </c>
      <c r="T2477" s="56" t="s">
        <v>15200</v>
      </c>
      <c r="U2477" s="53" t="s">
        <v>332</v>
      </c>
    </row>
    <row r="2478">
      <c r="A2478" s="54" t="s">
        <v>15201</v>
      </c>
      <c r="B2478" s="50" t="s">
        <v>15202</v>
      </c>
      <c r="C2478" s="51" t="s">
        <v>367</v>
      </c>
      <c r="D2478" s="51"/>
      <c r="E2478" s="51"/>
      <c r="F2478" s="51"/>
      <c r="G2478" s="50" t="s">
        <v>15203</v>
      </c>
      <c r="H2478" s="52">
        <v>44683.03056712963</v>
      </c>
      <c r="I2478" s="50"/>
      <c r="J2478" s="50"/>
      <c r="K2478" s="50"/>
      <c r="L2478" s="50"/>
      <c r="M2478" s="50" t="s">
        <v>15204</v>
      </c>
      <c r="N2478" s="50"/>
      <c r="O2478" s="53" t="s">
        <v>92</v>
      </c>
      <c r="P2478" s="55" t="s">
        <v>15205</v>
      </c>
      <c r="Q2478" s="50">
        <v>96.0</v>
      </c>
      <c r="R2478" s="50">
        <v>393.0</v>
      </c>
      <c r="S2478" s="50"/>
      <c r="T2478" s="56" t="s">
        <v>15206</v>
      </c>
      <c r="U2478" s="53" t="s">
        <v>370</v>
      </c>
    </row>
    <row r="2479">
      <c r="A2479" s="54" t="s">
        <v>15207</v>
      </c>
      <c r="B2479" s="50" t="s">
        <v>10070</v>
      </c>
      <c r="C2479" s="51" t="s">
        <v>2973</v>
      </c>
      <c r="D2479" s="51"/>
      <c r="E2479" s="51"/>
      <c r="F2479" s="51"/>
      <c r="G2479" s="50" t="s">
        <v>15208</v>
      </c>
      <c r="H2479" s="52">
        <v>44683.030543981484</v>
      </c>
      <c r="I2479" s="50"/>
      <c r="J2479" s="50"/>
      <c r="K2479" s="50"/>
      <c r="L2479" s="50"/>
      <c r="M2479" s="50" t="s">
        <v>10072</v>
      </c>
      <c r="N2479" s="50"/>
      <c r="O2479" s="53" t="s">
        <v>92</v>
      </c>
      <c r="P2479" s="55" t="s">
        <v>10073</v>
      </c>
      <c r="Q2479" s="50">
        <v>5678.0</v>
      </c>
      <c r="R2479" s="50">
        <v>6236.0</v>
      </c>
      <c r="S2479" s="50"/>
      <c r="T2479" s="56" t="s">
        <v>15209</v>
      </c>
      <c r="U2479" s="53" t="s">
        <v>2978</v>
      </c>
    </row>
    <row r="2480">
      <c r="A2480" s="54" t="s">
        <v>15210</v>
      </c>
      <c r="B2480" s="50" t="s">
        <v>15211</v>
      </c>
      <c r="C2480" s="51" t="s">
        <v>367</v>
      </c>
      <c r="D2480" s="51"/>
      <c r="E2480" s="51"/>
      <c r="F2480" s="51"/>
      <c r="G2480" s="50" t="s">
        <v>15212</v>
      </c>
      <c r="H2480" s="52">
        <v>44683.03050925926</v>
      </c>
      <c r="I2480" s="50"/>
      <c r="J2480" s="50"/>
      <c r="K2480" s="50"/>
      <c r="L2480" s="50"/>
      <c r="M2480" s="50" t="s">
        <v>15213</v>
      </c>
      <c r="N2480" s="50"/>
      <c r="O2480" s="53" t="s">
        <v>92</v>
      </c>
      <c r="P2480" s="55" t="s">
        <v>15214</v>
      </c>
      <c r="Q2480" s="50">
        <v>3916.0</v>
      </c>
      <c r="R2480" s="50">
        <v>5004.0</v>
      </c>
      <c r="S2480" s="50" t="s">
        <v>15215</v>
      </c>
      <c r="T2480" s="56" t="s">
        <v>15216</v>
      </c>
      <c r="U2480" s="53" t="s">
        <v>370</v>
      </c>
    </row>
    <row r="2481">
      <c r="A2481" s="54" t="s">
        <v>15217</v>
      </c>
      <c r="B2481" s="50" t="s">
        <v>15218</v>
      </c>
      <c r="C2481" s="51" t="s">
        <v>15219</v>
      </c>
      <c r="D2481" s="51"/>
      <c r="E2481" s="51"/>
      <c r="F2481" s="51"/>
      <c r="G2481" s="50" t="s">
        <v>15220</v>
      </c>
      <c r="H2481" s="52">
        <v>44683.03046296297</v>
      </c>
      <c r="I2481" s="50"/>
      <c r="J2481" s="50"/>
      <c r="K2481" s="50"/>
      <c r="L2481" s="50"/>
      <c r="M2481" s="50" t="s">
        <v>15221</v>
      </c>
      <c r="N2481" s="50"/>
      <c r="O2481" s="53" t="s">
        <v>92</v>
      </c>
      <c r="P2481" s="55" t="s">
        <v>15222</v>
      </c>
      <c r="Q2481" s="50">
        <v>28.0</v>
      </c>
      <c r="R2481" s="50">
        <v>109.0</v>
      </c>
      <c r="S2481" s="50" t="s">
        <v>129</v>
      </c>
      <c r="T2481" s="56" t="s">
        <v>15223</v>
      </c>
      <c r="U2481" s="53" t="s">
        <v>15224</v>
      </c>
    </row>
    <row r="2482">
      <c r="A2482" s="54" t="s">
        <v>15225</v>
      </c>
      <c r="B2482" s="50" t="s">
        <v>15226</v>
      </c>
      <c r="C2482" s="51" t="s">
        <v>316</v>
      </c>
      <c r="D2482" s="51"/>
      <c r="E2482" s="51"/>
      <c r="F2482" s="51"/>
      <c r="G2482" s="50" t="s">
        <v>15227</v>
      </c>
      <c r="H2482" s="52">
        <v>44683.030439814815</v>
      </c>
      <c r="I2482" s="50"/>
      <c r="J2482" s="50"/>
      <c r="K2482" s="50"/>
      <c r="L2482" s="50"/>
      <c r="M2482" s="50" t="s">
        <v>15228</v>
      </c>
      <c r="N2482" s="50"/>
      <c r="O2482" s="53" t="s">
        <v>92</v>
      </c>
      <c r="P2482" s="55" t="s">
        <v>15229</v>
      </c>
      <c r="Q2482" s="50">
        <v>674.0</v>
      </c>
      <c r="R2482" s="50">
        <v>417.0</v>
      </c>
      <c r="S2482" s="50" t="s">
        <v>129</v>
      </c>
      <c r="T2482" s="56" t="s">
        <v>15230</v>
      </c>
      <c r="U2482" s="53" t="s">
        <v>322</v>
      </c>
    </row>
    <row r="2483">
      <c r="A2483" s="54" t="s">
        <v>15231</v>
      </c>
      <c r="B2483" s="50" t="s">
        <v>15226</v>
      </c>
      <c r="C2483" s="51" t="s">
        <v>329</v>
      </c>
      <c r="D2483" s="51"/>
      <c r="E2483" s="51"/>
      <c r="F2483" s="51"/>
      <c r="G2483" s="50" t="s">
        <v>15232</v>
      </c>
      <c r="H2483" s="52">
        <v>44683.030381944445</v>
      </c>
      <c r="I2483" s="50"/>
      <c r="J2483" s="50"/>
      <c r="K2483" s="50"/>
      <c r="L2483" s="50"/>
      <c r="M2483" s="50" t="s">
        <v>15228</v>
      </c>
      <c r="N2483" s="50"/>
      <c r="O2483" s="53" t="s">
        <v>92</v>
      </c>
      <c r="P2483" s="55" t="s">
        <v>15229</v>
      </c>
      <c r="Q2483" s="50">
        <v>674.0</v>
      </c>
      <c r="R2483" s="50">
        <v>417.0</v>
      </c>
      <c r="S2483" s="50" t="s">
        <v>129</v>
      </c>
      <c r="T2483" s="56" t="s">
        <v>15233</v>
      </c>
      <c r="U2483" s="53" t="s">
        <v>332</v>
      </c>
    </row>
    <row r="2484">
      <c r="A2484" s="54" t="s">
        <v>15234</v>
      </c>
      <c r="B2484" s="50" t="s">
        <v>15226</v>
      </c>
      <c r="C2484" s="51" t="s">
        <v>335</v>
      </c>
      <c r="D2484" s="51"/>
      <c r="E2484" s="51"/>
      <c r="F2484" s="51"/>
      <c r="G2484" s="50" t="s">
        <v>15235</v>
      </c>
      <c r="H2484" s="52">
        <v>44683.030231481476</v>
      </c>
      <c r="I2484" s="50"/>
      <c r="J2484" s="50"/>
      <c r="K2484" s="50"/>
      <c r="L2484" s="50"/>
      <c r="M2484" s="50" t="s">
        <v>15228</v>
      </c>
      <c r="N2484" s="50"/>
      <c r="O2484" s="53" t="s">
        <v>92</v>
      </c>
      <c r="P2484" s="55" t="s">
        <v>15229</v>
      </c>
      <c r="Q2484" s="50">
        <v>674.0</v>
      </c>
      <c r="R2484" s="50">
        <v>417.0</v>
      </c>
      <c r="S2484" s="50" t="s">
        <v>129</v>
      </c>
      <c r="T2484" s="56" t="s">
        <v>15236</v>
      </c>
      <c r="U2484" s="53" t="s">
        <v>339</v>
      </c>
    </row>
    <row r="2485">
      <c r="A2485" s="54" t="s">
        <v>15237</v>
      </c>
      <c r="B2485" s="50" t="s">
        <v>15226</v>
      </c>
      <c r="C2485" s="51" t="s">
        <v>363</v>
      </c>
      <c r="D2485" s="51"/>
      <c r="E2485" s="51"/>
      <c r="F2485" s="51"/>
      <c r="G2485" s="50" t="s">
        <v>15238</v>
      </c>
      <c r="H2485" s="52">
        <v>44683.030069444445</v>
      </c>
      <c r="I2485" s="50"/>
      <c r="J2485" s="50"/>
      <c r="K2485" s="50"/>
      <c r="L2485" s="50"/>
      <c r="M2485" s="50" t="s">
        <v>15228</v>
      </c>
      <c r="N2485" s="50"/>
      <c r="O2485" s="53" t="s">
        <v>92</v>
      </c>
      <c r="P2485" s="55" t="s">
        <v>15229</v>
      </c>
      <c r="Q2485" s="50">
        <v>674.0</v>
      </c>
      <c r="R2485" s="50">
        <v>417.0</v>
      </c>
      <c r="S2485" s="50" t="s">
        <v>129</v>
      </c>
      <c r="T2485" s="56" t="s">
        <v>15239</v>
      </c>
      <c r="U2485" s="53" t="s">
        <v>332</v>
      </c>
    </row>
    <row r="2486">
      <c r="A2486" s="54" t="s">
        <v>15240</v>
      </c>
      <c r="B2486" s="50" t="s">
        <v>15241</v>
      </c>
      <c r="C2486" s="51" t="s">
        <v>15242</v>
      </c>
      <c r="D2486" s="51"/>
      <c r="E2486" s="51"/>
      <c r="F2486" s="51"/>
      <c r="G2486" s="50" t="s">
        <v>15243</v>
      </c>
      <c r="H2486" s="52">
        <v>44683.02993055555</v>
      </c>
      <c r="I2486" s="50"/>
      <c r="J2486" s="50"/>
      <c r="K2486" s="50"/>
      <c r="L2486" s="50"/>
      <c r="M2486" s="50" t="s">
        <v>15244</v>
      </c>
      <c r="N2486" s="50"/>
      <c r="O2486" s="53" t="s">
        <v>70</v>
      </c>
      <c r="P2486" s="55" t="s">
        <v>15245</v>
      </c>
      <c r="Q2486" s="50">
        <v>693.0</v>
      </c>
      <c r="R2486" s="50">
        <v>1053.0</v>
      </c>
      <c r="S2486" s="50"/>
      <c r="T2486" s="56" t="s">
        <v>15246</v>
      </c>
      <c r="U2486" s="53" t="s">
        <v>15247</v>
      </c>
    </row>
    <row r="2487">
      <c r="A2487" s="54" t="s">
        <v>15248</v>
      </c>
      <c r="B2487" s="50" t="s">
        <v>15226</v>
      </c>
      <c r="C2487" s="51" t="s">
        <v>367</v>
      </c>
      <c r="D2487" s="51"/>
      <c r="E2487" s="51"/>
      <c r="F2487" s="51"/>
      <c r="G2487" s="50" t="s">
        <v>15249</v>
      </c>
      <c r="H2487" s="52">
        <v>44683.02987268519</v>
      </c>
      <c r="I2487" s="50"/>
      <c r="J2487" s="50"/>
      <c r="K2487" s="50"/>
      <c r="L2487" s="50"/>
      <c r="M2487" s="50" t="s">
        <v>15228</v>
      </c>
      <c r="N2487" s="50"/>
      <c r="O2487" s="53" t="s">
        <v>92</v>
      </c>
      <c r="P2487" s="55" t="s">
        <v>15229</v>
      </c>
      <c r="Q2487" s="50">
        <v>674.0</v>
      </c>
      <c r="R2487" s="50">
        <v>417.0</v>
      </c>
      <c r="S2487" s="50" t="s">
        <v>129</v>
      </c>
      <c r="T2487" s="56" t="s">
        <v>15250</v>
      </c>
      <c r="U2487" s="53" t="s">
        <v>370</v>
      </c>
    </row>
    <row r="2488">
      <c r="A2488" s="54" t="s">
        <v>15251</v>
      </c>
      <c r="B2488" s="50" t="s">
        <v>15252</v>
      </c>
      <c r="C2488" s="51" t="s">
        <v>15253</v>
      </c>
      <c r="D2488" s="51"/>
      <c r="E2488" s="51"/>
      <c r="F2488" s="51"/>
      <c r="G2488" s="50" t="s">
        <v>15254</v>
      </c>
      <c r="H2488" s="52">
        <v>44683.029375</v>
      </c>
      <c r="I2488" s="50"/>
      <c r="J2488" s="50"/>
      <c r="K2488" s="50" t="s">
        <v>8580</v>
      </c>
      <c r="L2488" s="50" t="s">
        <v>8581</v>
      </c>
      <c r="M2488" s="50" t="s">
        <v>15255</v>
      </c>
      <c r="N2488" s="50" t="s">
        <v>8583</v>
      </c>
      <c r="O2488" s="53" t="s">
        <v>70</v>
      </c>
      <c r="P2488" s="55" t="s">
        <v>354</v>
      </c>
      <c r="Q2488" s="50">
        <v>40.0</v>
      </c>
      <c r="R2488" s="50">
        <v>75.0</v>
      </c>
      <c r="S2488" s="50"/>
      <c r="T2488" s="56" t="s">
        <v>15256</v>
      </c>
      <c r="U2488" s="53" t="s">
        <v>15257</v>
      </c>
    </row>
    <row r="2489">
      <c r="A2489" s="54" t="s">
        <v>15258</v>
      </c>
      <c r="B2489" s="50" t="s">
        <v>15259</v>
      </c>
      <c r="C2489" s="51" t="s">
        <v>316</v>
      </c>
      <c r="D2489" s="51"/>
      <c r="E2489" s="51"/>
      <c r="F2489" s="51"/>
      <c r="G2489" s="50" t="s">
        <v>15260</v>
      </c>
      <c r="H2489" s="52">
        <v>44683.02892361111</v>
      </c>
      <c r="I2489" s="50"/>
      <c r="J2489" s="50"/>
      <c r="K2489" s="50"/>
      <c r="L2489" s="50"/>
      <c r="M2489" s="50" t="s">
        <v>15261</v>
      </c>
      <c r="N2489" s="50"/>
      <c r="O2489" s="53" t="s">
        <v>60</v>
      </c>
      <c r="P2489" s="55" t="s">
        <v>15262</v>
      </c>
      <c r="Q2489" s="50">
        <v>5421.0</v>
      </c>
      <c r="R2489" s="50">
        <v>5523.0</v>
      </c>
      <c r="S2489" s="50" t="s">
        <v>729</v>
      </c>
      <c r="T2489" s="56" t="s">
        <v>15263</v>
      </c>
      <c r="U2489" s="53" t="s">
        <v>322</v>
      </c>
    </row>
    <row r="2490">
      <c r="A2490" s="54" t="s">
        <v>15264</v>
      </c>
      <c r="B2490" s="50" t="s">
        <v>15265</v>
      </c>
      <c r="C2490" s="51" t="s">
        <v>15266</v>
      </c>
      <c r="D2490" s="51"/>
      <c r="E2490" s="51"/>
      <c r="F2490" s="51"/>
      <c r="G2490" s="50" t="s">
        <v>15267</v>
      </c>
      <c r="H2490" s="52">
        <v>44683.02888888889</v>
      </c>
      <c r="I2490" s="50"/>
      <c r="J2490" s="50"/>
      <c r="K2490" s="50"/>
      <c r="L2490" s="50"/>
      <c r="M2490" s="50" t="s">
        <v>15268</v>
      </c>
      <c r="N2490" s="50"/>
      <c r="O2490" s="53" t="s">
        <v>70</v>
      </c>
      <c r="P2490" s="55" t="s">
        <v>15269</v>
      </c>
      <c r="Q2490" s="50">
        <v>249.0</v>
      </c>
      <c r="R2490" s="50">
        <v>136.0</v>
      </c>
      <c r="S2490" s="50"/>
      <c r="T2490" s="56" t="s">
        <v>15270</v>
      </c>
      <c r="U2490" s="53" t="s">
        <v>15271</v>
      </c>
    </row>
    <row r="2491">
      <c r="A2491" s="54" t="s">
        <v>15272</v>
      </c>
      <c r="B2491" s="50" t="s">
        <v>15273</v>
      </c>
      <c r="C2491" s="51" t="s">
        <v>15274</v>
      </c>
      <c r="D2491" s="51"/>
      <c r="E2491" s="51"/>
      <c r="F2491" s="51"/>
      <c r="G2491" s="50" t="s">
        <v>15275</v>
      </c>
      <c r="H2491" s="52">
        <v>44683.0288425926</v>
      </c>
      <c r="I2491" s="50"/>
      <c r="J2491" s="50"/>
      <c r="K2491" s="50"/>
      <c r="L2491" s="50"/>
      <c r="M2491" s="50" t="s">
        <v>15276</v>
      </c>
      <c r="N2491" s="50"/>
      <c r="O2491" s="53" t="s">
        <v>15277</v>
      </c>
      <c r="P2491" s="55" t="s">
        <v>15278</v>
      </c>
      <c r="Q2491" s="50">
        <v>76.0</v>
      </c>
      <c r="R2491" s="50">
        <v>83.0</v>
      </c>
      <c r="S2491" s="50" t="s">
        <v>15279</v>
      </c>
      <c r="T2491" s="56" t="s">
        <v>15280</v>
      </c>
      <c r="U2491" s="53" t="s">
        <v>15281</v>
      </c>
    </row>
    <row r="2492">
      <c r="A2492" s="54" t="s">
        <v>15282</v>
      </c>
      <c r="B2492" s="50" t="s">
        <v>15283</v>
      </c>
      <c r="C2492" s="51" t="s">
        <v>9487</v>
      </c>
      <c r="D2492" s="51"/>
      <c r="E2492" s="51"/>
      <c r="F2492" s="51"/>
      <c r="G2492" s="50" t="s">
        <v>15284</v>
      </c>
      <c r="H2492" s="52">
        <v>44683.02875</v>
      </c>
      <c r="I2492" s="50"/>
      <c r="J2492" s="50"/>
      <c r="K2492" s="50"/>
      <c r="L2492" s="50"/>
      <c r="M2492" s="50" t="s">
        <v>15285</v>
      </c>
      <c r="N2492" s="50"/>
      <c r="O2492" s="53" t="s">
        <v>70</v>
      </c>
      <c r="P2492" s="55" t="s">
        <v>15286</v>
      </c>
      <c r="Q2492" s="50">
        <v>940.0</v>
      </c>
      <c r="R2492" s="50">
        <v>942.0</v>
      </c>
      <c r="S2492" s="50" t="s">
        <v>379</v>
      </c>
      <c r="T2492" s="56" t="s">
        <v>15287</v>
      </c>
      <c r="U2492" s="53" t="s">
        <v>691</v>
      </c>
    </row>
    <row r="2493">
      <c r="A2493" s="54" t="s">
        <v>15288</v>
      </c>
      <c r="B2493" s="50" t="s">
        <v>15289</v>
      </c>
      <c r="C2493" s="51" t="s">
        <v>363</v>
      </c>
      <c r="D2493" s="51"/>
      <c r="E2493" s="51"/>
      <c r="F2493" s="51"/>
      <c r="G2493" s="50" t="s">
        <v>15290</v>
      </c>
      <c r="H2493" s="52">
        <v>44683.028437500005</v>
      </c>
      <c r="I2493" s="50"/>
      <c r="J2493" s="50"/>
      <c r="K2493" s="50"/>
      <c r="L2493" s="50"/>
      <c r="M2493" s="50" t="s">
        <v>15291</v>
      </c>
      <c r="N2493" s="50"/>
      <c r="O2493" s="53" t="s">
        <v>92</v>
      </c>
      <c r="P2493" s="55" t="s">
        <v>15292</v>
      </c>
      <c r="Q2493" s="50">
        <v>4960.0</v>
      </c>
      <c r="R2493" s="50">
        <v>5456.0</v>
      </c>
      <c r="S2493" s="50"/>
      <c r="T2493" s="56" t="s">
        <v>15293</v>
      </c>
      <c r="U2493" s="53" t="s">
        <v>332</v>
      </c>
    </row>
    <row r="2494">
      <c r="A2494" s="54" t="s">
        <v>15294</v>
      </c>
      <c r="B2494" s="50" t="s">
        <v>15295</v>
      </c>
      <c r="C2494" s="51" t="s">
        <v>316</v>
      </c>
      <c r="D2494" s="51"/>
      <c r="E2494" s="51"/>
      <c r="F2494" s="51"/>
      <c r="G2494" s="50" t="s">
        <v>15296</v>
      </c>
      <c r="H2494" s="52">
        <v>44683.02842592592</v>
      </c>
      <c r="I2494" s="50"/>
      <c r="J2494" s="50"/>
      <c r="K2494" s="50"/>
      <c r="L2494" s="50"/>
      <c r="M2494" s="50" t="s">
        <v>15297</v>
      </c>
      <c r="N2494" s="50"/>
      <c r="O2494" s="53" t="s">
        <v>1070</v>
      </c>
      <c r="P2494" s="55" t="s">
        <v>15298</v>
      </c>
      <c r="Q2494" s="50">
        <v>1208.0</v>
      </c>
      <c r="R2494" s="50">
        <v>4761.0</v>
      </c>
      <c r="S2494" s="50" t="s">
        <v>15299</v>
      </c>
      <c r="T2494" s="56" t="s">
        <v>15300</v>
      </c>
      <c r="U2494" s="53" t="s">
        <v>322</v>
      </c>
    </row>
    <row r="2495">
      <c r="A2495" s="54" t="s">
        <v>15301</v>
      </c>
      <c r="B2495" s="50" t="s">
        <v>15289</v>
      </c>
      <c r="C2495" s="51" t="s">
        <v>316</v>
      </c>
      <c r="D2495" s="51"/>
      <c r="E2495" s="51"/>
      <c r="F2495" s="51"/>
      <c r="G2495" s="50" t="s">
        <v>15302</v>
      </c>
      <c r="H2495" s="52">
        <v>44683.02836805556</v>
      </c>
      <c r="I2495" s="50"/>
      <c r="J2495" s="50"/>
      <c r="K2495" s="50"/>
      <c r="L2495" s="50"/>
      <c r="M2495" s="50" t="s">
        <v>15291</v>
      </c>
      <c r="N2495" s="50"/>
      <c r="O2495" s="53" t="s">
        <v>92</v>
      </c>
      <c r="P2495" s="55" t="s">
        <v>15292</v>
      </c>
      <c r="Q2495" s="50">
        <v>4960.0</v>
      </c>
      <c r="R2495" s="50">
        <v>5456.0</v>
      </c>
      <c r="S2495" s="50"/>
      <c r="T2495" s="56" t="s">
        <v>15303</v>
      </c>
      <c r="U2495" s="53" t="s">
        <v>322</v>
      </c>
    </row>
    <row r="2496">
      <c r="A2496" s="54" t="s">
        <v>15304</v>
      </c>
      <c r="B2496" s="50" t="s">
        <v>2694</v>
      </c>
      <c r="C2496" s="51" t="s">
        <v>15266</v>
      </c>
      <c r="D2496" s="51"/>
      <c r="E2496" s="51"/>
      <c r="F2496" s="51"/>
      <c r="G2496" s="50" t="s">
        <v>15305</v>
      </c>
      <c r="H2496" s="52">
        <v>44683.027812500004</v>
      </c>
      <c r="I2496" s="50"/>
      <c r="J2496" s="50"/>
      <c r="K2496" s="50"/>
      <c r="L2496" s="50"/>
      <c r="M2496" s="50" t="s">
        <v>2697</v>
      </c>
      <c r="N2496" s="50"/>
      <c r="O2496" s="53" t="s">
        <v>2698</v>
      </c>
      <c r="P2496" s="55" t="s">
        <v>2699</v>
      </c>
      <c r="Q2496" s="50">
        <v>2177.0</v>
      </c>
      <c r="R2496" s="50">
        <v>508.0</v>
      </c>
      <c r="S2496" s="50" t="s">
        <v>2700</v>
      </c>
      <c r="T2496" s="56" t="s">
        <v>15306</v>
      </c>
      <c r="U2496" s="53" t="s">
        <v>15271</v>
      </c>
    </row>
    <row r="2497">
      <c r="A2497" s="54" t="s">
        <v>15307</v>
      </c>
      <c r="B2497" s="50" t="s">
        <v>15196</v>
      </c>
      <c r="C2497" s="51" t="s">
        <v>316</v>
      </c>
      <c r="D2497" s="51"/>
      <c r="E2497" s="51"/>
      <c r="F2497" s="51"/>
      <c r="G2497" s="50" t="s">
        <v>15308</v>
      </c>
      <c r="H2497" s="52">
        <v>44683.027592592596</v>
      </c>
      <c r="I2497" s="50"/>
      <c r="J2497" s="50"/>
      <c r="K2497" s="50"/>
      <c r="L2497" s="50"/>
      <c r="M2497" s="50" t="s">
        <v>15198</v>
      </c>
      <c r="N2497" s="50"/>
      <c r="O2497" s="53" t="s">
        <v>92</v>
      </c>
      <c r="P2497" s="55" t="s">
        <v>15199</v>
      </c>
      <c r="Q2497" s="50">
        <v>608.0</v>
      </c>
      <c r="R2497" s="50">
        <v>198.0</v>
      </c>
      <c r="S2497" s="50" t="s">
        <v>1064</v>
      </c>
      <c r="T2497" s="56" t="s">
        <v>15309</v>
      </c>
      <c r="U2497" s="53" t="s">
        <v>322</v>
      </c>
    </row>
    <row r="2498">
      <c r="A2498" s="54" t="s">
        <v>15310</v>
      </c>
      <c r="B2498" s="50" t="s">
        <v>15311</v>
      </c>
      <c r="C2498" s="51" t="s">
        <v>316</v>
      </c>
      <c r="D2498" s="51"/>
      <c r="E2498" s="51"/>
      <c r="F2498" s="51"/>
      <c r="G2498" s="50" t="s">
        <v>15312</v>
      </c>
      <c r="H2498" s="52">
        <v>44683.02755787037</v>
      </c>
      <c r="I2498" s="50"/>
      <c r="J2498" s="50"/>
      <c r="K2498" s="50"/>
      <c r="L2498" s="50"/>
      <c r="M2498" s="50" t="s">
        <v>15313</v>
      </c>
      <c r="N2498" s="50"/>
      <c r="O2498" s="53" t="s">
        <v>60</v>
      </c>
      <c r="P2498" s="55" t="s">
        <v>15314</v>
      </c>
      <c r="Q2498" s="50">
        <v>5826.0</v>
      </c>
      <c r="R2498" s="50">
        <v>4822.0</v>
      </c>
      <c r="S2498" s="50"/>
      <c r="T2498" s="56" t="s">
        <v>15315</v>
      </c>
      <c r="U2498" s="53" t="s">
        <v>322</v>
      </c>
    </row>
    <row r="2499">
      <c r="A2499" s="54" t="s">
        <v>15316</v>
      </c>
      <c r="B2499" s="50" t="s">
        <v>15311</v>
      </c>
      <c r="C2499" s="51" t="s">
        <v>329</v>
      </c>
      <c r="D2499" s="51"/>
      <c r="E2499" s="51"/>
      <c r="F2499" s="51"/>
      <c r="G2499" s="50" t="s">
        <v>15317</v>
      </c>
      <c r="H2499" s="52">
        <v>44683.02746527777</v>
      </c>
      <c r="I2499" s="50"/>
      <c r="J2499" s="50"/>
      <c r="K2499" s="50"/>
      <c r="L2499" s="50"/>
      <c r="M2499" s="50" t="s">
        <v>15313</v>
      </c>
      <c r="N2499" s="50"/>
      <c r="O2499" s="53" t="s">
        <v>60</v>
      </c>
      <c r="P2499" s="55" t="s">
        <v>15314</v>
      </c>
      <c r="Q2499" s="50">
        <v>5826.0</v>
      </c>
      <c r="R2499" s="50">
        <v>4822.0</v>
      </c>
      <c r="S2499" s="50"/>
      <c r="T2499" s="56" t="s">
        <v>15318</v>
      </c>
      <c r="U2499" s="53" t="s">
        <v>332</v>
      </c>
    </row>
    <row r="2500">
      <c r="A2500" s="54" t="s">
        <v>15319</v>
      </c>
      <c r="B2500" s="50" t="s">
        <v>15320</v>
      </c>
      <c r="C2500" s="51" t="s">
        <v>15321</v>
      </c>
      <c r="D2500" s="51"/>
      <c r="E2500" s="51"/>
      <c r="F2500" s="51"/>
      <c r="G2500" s="50" t="s">
        <v>15317</v>
      </c>
      <c r="H2500" s="52">
        <v>44683.02746527777</v>
      </c>
      <c r="I2500" s="50"/>
      <c r="J2500" s="50"/>
      <c r="K2500" s="50" t="s">
        <v>15322</v>
      </c>
      <c r="L2500" s="50" t="s">
        <v>15323</v>
      </c>
      <c r="M2500" s="50" t="s">
        <v>15324</v>
      </c>
      <c r="N2500" s="50" t="s">
        <v>15325</v>
      </c>
      <c r="O2500" s="53" t="s">
        <v>217</v>
      </c>
      <c r="P2500" s="55" t="s">
        <v>15326</v>
      </c>
      <c r="Q2500" s="50">
        <v>657.0</v>
      </c>
      <c r="R2500" s="50">
        <v>190.0</v>
      </c>
      <c r="S2500" s="50" t="s">
        <v>15327</v>
      </c>
      <c r="T2500" s="56" t="s">
        <v>15328</v>
      </c>
      <c r="U2500" s="53" t="s">
        <v>15329</v>
      </c>
    </row>
    <row r="2501">
      <c r="A2501" s="54" t="s">
        <v>15330</v>
      </c>
      <c r="B2501" s="50" t="s">
        <v>15311</v>
      </c>
      <c r="C2501" s="51" t="s">
        <v>363</v>
      </c>
      <c r="D2501" s="51"/>
      <c r="E2501" s="51"/>
      <c r="F2501" s="51"/>
      <c r="G2501" s="50" t="s">
        <v>15331</v>
      </c>
      <c r="H2501" s="52">
        <v>44683.02740740741</v>
      </c>
      <c r="I2501" s="50"/>
      <c r="J2501" s="50"/>
      <c r="K2501" s="50"/>
      <c r="L2501" s="50"/>
      <c r="M2501" s="50" t="s">
        <v>15313</v>
      </c>
      <c r="N2501" s="50"/>
      <c r="O2501" s="53" t="s">
        <v>60</v>
      </c>
      <c r="P2501" s="55" t="s">
        <v>15314</v>
      </c>
      <c r="Q2501" s="50">
        <v>5826.0</v>
      </c>
      <c r="R2501" s="50">
        <v>4822.0</v>
      </c>
      <c r="S2501" s="50"/>
      <c r="T2501" s="56" t="s">
        <v>15332</v>
      </c>
      <c r="U2501" s="53" t="s">
        <v>332</v>
      </c>
    </row>
    <row r="2502">
      <c r="A2502" s="54" t="s">
        <v>15333</v>
      </c>
      <c r="B2502" s="50" t="s">
        <v>15311</v>
      </c>
      <c r="C2502" s="51" t="s">
        <v>367</v>
      </c>
      <c r="D2502" s="51"/>
      <c r="E2502" s="51"/>
      <c r="F2502" s="51"/>
      <c r="G2502" s="50" t="s">
        <v>15334</v>
      </c>
      <c r="H2502" s="52">
        <v>44683.02722222223</v>
      </c>
      <c r="I2502" s="50"/>
      <c r="J2502" s="50"/>
      <c r="K2502" s="50"/>
      <c r="L2502" s="50"/>
      <c r="M2502" s="50" t="s">
        <v>15313</v>
      </c>
      <c r="N2502" s="50"/>
      <c r="O2502" s="53" t="s">
        <v>60</v>
      </c>
      <c r="P2502" s="55" t="s">
        <v>15314</v>
      </c>
      <c r="Q2502" s="50">
        <v>5826.0</v>
      </c>
      <c r="R2502" s="50">
        <v>4822.0</v>
      </c>
      <c r="S2502" s="50"/>
      <c r="T2502" s="56" t="s">
        <v>15335</v>
      </c>
      <c r="U2502" s="53" t="s">
        <v>370</v>
      </c>
    </row>
    <row r="2503">
      <c r="A2503" s="54" t="s">
        <v>15336</v>
      </c>
      <c r="B2503" s="50" t="s">
        <v>75</v>
      </c>
      <c r="C2503" s="51" t="s">
        <v>329</v>
      </c>
      <c r="D2503" s="51"/>
      <c r="E2503" s="51"/>
      <c r="F2503" s="51"/>
      <c r="G2503" s="50" t="s">
        <v>15337</v>
      </c>
      <c r="H2503" s="52">
        <v>44683.02685185186</v>
      </c>
      <c r="I2503" s="50"/>
      <c r="J2503" s="50"/>
      <c r="K2503" s="50"/>
      <c r="L2503" s="50"/>
      <c r="M2503" s="50" t="s">
        <v>77</v>
      </c>
      <c r="N2503" s="50"/>
      <c r="O2503" s="53" t="s">
        <v>217</v>
      </c>
      <c r="P2503" s="55" t="s">
        <v>78</v>
      </c>
      <c r="Q2503" s="50">
        <v>2762.0</v>
      </c>
      <c r="R2503" s="50">
        <v>312.0</v>
      </c>
      <c r="S2503" s="50" t="s">
        <v>79</v>
      </c>
      <c r="T2503" s="56" t="s">
        <v>15338</v>
      </c>
      <c r="U2503" s="53" t="s">
        <v>332</v>
      </c>
    </row>
    <row r="2504">
      <c r="A2504" s="54" t="s">
        <v>15339</v>
      </c>
      <c r="B2504" s="50" t="s">
        <v>75</v>
      </c>
      <c r="C2504" s="51" t="s">
        <v>335</v>
      </c>
      <c r="D2504" s="51"/>
      <c r="E2504" s="51"/>
      <c r="F2504" s="51"/>
      <c r="G2504" s="50" t="s">
        <v>15340</v>
      </c>
      <c r="H2504" s="52">
        <v>44683.026817129634</v>
      </c>
      <c r="I2504" s="50"/>
      <c r="J2504" s="50"/>
      <c r="K2504" s="50"/>
      <c r="L2504" s="50"/>
      <c r="M2504" s="50" t="s">
        <v>77</v>
      </c>
      <c r="N2504" s="50"/>
      <c r="O2504" s="53" t="s">
        <v>217</v>
      </c>
      <c r="P2504" s="55" t="s">
        <v>78</v>
      </c>
      <c r="Q2504" s="50">
        <v>2762.0</v>
      </c>
      <c r="R2504" s="50">
        <v>312.0</v>
      </c>
      <c r="S2504" s="50" t="s">
        <v>79</v>
      </c>
      <c r="T2504" s="56" t="s">
        <v>15341</v>
      </c>
      <c r="U2504" s="53" t="s">
        <v>339</v>
      </c>
    </row>
    <row r="2505">
      <c r="A2505" s="54" t="s">
        <v>15342</v>
      </c>
      <c r="B2505" s="50" t="s">
        <v>15343</v>
      </c>
      <c r="C2505" s="51" t="s">
        <v>367</v>
      </c>
      <c r="D2505" s="51"/>
      <c r="E2505" s="51"/>
      <c r="F2505" s="51"/>
      <c r="G2505" s="50" t="s">
        <v>15344</v>
      </c>
      <c r="H2505" s="52">
        <v>44683.02663194445</v>
      </c>
      <c r="I2505" s="50"/>
      <c r="J2505" s="50"/>
      <c r="K2505" s="50"/>
      <c r="L2505" s="50"/>
      <c r="M2505" s="50" t="s">
        <v>15345</v>
      </c>
      <c r="N2505" s="50"/>
      <c r="O2505" s="53" t="s">
        <v>70</v>
      </c>
      <c r="P2505" s="55" t="s">
        <v>15346</v>
      </c>
      <c r="Q2505" s="50">
        <v>5341.0</v>
      </c>
      <c r="R2505" s="50">
        <v>5832.0</v>
      </c>
      <c r="S2505" s="50" t="s">
        <v>15347</v>
      </c>
      <c r="T2505" s="56" t="s">
        <v>15348</v>
      </c>
      <c r="U2505" s="53" t="s">
        <v>370</v>
      </c>
    </row>
    <row r="2506">
      <c r="A2506" s="54" t="s">
        <v>15349</v>
      </c>
      <c r="B2506" s="50" t="s">
        <v>75</v>
      </c>
      <c r="C2506" s="51" t="s">
        <v>367</v>
      </c>
      <c r="D2506" s="51"/>
      <c r="E2506" s="51"/>
      <c r="F2506" s="51"/>
      <c r="G2506" s="50" t="s">
        <v>15350</v>
      </c>
      <c r="H2506" s="52">
        <v>44683.02649305556</v>
      </c>
      <c r="I2506" s="50"/>
      <c r="J2506" s="50"/>
      <c r="K2506" s="50"/>
      <c r="L2506" s="50"/>
      <c r="M2506" s="50" t="s">
        <v>77</v>
      </c>
      <c r="N2506" s="50"/>
      <c r="O2506" s="53" t="s">
        <v>217</v>
      </c>
      <c r="P2506" s="55" t="s">
        <v>78</v>
      </c>
      <c r="Q2506" s="50">
        <v>2762.0</v>
      </c>
      <c r="R2506" s="50">
        <v>312.0</v>
      </c>
      <c r="S2506" s="50" t="s">
        <v>79</v>
      </c>
      <c r="T2506" s="56" t="s">
        <v>15351</v>
      </c>
      <c r="U2506" s="53" t="s">
        <v>370</v>
      </c>
    </row>
    <row r="2507">
      <c r="A2507" s="54" t="s">
        <v>15352</v>
      </c>
      <c r="B2507" s="50" t="s">
        <v>12989</v>
      </c>
      <c r="C2507" s="51" t="s">
        <v>367</v>
      </c>
      <c r="D2507" s="51"/>
      <c r="E2507" s="51"/>
      <c r="F2507" s="51"/>
      <c r="G2507" s="50" t="s">
        <v>15353</v>
      </c>
      <c r="H2507" s="52">
        <v>44683.02638888889</v>
      </c>
      <c r="I2507" s="50"/>
      <c r="J2507" s="50"/>
      <c r="K2507" s="50"/>
      <c r="L2507" s="50"/>
      <c r="M2507" s="50" t="s">
        <v>12988</v>
      </c>
      <c r="N2507" s="50"/>
      <c r="O2507" s="53" t="s">
        <v>60</v>
      </c>
      <c r="P2507" s="55" t="s">
        <v>15354</v>
      </c>
      <c r="Q2507" s="50">
        <v>37576.0</v>
      </c>
      <c r="R2507" s="50">
        <v>25498.0</v>
      </c>
      <c r="S2507" s="50" t="s">
        <v>219</v>
      </c>
      <c r="T2507" s="56" t="s">
        <v>15355</v>
      </c>
      <c r="U2507" s="53" t="s">
        <v>370</v>
      </c>
    </row>
    <row r="2508">
      <c r="A2508" s="54" t="s">
        <v>15356</v>
      </c>
      <c r="B2508" s="50" t="s">
        <v>15357</v>
      </c>
      <c r="C2508" s="51" t="s">
        <v>15358</v>
      </c>
      <c r="D2508" s="51"/>
      <c r="E2508" s="51"/>
      <c r="F2508" s="51"/>
      <c r="G2508" s="50" t="s">
        <v>15359</v>
      </c>
      <c r="H2508" s="52">
        <v>44683.02600694445</v>
      </c>
      <c r="I2508" s="50"/>
      <c r="J2508" s="50"/>
      <c r="K2508" s="50" t="s">
        <v>8580</v>
      </c>
      <c r="L2508" s="50" t="s">
        <v>8581</v>
      </c>
      <c r="M2508" s="50" t="s">
        <v>15360</v>
      </c>
      <c r="N2508" s="50" t="s">
        <v>8583</v>
      </c>
      <c r="O2508" s="53" t="s">
        <v>60</v>
      </c>
      <c r="P2508" s="55" t="s">
        <v>15361</v>
      </c>
      <c r="Q2508" s="50">
        <v>996.0</v>
      </c>
      <c r="R2508" s="50">
        <v>1194.0</v>
      </c>
      <c r="S2508" s="50" t="s">
        <v>219</v>
      </c>
      <c r="T2508" s="56" t="s">
        <v>15362</v>
      </c>
      <c r="U2508" s="53" t="s">
        <v>15363</v>
      </c>
    </row>
    <row r="2509">
      <c r="A2509" s="54" t="s">
        <v>15364</v>
      </c>
      <c r="B2509" s="50" t="s">
        <v>15365</v>
      </c>
      <c r="C2509" s="51" t="s">
        <v>367</v>
      </c>
      <c r="D2509" s="51"/>
      <c r="E2509" s="51"/>
      <c r="F2509" s="51"/>
      <c r="G2509" s="50" t="s">
        <v>15366</v>
      </c>
      <c r="H2509" s="52">
        <v>44683.02582175926</v>
      </c>
      <c r="I2509" s="50"/>
      <c r="J2509" s="50"/>
      <c r="K2509" s="50"/>
      <c r="L2509" s="50"/>
      <c r="M2509" s="50" t="s">
        <v>15367</v>
      </c>
      <c r="N2509" s="50"/>
      <c r="O2509" s="53" t="s">
        <v>60</v>
      </c>
      <c r="P2509" s="55" t="s">
        <v>15368</v>
      </c>
      <c r="Q2509" s="50">
        <v>1041.0</v>
      </c>
      <c r="R2509" s="50">
        <v>2025.0</v>
      </c>
      <c r="S2509" s="50" t="s">
        <v>15369</v>
      </c>
      <c r="T2509" s="56" t="s">
        <v>15370</v>
      </c>
      <c r="U2509" s="53" t="s">
        <v>370</v>
      </c>
    </row>
    <row r="2510">
      <c r="A2510" s="54" t="s">
        <v>15371</v>
      </c>
      <c r="B2510" s="50" t="s">
        <v>1995</v>
      </c>
      <c r="C2510" s="51" t="s">
        <v>15372</v>
      </c>
      <c r="D2510" s="51"/>
      <c r="E2510" s="51"/>
      <c r="F2510" s="51"/>
      <c r="G2510" s="50" t="s">
        <v>15373</v>
      </c>
      <c r="H2510" s="52">
        <v>44683.0246875</v>
      </c>
      <c r="I2510" s="50"/>
      <c r="J2510" s="50"/>
      <c r="K2510" s="50" t="s">
        <v>15374</v>
      </c>
      <c r="L2510" s="50" t="s">
        <v>15375</v>
      </c>
      <c r="M2510" s="50" t="s">
        <v>1994</v>
      </c>
      <c r="N2510" s="50" t="s">
        <v>15376</v>
      </c>
      <c r="O2510" s="53" t="s">
        <v>70</v>
      </c>
      <c r="P2510" s="55" t="s">
        <v>15377</v>
      </c>
      <c r="Q2510" s="50">
        <v>2596.0</v>
      </c>
      <c r="R2510" s="50">
        <v>2777.0</v>
      </c>
      <c r="S2510" s="50" t="s">
        <v>15378</v>
      </c>
      <c r="T2510" s="56" t="s">
        <v>15379</v>
      </c>
      <c r="U2510" s="53" t="s">
        <v>15380</v>
      </c>
    </row>
    <row r="2511">
      <c r="A2511" s="54" t="s">
        <v>15381</v>
      </c>
      <c r="B2511" s="50" t="s">
        <v>14840</v>
      </c>
      <c r="C2511" s="51" t="s">
        <v>15382</v>
      </c>
      <c r="D2511" s="51"/>
      <c r="E2511" s="51"/>
      <c r="F2511" s="51"/>
      <c r="G2511" s="50" t="s">
        <v>15383</v>
      </c>
      <c r="H2511" s="52">
        <v>44683.02403935185</v>
      </c>
      <c r="I2511" s="50"/>
      <c r="J2511" s="50"/>
      <c r="K2511" s="50"/>
      <c r="L2511" s="50"/>
      <c r="M2511" s="50" t="s">
        <v>14843</v>
      </c>
      <c r="N2511" s="50"/>
      <c r="O2511" s="53" t="s">
        <v>70</v>
      </c>
      <c r="P2511" s="55" t="s">
        <v>14844</v>
      </c>
      <c r="Q2511" s="50">
        <v>1088.0</v>
      </c>
      <c r="R2511" s="50">
        <v>1189.0</v>
      </c>
      <c r="S2511" s="50" t="s">
        <v>14845</v>
      </c>
      <c r="T2511" s="56" t="s">
        <v>15384</v>
      </c>
      <c r="U2511" s="53" t="s">
        <v>15385</v>
      </c>
    </row>
    <row r="2512">
      <c r="A2512" s="54" t="s">
        <v>15386</v>
      </c>
      <c r="B2512" s="50" t="s">
        <v>15387</v>
      </c>
      <c r="C2512" s="51" t="s">
        <v>367</v>
      </c>
      <c r="D2512" s="51"/>
      <c r="E2512" s="51"/>
      <c r="F2512" s="51"/>
      <c r="G2512" s="50" t="s">
        <v>15388</v>
      </c>
      <c r="H2512" s="52">
        <v>44683.023125</v>
      </c>
      <c r="I2512" s="50"/>
      <c r="J2512" s="50"/>
      <c r="K2512" s="50"/>
      <c r="L2512" s="50"/>
      <c r="M2512" s="50" t="s">
        <v>15389</v>
      </c>
      <c r="N2512" s="50"/>
      <c r="O2512" s="53" t="s">
        <v>70</v>
      </c>
      <c r="P2512" s="55" t="s">
        <v>15390</v>
      </c>
      <c r="Q2512" s="50">
        <v>623.0</v>
      </c>
      <c r="R2512" s="50">
        <v>857.0</v>
      </c>
      <c r="S2512" s="50"/>
      <c r="T2512" s="56" t="s">
        <v>15391</v>
      </c>
      <c r="U2512" s="53" t="s">
        <v>370</v>
      </c>
    </row>
    <row r="2513">
      <c r="A2513" s="54" t="s">
        <v>15392</v>
      </c>
      <c r="B2513" s="50" t="s">
        <v>15393</v>
      </c>
      <c r="C2513" s="51" t="s">
        <v>329</v>
      </c>
      <c r="D2513" s="51"/>
      <c r="E2513" s="51"/>
      <c r="F2513" s="51"/>
      <c r="G2513" s="50" t="s">
        <v>15394</v>
      </c>
      <c r="H2513" s="52">
        <v>44683.0225462963</v>
      </c>
      <c r="I2513" s="50"/>
      <c r="J2513" s="50"/>
      <c r="K2513" s="50"/>
      <c r="L2513" s="50"/>
      <c r="M2513" s="50" t="s">
        <v>15395</v>
      </c>
      <c r="N2513" s="50"/>
      <c r="O2513" s="53" t="s">
        <v>70</v>
      </c>
      <c r="P2513" s="55" t="s">
        <v>15396</v>
      </c>
      <c r="Q2513" s="50">
        <v>11479.0</v>
      </c>
      <c r="R2513" s="50">
        <v>12493.0</v>
      </c>
      <c r="S2513" s="50" t="s">
        <v>15397</v>
      </c>
      <c r="T2513" s="56" t="s">
        <v>15398</v>
      </c>
      <c r="U2513" s="53" t="s">
        <v>332</v>
      </c>
    </row>
    <row r="2514">
      <c r="A2514" s="54" t="s">
        <v>15399</v>
      </c>
      <c r="B2514" s="50" t="s">
        <v>1995</v>
      </c>
      <c r="C2514" s="51" t="s">
        <v>15400</v>
      </c>
      <c r="D2514" s="51"/>
      <c r="E2514" s="51"/>
      <c r="F2514" s="51"/>
      <c r="G2514" s="50" t="s">
        <v>15401</v>
      </c>
      <c r="H2514" s="52">
        <v>44683.022372685184</v>
      </c>
      <c r="I2514" s="50"/>
      <c r="J2514" s="50"/>
      <c r="K2514" s="50" t="s">
        <v>15374</v>
      </c>
      <c r="L2514" s="50" t="s">
        <v>15375</v>
      </c>
      <c r="M2514" s="50" t="s">
        <v>1994</v>
      </c>
      <c r="N2514" s="50" t="s">
        <v>15402</v>
      </c>
      <c r="O2514" s="53" t="s">
        <v>70</v>
      </c>
      <c r="P2514" s="55" t="s">
        <v>15377</v>
      </c>
      <c r="Q2514" s="50">
        <v>2596.0</v>
      </c>
      <c r="R2514" s="50">
        <v>2777.0</v>
      </c>
      <c r="S2514" s="50" t="s">
        <v>15378</v>
      </c>
      <c r="T2514" s="56" t="s">
        <v>15403</v>
      </c>
      <c r="U2514" s="53" t="s">
        <v>15404</v>
      </c>
    </row>
    <row r="2515">
      <c r="A2515" s="54" t="s">
        <v>15405</v>
      </c>
      <c r="B2515" s="50" t="s">
        <v>15406</v>
      </c>
      <c r="C2515" s="51" t="s">
        <v>367</v>
      </c>
      <c r="D2515" s="51"/>
      <c r="E2515" s="51"/>
      <c r="F2515" s="51"/>
      <c r="G2515" s="50" t="s">
        <v>15407</v>
      </c>
      <c r="H2515" s="52">
        <v>44683.02195601852</v>
      </c>
      <c r="I2515" s="50"/>
      <c r="J2515" s="50"/>
      <c r="K2515" s="50"/>
      <c r="L2515" s="50"/>
      <c r="M2515" s="50" t="s">
        <v>15408</v>
      </c>
      <c r="N2515" s="50"/>
      <c r="O2515" s="53" t="s">
        <v>92</v>
      </c>
      <c r="P2515" s="55" t="s">
        <v>15409</v>
      </c>
      <c r="Q2515" s="50">
        <v>10710.0</v>
      </c>
      <c r="R2515" s="50">
        <v>11436.0</v>
      </c>
      <c r="S2515" s="50" t="s">
        <v>15410</v>
      </c>
      <c r="T2515" s="56" t="s">
        <v>15411</v>
      </c>
      <c r="U2515" s="53" t="s">
        <v>370</v>
      </c>
    </row>
    <row r="2516">
      <c r="A2516" s="54" t="s">
        <v>15412</v>
      </c>
      <c r="B2516" s="50" t="s">
        <v>15413</v>
      </c>
      <c r="C2516" s="51" t="s">
        <v>335</v>
      </c>
      <c r="D2516" s="51"/>
      <c r="E2516" s="51"/>
      <c r="F2516" s="51"/>
      <c r="G2516" s="50" t="s">
        <v>15414</v>
      </c>
      <c r="H2516" s="52">
        <v>44683.021631944444</v>
      </c>
      <c r="I2516" s="50"/>
      <c r="J2516" s="50"/>
      <c r="K2516" s="50"/>
      <c r="L2516" s="50"/>
      <c r="M2516" s="50" t="s">
        <v>15415</v>
      </c>
      <c r="N2516" s="50"/>
      <c r="O2516" s="53" t="s">
        <v>60</v>
      </c>
      <c r="P2516" s="55" t="s">
        <v>354</v>
      </c>
      <c r="Q2516" s="50">
        <v>376.0</v>
      </c>
      <c r="R2516" s="50">
        <v>100.0</v>
      </c>
      <c r="S2516" s="50" t="s">
        <v>5052</v>
      </c>
      <c r="T2516" s="56" t="s">
        <v>15416</v>
      </c>
      <c r="U2516" s="53" t="s">
        <v>339</v>
      </c>
    </row>
    <row r="2517">
      <c r="A2517" s="54" t="s">
        <v>15417</v>
      </c>
      <c r="B2517" s="50" t="s">
        <v>15418</v>
      </c>
      <c r="C2517" s="51" t="s">
        <v>367</v>
      </c>
      <c r="D2517" s="51"/>
      <c r="E2517" s="51"/>
      <c r="F2517" s="51"/>
      <c r="G2517" s="50" t="s">
        <v>15419</v>
      </c>
      <c r="H2517" s="52">
        <v>44683.021469907406</v>
      </c>
      <c r="I2517" s="50"/>
      <c r="J2517" s="50"/>
      <c r="K2517" s="50"/>
      <c r="L2517" s="50"/>
      <c r="M2517" s="50" t="s">
        <v>15420</v>
      </c>
      <c r="N2517" s="50"/>
      <c r="O2517" s="53" t="s">
        <v>70</v>
      </c>
      <c r="P2517" s="55" t="s">
        <v>15421</v>
      </c>
      <c r="Q2517" s="50">
        <v>340.0</v>
      </c>
      <c r="R2517" s="50">
        <v>418.0</v>
      </c>
      <c r="S2517" s="50"/>
      <c r="T2517" s="56" t="s">
        <v>15422</v>
      </c>
      <c r="U2517" s="53" t="s">
        <v>370</v>
      </c>
    </row>
    <row r="2518">
      <c r="A2518" s="54" t="s">
        <v>15423</v>
      </c>
      <c r="B2518" s="50" t="s">
        <v>5655</v>
      </c>
      <c r="C2518" s="51" t="s">
        <v>6828</v>
      </c>
      <c r="D2518" s="51"/>
      <c r="E2518" s="51"/>
      <c r="F2518" s="51"/>
      <c r="G2518" s="50" t="s">
        <v>15424</v>
      </c>
      <c r="H2518" s="52">
        <v>44683.02143518519</v>
      </c>
      <c r="I2518" s="50"/>
      <c r="J2518" s="50"/>
      <c r="K2518" s="50"/>
      <c r="L2518" s="50"/>
      <c r="M2518" s="50" t="s">
        <v>5657</v>
      </c>
      <c r="N2518" s="50"/>
      <c r="O2518" s="53" t="s">
        <v>1042</v>
      </c>
      <c r="P2518" s="55" t="s">
        <v>354</v>
      </c>
      <c r="Q2518" s="50">
        <v>254.0</v>
      </c>
      <c r="R2518" s="50">
        <v>17.0</v>
      </c>
      <c r="S2518" s="50"/>
      <c r="T2518" s="56" t="s">
        <v>15425</v>
      </c>
      <c r="U2518" s="53" t="s">
        <v>6833</v>
      </c>
    </row>
    <row r="2519">
      <c r="A2519" s="54" t="s">
        <v>15426</v>
      </c>
      <c r="B2519" s="50" t="s">
        <v>15427</v>
      </c>
      <c r="C2519" s="51" t="s">
        <v>15428</v>
      </c>
      <c r="D2519" s="51"/>
      <c r="E2519" s="51"/>
      <c r="F2519" s="51"/>
      <c r="G2519" s="50" t="s">
        <v>15429</v>
      </c>
      <c r="H2519" s="52">
        <v>44683.02107638889</v>
      </c>
      <c r="I2519" s="50"/>
      <c r="J2519" s="50"/>
      <c r="K2519" s="50"/>
      <c r="L2519" s="50"/>
      <c r="M2519" s="50" t="s">
        <v>15430</v>
      </c>
      <c r="N2519" s="50"/>
      <c r="O2519" s="53" t="s">
        <v>92</v>
      </c>
      <c r="P2519" s="55" t="s">
        <v>15431</v>
      </c>
      <c r="Q2519" s="50">
        <v>199.0</v>
      </c>
      <c r="R2519" s="50">
        <v>284.0</v>
      </c>
      <c r="S2519" s="50" t="s">
        <v>15432</v>
      </c>
      <c r="T2519" s="56" t="s">
        <v>15433</v>
      </c>
      <c r="U2519" s="53" t="s">
        <v>15434</v>
      </c>
    </row>
    <row r="2520">
      <c r="A2520" s="54" t="s">
        <v>15435</v>
      </c>
      <c r="B2520" s="50" t="s">
        <v>15413</v>
      </c>
      <c r="C2520" s="51" t="s">
        <v>363</v>
      </c>
      <c r="D2520" s="51"/>
      <c r="E2520" s="51"/>
      <c r="F2520" s="51"/>
      <c r="G2520" s="50" t="s">
        <v>15436</v>
      </c>
      <c r="H2520" s="52">
        <v>44683.021006944444</v>
      </c>
      <c r="I2520" s="50"/>
      <c r="J2520" s="50"/>
      <c r="K2520" s="50"/>
      <c r="L2520" s="50"/>
      <c r="M2520" s="50" t="s">
        <v>15415</v>
      </c>
      <c r="N2520" s="50"/>
      <c r="O2520" s="53" t="s">
        <v>60</v>
      </c>
      <c r="P2520" s="55" t="s">
        <v>354</v>
      </c>
      <c r="Q2520" s="50">
        <v>376.0</v>
      </c>
      <c r="R2520" s="50">
        <v>100.0</v>
      </c>
      <c r="S2520" s="50" t="s">
        <v>5052</v>
      </c>
      <c r="T2520" s="56" t="s">
        <v>15437</v>
      </c>
      <c r="U2520" s="53" t="s">
        <v>332</v>
      </c>
    </row>
    <row r="2521">
      <c r="A2521" s="54" t="s">
        <v>15438</v>
      </c>
      <c r="B2521" s="50" t="s">
        <v>15439</v>
      </c>
      <c r="C2521" s="51" t="s">
        <v>367</v>
      </c>
      <c r="D2521" s="51"/>
      <c r="E2521" s="51"/>
      <c r="F2521" s="51"/>
      <c r="G2521" s="50" t="s">
        <v>15440</v>
      </c>
      <c r="H2521" s="52">
        <v>44683.0209375</v>
      </c>
      <c r="I2521" s="50"/>
      <c r="J2521" s="50"/>
      <c r="K2521" s="50"/>
      <c r="L2521" s="50"/>
      <c r="M2521" s="50" t="s">
        <v>15441</v>
      </c>
      <c r="N2521" s="50"/>
      <c r="O2521" s="53" t="s">
        <v>70</v>
      </c>
      <c r="P2521" s="55" t="s">
        <v>15442</v>
      </c>
      <c r="Q2521" s="50">
        <v>565.0</v>
      </c>
      <c r="R2521" s="50">
        <v>547.0</v>
      </c>
      <c r="S2521" s="50" t="s">
        <v>246</v>
      </c>
      <c r="T2521" s="56" t="s">
        <v>15443</v>
      </c>
      <c r="U2521" s="53" t="s">
        <v>370</v>
      </c>
    </row>
    <row r="2522">
      <c r="A2522" s="54" t="s">
        <v>15444</v>
      </c>
      <c r="B2522" s="50" t="s">
        <v>5655</v>
      </c>
      <c r="C2522" s="51" t="s">
        <v>4762</v>
      </c>
      <c r="D2522" s="51"/>
      <c r="E2522" s="51"/>
      <c r="F2522" s="51"/>
      <c r="G2522" s="50" t="s">
        <v>15445</v>
      </c>
      <c r="H2522" s="52">
        <v>44683.02079861111</v>
      </c>
      <c r="I2522" s="50"/>
      <c r="J2522" s="50"/>
      <c r="K2522" s="50"/>
      <c r="L2522" s="50"/>
      <c r="M2522" s="50" t="s">
        <v>5657</v>
      </c>
      <c r="N2522" s="50"/>
      <c r="O2522" s="53" t="s">
        <v>1042</v>
      </c>
      <c r="P2522" s="55" t="s">
        <v>354</v>
      </c>
      <c r="Q2522" s="50">
        <v>254.0</v>
      </c>
      <c r="R2522" s="50">
        <v>17.0</v>
      </c>
      <c r="S2522" s="50"/>
      <c r="T2522" s="56" t="s">
        <v>15446</v>
      </c>
      <c r="U2522" s="53" t="s">
        <v>4768</v>
      </c>
    </row>
    <row r="2523">
      <c r="A2523" s="54" t="s">
        <v>15447</v>
      </c>
      <c r="B2523" s="50" t="s">
        <v>15448</v>
      </c>
      <c r="C2523" s="51" t="s">
        <v>329</v>
      </c>
      <c r="D2523" s="51"/>
      <c r="E2523" s="51"/>
      <c r="F2523" s="51"/>
      <c r="G2523" s="50" t="s">
        <v>15449</v>
      </c>
      <c r="H2523" s="52">
        <v>44683.02038194444</v>
      </c>
      <c r="I2523" s="50"/>
      <c r="J2523" s="50"/>
      <c r="K2523" s="50"/>
      <c r="L2523" s="50"/>
      <c r="M2523" s="50" t="s">
        <v>15450</v>
      </c>
      <c r="N2523" s="50"/>
      <c r="O2523" s="53" t="s">
        <v>70</v>
      </c>
      <c r="P2523" s="55" t="s">
        <v>15451</v>
      </c>
      <c r="Q2523" s="50">
        <v>1153.0</v>
      </c>
      <c r="R2523" s="50">
        <v>3666.0</v>
      </c>
      <c r="S2523" s="50" t="s">
        <v>15452</v>
      </c>
      <c r="T2523" s="56" t="s">
        <v>15453</v>
      </c>
      <c r="U2523" s="53" t="s">
        <v>332</v>
      </c>
    </row>
    <row r="2524">
      <c r="A2524" s="54" t="s">
        <v>15454</v>
      </c>
      <c r="B2524" s="50" t="s">
        <v>15455</v>
      </c>
      <c r="C2524" s="51" t="s">
        <v>15174</v>
      </c>
      <c r="D2524" s="51"/>
      <c r="E2524" s="51"/>
      <c r="F2524" s="51"/>
      <c r="G2524" s="50" t="s">
        <v>15456</v>
      </c>
      <c r="H2524" s="52">
        <v>44683.020266203705</v>
      </c>
      <c r="I2524" s="50"/>
      <c r="J2524" s="50"/>
      <c r="K2524" s="50"/>
      <c r="L2524" s="50"/>
      <c r="M2524" s="50" t="s">
        <v>15457</v>
      </c>
      <c r="N2524" s="50"/>
      <c r="O2524" s="53" t="s">
        <v>60</v>
      </c>
      <c r="P2524" s="55" t="s">
        <v>15458</v>
      </c>
      <c r="Q2524" s="50">
        <v>30402.0</v>
      </c>
      <c r="R2524" s="50">
        <v>33438.0</v>
      </c>
      <c r="S2524" s="50" t="s">
        <v>1311</v>
      </c>
      <c r="T2524" s="56" t="s">
        <v>15459</v>
      </c>
      <c r="U2524" s="53" t="s">
        <v>15179</v>
      </c>
    </row>
    <row r="2525">
      <c r="A2525" s="54" t="s">
        <v>15460</v>
      </c>
      <c r="B2525" s="50" t="s">
        <v>15455</v>
      </c>
      <c r="C2525" s="51" t="s">
        <v>15181</v>
      </c>
      <c r="D2525" s="51"/>
      <c r="E2525" s="51"/>
      <c r="F2525" s="51"/>
      <c r="G2525" s="50" t="s">
        <v>15461</v>
      </c>
      <c r="H2525" s="52">
        <v>44683.02024305555</v>
      </c>
      <c r="I2525" s="50"/>
      <c r="J2525" s="50"/>
      <c r="K2525" s="50"/>
      <c r="L2525" s="50"/>
      <c r="M2525" s="50" t="s">
        <v>15457</v>
      </c>
      <c r="N2525" s="50"/>
      <c r="O2525" s="53" t="s">
        <v>60</v>
      </c>
      <c r="P2525" s="55" t="s">
        <v>15458</v>
      </c>
      <c r="Q2525" s="50">
        <v>30402.0</v>
      </c>
      <c r="R2525" s="50">
        <v>33438.0</v>
      </c>
      <c r="S2525" s="50" t="s">
        <v>1311</v>
      </c>
      <c r="T2525" s="56" t="s">
        <v>15462</v>
      </c>
      <c r="U2525" s="53" t="s">
        <v>15184</v>
      </c>
    </row>
    <row r="2526">
      <c r="A2526" s="54" t="s">
        <v>15463</v>
      </c>
      <c r="B2526" s="50" t="s">
        <v>15455</v>
      </c>
      <c r="C2526" s="51" t="s">
        <v>15186</v>
      </c>
      <c r="D2526" s="51"/>
      <c r="E2526" s="51"/>
      <c r="F2526" s="51"/>
      <c r="G2526" s="50" t="s">
        <v>15464</v>
      </c>
      <c r="H2526" s="52">
        <v>44683.02020833333</v>
      </c>
      <c r="I2526" s="50"/>
      <c r="J2526" s="50"/>
      <c r="K2526" s="50"/>
      <c r="L2526" s="50"/>
      <c r="M2526" s="50" t="s">
        <v>15457</v>
      </c>
      <c r="N2526" s="50"/>
      <c r="O2526" s="53" t="s">
        <v>60</v>
      </c>
      <c r="P2526" s="55" t="s">
        <v>15458</v>
      </c>
      <c r="Q2526" s="50">
        <v>30402.0</v>
      </c>
      <c r="R2526" s="50">
        <v>33438.0</v>
      </c>
      <c r="S2526" s="50" t="s">
        <v>1311</v>
      </c>
      <c r="T2526" s="56" t="s">
        <v>15465</v>
      </c>
      <c r="U2526" s="53" t="s">
        <v>15189</v>
      </c>
    </row>
    <row r="2527">
      <c r="A2527" s="54" t="s">
        <v>15466</v>
      </c>
      <c r="B2527" s="50" t="s">
        <v>15467</v>
      </c>
      <c r="C2527" s="51" t="s">
        <v>367</v>
      </c>
      <c r="D2527" s="51"/>
      <c r="E2527" s="51"/>
      <c r="F2527" s="51"/>
      <c r="G2527" s="50" t="s">
        <v>15468</v>
      </c>
      <c r="H2527" s="52">
        <v>44683.01987268518</v>
      </c>
      <c r="I2527" s="50"/>
      <c r="J2527" s="50"/>
      <c r="K2527" s="50"/>
      <c r="L2527" s="50"/>
      <c r="M2527" s="50" t="s">
        <v>15469</v>
      </c>
      <c r="N2527" s="50"/>
      <c r="O2527" s="53" t="s">
        <v>217</v>
      </c>
      <c r="P2527" s="55" t="s">
        <v>354</v>
      </c>
      <c r="Q2527" s="50">
        <v>288.0</v>
      </c>
      <c r="R2527" s="50">
        <v>621.0</v>
      </c>
      <c r="S2527" s="50"/>
      <c r="T2527" s="56" t="s">
        <v>15470</v>
      </c>
      <c r="U2527" s="53" t="s">
        <v>370</v>
      </c>
    </row>
    <row r="2528">
      <c r="A2528" s="54" t="s">
        <v>15471</v>
      </c>
      <c r="B2528" s="50" t="s">
        <v>15448</v>
      </c>
      <c r="C2528" s="51" t="s">
        <v>316</v>
      </c>
      <c r="D2528" s="51"/>
      <c r="E2528" s="51"/>
      <c r="F2528" s="51"/>
      <c r="G2528" s="50" t="s">
        <v>15472</v>
      </c>
      <c r="H2528" s="52">
        <v>44683.019641203704</v>
      </c>
      <c r="I2528" s="50"/>
      <c r="J2528" s="50"/>
      <c r="K2528" s="50"/>
      <c r="L2528" s="50"/>
      <c r="M2528" s="50" t="s">
        <v>15450</v>
      </c>
      <c r="N2528" s="50"/>
      <c r="O2528" s="53" t="s">
        <v>70</v>
      </c>
      <c r="P2528" s="55" t="s">
        <v>15451</v>
      </c>
      <c r="Q2528" s="50">
        <v>1153.0</v>
      </c>
      <c r="R2528" s="50">
        <v>3666.0</v>
      </c>
      <c r="S2528" s="50" t="s">
        <v>15452</v>
      </c>
      <c r="T2528" s="56" t="s">
        <v>15473</v>
      </c>
      <c r="U2528" s="53" t="s">
        <v>322</v>
      </c>
    </row>
    <row r="2529">
      <c r="A2529" s="54" t="s">
        <v>15474</v>
      </c>
      <c r="B2529" s="50" t="s">
        <v>15455</v>
      </c>
      <c r="C2529" s="51" t="s">
        <v>15191</v>
      </c>
      <c r="D2529" s="51"/>
      <c r="E2529" s="51"/>
      <c r="F2529" s="51"/>
      <c r="G2529" s="50" t="s">
        <v>15475</v>
      </c>
      <c r="H2529" s="52">
        <v>44683.01925925926</v>
      </c>
      <c r="I2529" s="50"/>
      <c r="J2529" s="50"/>
      <c r="K2529" s="50"/>
      <c r="L2529" s="50"/>
      <c r="M2529" s="50" t="s">
        <v>15457</v>
      </c>
      <c r="N2529" s="50"/>
      <c r="O2529" s="53" t="s">
        <v>60</v>
      </c>
      <c r="P2529" s="55" t="s">
        <v>15458</v>
      </c>
      <c r="Q2529" s="50">
        <v>30402.0</v>
      </c>
      <c r="R2529" s="50">
        <v>33438.0</v>
      </c>
      <c r="S2529" s="50" t="s">
        <v>1311</v>
      </c>
      <c r="T2529" s="56" t="s">
        <v>15476</v>
      </c>
      <c r="U2529" s="53" t="s">
        <v>15194</v>
      </c>
    </row>
    <row r="2530">
      <c r="A2530" s="54" t="s">
        <v>15477</v>
      </c>
      <c r="B2530" s="50" t="s">
        <v>15478</v>
      </c>
      <c r="C2530" s="51" t="s">
        <v>367</v>
      </c>
      <c r="D2530" s="51"/>
      <c r="E2530" s="51"/>
      <c r="F2530" s="51"/>
      <c r="G2530" s="50" t="s">
        <v>15479</v>
      </c>
      <c r="H2530" s="52">
        <v>44683.01912037037</v>
      </c>
      <c r="I2530" s="50"/>
      <c r="J2530" s="50"/>
      <c r="K2530" s="50"/>
      <c r="L2530" s="50"/>
      <c r="M2530" s="50" t="s">
        <v>15480</v>
      </c>
      <c r="N2530" s="50"/>
      <c r="O2530" s="53" t="s">
        <v>60</v>
      </c>
      <c r="P2530" s="55" t="s">
        <v>15481</v>
      </c>
      <c r="Q2530" s="50">
        <v>4542.0</v>
      </c>
      <c r="R2530" s="50">
        <v>4981.0</v>
      </c>
      <c r="S2530" s="50" t="s">
        <v>15482</v>
      </c>
      <c r="T2530" s="56" t="s">
        <v>15483</v>
      </c>
      <c r="U2530" s="53" t="s">
        <v>370</v>
      </c>
    </row>
    <row r="2531">
      <c r="A2531" s="54" t="s">
        <v>15484</v>
      </c>
      <c r="B2531" s="50" t="s">
        <v>15485</v>
      </c>
      <c r="C2531" s="51" t="s">
        <v>367</v>
      </c>
      <c r="D2531" s="51"/>
      <c r="E2531" s="51"/>
      <c r="F2531" s="51"/>
      <c r="G2531" s="50" t="s">
        <v>15486</v>
      </c>
      <c r="H2531" s="52">
        <v>44683.018587962964</v>
      </c>
      <c r="I2531" s="50"/>
      <c r="J2531" s="50"/>
      <c r="K2531" s="50"/>
      <c r="L2531" s="50"/>
      <c r="M2531" s="50" t="s">
        <v>15487</v>
      </c>
      <c r="N2531" s="50"/>
      <c r="O2531" s="53" t="s">
        <v>70</v>
      </c>
      <c r="P2531" s="55" t="s">
        <v>15488</v>
      </c>
      <c r="Q2531" s="50">
        <v>3366.0</v>
      </c>
      <c r="R2531" s="50">
        <v>4986.0</v>
      </c>
      <c r="S2531" s="50" t="s">
        <v>129</v>
      </c>
      <c r="T2531" s="56" t="s">
        <v>15489</v>
      </c>
      <c r="U2531" s="53" t="s">
        <v>370</v>
      </c>
    </row>
    <row r="2532">
      <c r="A2532" s="54" t="s">
        <v>15490</v>
      </c>
      <c r="B2532" s="50" t="s">
        <v>15491</v>
      </c>
      <c r="C2532" s="51" t="s">
        <v>367</v>
      </c>
      <c r="D2532" s="51"/>
      <c r="E2532" s="51"/>
      <c r="F2532" s="51"/>
      <c r="G2532" s="50" t="s">
        <v>15492</v>
      </c>
      <c r="H2532" s="52">
        <v>44683.018437499995</v>
      </c>
      <c r="I2532" s="50"/>
      <c r="J2532" s="50"/>
      <c r="K2532" s="50"/>
      <c r="L2532" s="50"/>
      <c r="M2532" s="50" t="s">
        <v>15493</v>
      </c>
      <c r="N2532" s="50"/>
      <c r="O2532" s="53" t="s">
        <v>92</v>
      </c>
      <c r="P2532" s="55" t="s">
        <v>15494</v>
      </c>
      <c r="Q2532" s="50">
        <v>2301.0</v>
      </c>
      <c r="R2532" s="50">
        <v>4851.0</v>
      </c>
      <c r="S2532" s="50" t="s">
        <v>4915</v>
      </c>
      <c r="T2532" s="56" t="s">
        <v>15495</v>
      </c>
      <c r="U2532" s="53" t="s">
        <v>370</v>
      </c>
    </row>
    <row r="2533">
      <c r="A2533" s="54" t="s">
        <v>15496</v>
      </c>
      <c r="B2533" s="50" t="s">
        <v>15497</v>
      </c>
      <c r="C2533" s="51" t="s">
        <v>367</v>
      </c>
      <c r="D2533" s="51"/>
      <c r="E2533" s="51"/>
      <c r="F2533" s="51"/>
      <c r="G2533" s="50" t="s">
        <v>15498</v>
      </c>
      <c r="H2533" s="52">
        <v>44683.017916666664</v>
      </c>
      <c r="I2533" s="50"/>
      <c r="J2533" s="50"/>
      <c r="K2533" s="50"/>
      <c r="L2533" s="50"/>
      <c r="M2533" s="50" t="s">
        <v>15499</v>
      </c>
      <c r="N2533" s="50"/>
      <c r="O2533" s="53" t="s">
        <v>70</v>
      </c>
      <c r="P2533" s="55" t="s">
        <v>15500</v>
      </c>
      <c r="Q2533" s="50">
        <v>4888.0</v>
      </c>
      <c r="R2533" s="50">
        <v>3661.0</v>
      </c>
      <c r="S2533" s="50" t="s">
        <v>219</v>
      </c>
      <c r="T2533" s="56" t="s">
        <v>15501</v>
      </c>
      <c r="U2533" s="53" t="s">
        <v>370</v>
      </c>
    </row>
    <row r="2534">
      <c r="A2534" s="54" t="s">
        <v>15502</v>
      </c>
      <c r="B2534" s="50" t="s">
        <v>15467</v>
      </c>
      <c r="C2534" s="51" t="s">
        <v>316</v>
      </c>
      <c r="D2534" s="51"/>
      <c r="E2534" s="51"/>
      <c r="F2534" s="51"/>
      <c r="G2534" s="50" t="s">
        <v>15503</v>
      </c>
      <c r="H2534" s="52">
        <v>44683.01747685185</v>
      </c>
      <c r="I2534" s="50"/>
      <c r="J2534" s="50"/>
      <c r="K2534" s="50"/>
      <c r="L2534" s="50"/>
      <c r="M2534" s="50" t="s">
        <v>15469</v>
      </c>
      <c r="N2534" s="50"/>
      <c r="O2534" s="53" t="s">
        <v>217</v>
      </c>
      <c r="P2534" s="55" t="s">
        <v>354</v>
      </c>
      <c r="Q2534" s="50">
        <v>288.0</v>
      </c>
      <c r="R2534" s="50">
        <v>621.0</v>
      </c>
      <c r="S2534" s="50"/>
      <c r="T2534" s="56" t="s">
        <v>15504</v>
      </c>
      <c r="U2534" s="53" t="s">
        <v>322</v>
      </c>
    </row>
    <row r="2535">
      <c r="A2535" s="54" t="s">
        <v>15505</v>
      </c>
      <c r="B2535" s="50" t="s">
        <v>15467</v>
      </c>
      <c r="C2535" s="51" t="s">
        <v>329</v>
      </c>
      <c r="D2535" s="51"/>
      <c r="E2535" s="51"/>
      <c r="F2535" s="51"/>
      <c r="G2535" s="50" t="s">
        <v>15506</v>
      </c>
      <c r="H2535" s="52">
        <v>44683.01729166666</v>
      </c>
      <c r="I2535" s="50"/>
      <c r="J2535" s="50"/>
      <c r="K2535" s="50"/>
      <c r="L2535" s="50"/>
      <c r="M2535" s="50" t="s">
        <v>15469</v>
      </c>
      <c r="N2535" s="50"/>
      <c r="O2535" s="53" t="s">
        <v>217</v>
      </c>
      <c r="P2535" s="55" t="s">
        <v>354</v>
      </c>
      <c r="Q2535" s="50">
        <v>288.0</v>
      </c>
      <c r="R2535" s="50">
        <v>621.0</v>
      </c>
      <c r="S2535" s="50"/>
      <c r="T2535" s="56" t="s">
        <v>15507</v>
      </c>
      <c r="U2535" s="53" t="s">
        <v>332</v>
      </c>
    </row>
    <row r="2536">
      <c r="A2536" s="54" t="s">
        <v>15508</v>
      </c>
      <c r="B2536" s="50" t="s">
        <v>15509</v>
      </c>
      <c r="C2536" s="51" t="s">
        <v>367</v>
      </c>
      <c r="D2536" s="51"/>
      <c r="E2536" s="51"/>
      <c r="F2536" s="51"/>
      <c r="G2536" s="50" t="s">
        <v>15506</v>
      </c>
      <c r="H2536" s="52">
        <v>44683.01729166666</v>
      </c>
      <c r="I2536" s="50"/>
      <c r="J2536" s="50"/>
      <c r="K2536" s="50"/>
      <c r="L2536" s="50"/>
      <c r="M2536" s="50" t="s">
        <v>15510</v>
      </c>
      <c r="N2536" s="50"/>
      <c r="O2536" s="53" t="s">
        <v>70</v>
      </c>
      <c r="P2536" s="55" t="s">
        <v>354</v>
      </c>
      <c r="Q2536" s="50">
        <v>109.0</v>
      </c>
      <c r="R2536" s="50">
        <v>242.0</v>
      </c>
      <c r="S2536" s="50"/>
      <c r="T2536" s="56" t="s">
        <v>15511</v>
      </c>
      <c r="U2536" s="53" t="s">
        <v>370</v>
      </c>
    </row>
    <row r="2537">
      <c r="A2537" s="54" t="s">
        <v>15512</v>
      </c>
      <c r="B2537" s="50" t="s">
        <v>5655</v>
      </c>
      <c r="C2537" s="51" t="s">
        <v>316</v>
      </c>
      <c r="D2537" s="51"/>
      <c r="E2537" s="51"/>
      <c r="F2537" s="51"/>
      <c r="G2537" s="50" t="s">
        <v>15513</v>
      </c>
      <c r="H2537" s="52">
        <v>44683.01712962963</v>
      </c>
      <c r="I2537" s="50"/>
      <c r="J2537" s="50"/>
      <c r="K2537" s="50"/>
      <c r="L2537" s="50"/>
      <c r="M2537" s="50" t="s">
        <v>5657</v>
      </c>
      <c r="N2537" s="50"/>
      <c r="O2537" s="53" t="s">
        <v>1042</v>
      </c>
      <c r="P2537" s="55" t="s">
        <v>354</v>
      </c>
      <c r="Q2537" s="50">
        <v>254.0</v>
      </c>
      <c r="R2537" s="50">
        <v>17.0</v>
      </c>
      <c r="S2537" s="50"/>
      <c r="T2537" s="56" t="s">
        <v>15514</v>
      </c>
      <c r="U2537" s="53" t="s">
        <v>322</v>
      </c>
    </row>
    <row r="2538">
      <c r="A2538" s="54" t="s">
        <v>15515</v>
      </c>
      <c r="B2538" s="50" t="s">
        <v>5655</v>
      </c>
      <c r="C2538" s="51" t="s">
        <v>329</v>
      </c>
      <c r="D2538" s="51"/>
      <c r="E2538" s="51"/>
      <c r="F2538" s="51"/>
      <c r="G2538" s="50" t="s">
        <v>15516</v>
      </c>
      <c r="H2538" s="52">
        <v>44683.01701388889</v>
      </c>
      <c r="I2538" s="50"/>
      <c r="J2538" s="50"/>
      <c r="K2538" s="50"/>
      <c r="L2538" s="50"/>
      <c r="M2538" s="50" t="s">
        <v>5657</v>
      </c>
      <c r="N2538" s="50"/>
      <c r="O2538" s="53" t="s">
        <v>1042</v>
      </c>
      <c r="P2538" s="55" t="s">
        <v>354</v>
      </c>
      <c r="Q2538" s="50">
        <v>254.0</v>
      </c>
      <c r="R2538" s="50">
        <v>17.0</v>
      </c>
      <c r="S2538" s="50"/>
      <c r="T2538" s="56" t="s">
        <v>15517</v>
      </c>
      <c r="U2538" s="53" t="s">
        <v>332</v>
      </c>
    </row>
    <row r="2539">
      <c r="A2539" s="54" t="s">
        <v>15518</v>
      </c>
      <c r="B2539" s="50" t="s">
        <v>15467</v>
      </c>
      <c r="C2539" s="51" t="s">
        <v>363</v>
      </c>
      <c r="D2539" s="51"/>
      <c r="E2539" s="51"/>
      <c r="F2539" s="51"/>
      <c r="G2539" s="50" t="s">
        <v>15519</v>
      </c>
      <c r="H2539" s="52">
        <v>44683.01695601852</v>
      </c>
      <c r="I2539" s="50"/>
      <c r="J2539" s="50"/>
      <c r="K2539" s="50"/>
      <c r="L2539" s="50"/>
      <c r="M2539" s="50" t="s">
        <v>15469</v>
      </c>
      <c r="N2539" s="50"/>
      <c r="O2539" s="53" t="s">
        <v>217</v>
      </c>
      <c r="P2539" s="55" t="s">
        <v>354</v>
      </c>
      <c r="Q2539" s="50">
        <v>288.0</v>
      </c>
      <c r="R2539" s="50">
        <v>621.0</v>
      </c>
      <c r="S2539" s="50"/>
      <c r="T2539" s="56" t="s">
        <v>15520</v>
      </c>
      <c r="U2539" s="53" t="s">
        <v>332</v>
      </c>
    </row>
    <row r="2540">
      <c r="A2540" s="54" t="s">
        <v>15521</v>
      </c>
      <c r="B2540" s="50" t="s">
        <v>5655</v>
      </c>
      <c r="C2540" s="51" t="s">
        <v>335</v>
      </c>
      <c r="D2540" s="51"/>
      <c r="E2540" s="51"/>
      <c r="F2540" s="51"/>
      <c r="G2540" s="50" t="s">
        <v>15522</v>
      </c>
      <c r="H2540" s="52">
        <v>44683.016909722224</v>
      </c>
      <c r="I2540" s="50"/>
      <c r="J2540" s="50"/>
      <c r="K2540" s="50"/>
      <c r="L2540" s="50"/>
      <c r="M2540" s="50" t="s">
        <v>5657</v>
      </c>
      <c r="N2540" s="50"/>
      <c r="O2540" s="53" t="s">
        <v>1042</v>
      </c>
      <c r="P2540" s="55" t="s">
        <v>354</v>
      </c>
      <c r="Q2540" s="50">
        <v>254.0</v>
      </c>
      <c r="R2540" s="50">
        <v>17.0</v>
      </c>
      <c r="S2540" s="50"/>
      <c r="T2540" s="56" t="s">
        <v>15523</v>
      </c>
      <c r="U2540" s="53" t="s">
        <v>339</v>
      </c>
    </row>
    <row r="2541">
      <c r="A2541" s="54" t="s">
        <v>15524</v>
      </c>
      <c r="B2541" s="50" t="s">
        <v>5655</v>
      </c>
      <c r="C2541" s="51" t="s">
        <v>363</v>
      </c>
      <c r="D2541" s="51"/>
      <c r="E2541" s="51"/>
      <c r="F2541" s="51"/>
      <c r="G2541" s="50" t="s">
        <v>15525</v>
      </c>
      <c r="H2541" s="52">
        <v>44683.016747685186</v>
      </c>
      <c r="I2541" s="50"/>
      <c r="J2541" s="50"/>
      <c r="K2541" s="50"/>
      <c r="L2541" s="50"/>
      <c r="M2541" s="50" t="s">
        <v>5657</v>
      </c>
      <c r="N2541" s="50"/>
      <c r="O2541" s="53" t="s">
        <v>1042</v>
      </c>
      <c r="P2541" s="55" t="s">
        <v>354</v>
      </c>
      <c r="Q2541" s="50">
        <v>254.0</v>
      </c>
      <c r="R2541" s="50">
        <v>17.0</v>
      </c>
      <c r="S2541" s="50"/>
      <c r="T2541" s="56" t="s">
        <v>15526</v>
      </c>
      <c r="U2541" s="53" t="s">
        <v>332</v>
      </c>
    </row>
    <row r="2542">
      <c r="A2542" s="54" t="s">
        <v>15527</v>
      </c>
      <c r="B2542" s="50" t="s">
        <v>15528</v>
      </c>
      <c r="C2542" s="51" t="s">
        <v>15529</v>
      </c>
      <c r="D2542" s="51"/>
      <c r="E2542" s="51"/>
      <c r="F2542" s="51"/>
      <c r="G2542" s="50" t="s">
        <v>15530</v>
      </c>
      <c r="H2542" s="52">
        <v>44683.0166087963</v>
      </c>
      <c r="I2542" s="50"/>
      <c r="J2542" s="50"/>
      <c r="K2542" s="50" t="s">
        <v>15531</v>
      </c>
      <c r="L2542" s="50" t="s">
        <v>15532</v>
      </c>
      <c r="M2542" s="50" t="s">
        <v>15533</v>
      </c>
      <c r="N2542" s="50" t="s">
        <v>15534</v>
      </c>
      <c r="O2542" s="53" t="s">
        <v>92</v>
      </c>
      <c r="P2542" s="55" t="s">
        <v>15535</v>
      </c>
      <c r="Q2542" s="50">
        <v>1453.0</v>
      </c>
      <c r="R2542" s="50">
        <v>2790.0</v>
      </c>
      <c r="S2542" s="50" t="s">
        <v>15536</v>
      </c>
      <c r="T2542" s="56" t="s">
        <v>15537</v>
      </c>
      <c r="U2542" s="53" t="s">
        <v>15538</v>
      </c>
    </row>
    <row r="2543">
      <c r="A2543" s="54" t="s">
        <v>15539</v>
      </c>
      <c r="B2543" s="50" t="s">
        <v>15540</v>
      </c>
      <c r="C2543" s="51" t="s">
        <v>363</v>
      </c>
      <c r="D2543" s="51"/>
      <c r="E2543" s="51"/>
      <c r="F2543" s="51"/>
      <c r="G2543" s="50" t="s">
        <v>15541</v>
      </c>
      <c r="H2543" s="52">
        <v>44683.016493055555</v>
      </c>
      <c r="I2543" s="50"/>
      <c r="J2543" s="50"/>
      <c r="K2543" s="50"/>
      <c r="L2543" s="50"/>
      <c r="M2543" s="50" t="s">
        <v>15542</v>
      </c>
      <c r="N2543" s="50"/>
      <c r="O2543" s="53" t="s">
        <v>92</v>
      </c>
      <c r="P2543" s="55" t="s">
        <v>15543</v>
      </c>
      <c r="Q2543" s="50">
        <v>495.0</v>
      </c>
      <c r="R2543" s="50">
        <v>1382.0</v>
      </c>
      <c r="S2543" s="50" t="s">
        <v>15544</v>
      </c>
      <c r="T2543" s="56" t="s">
        <v>15545</v>
      </c>
      <c r="U2543" s="53" t="s">
        <v>332</v>
      </c>
    </row>
    <row r="2544">
      <c r="A2544" s="54" t="s">
        <v>15546</v>
      </c>
      <c r="B2544" s="50" t="s">
        <v>5655</v>
      </c>
      <c r="C2544" s="51" t="s">
        <v>367</v>
      </c>
      <c r="D2544" s="51"/>
      <c r="E2544" s="51"/>
      <c r="F2544" s="51"/>
      <c r="G2544" s="50" t="s">
        <v>15547</v>
      </c>
      <c r="H2544" s="52">
        <v>44683.016446759255</v>
      </c>
      <c r="I2544" s="50"/>
      <c r="J2544" s="50"/>
      <c r="K2544" s="50"/>
      <c r="L2544" s="50"/>
      <c r="M2544" s="50" t="s">
        <v>5657</v>
      </c>
      <c r="N2544" s="50"/>
      <c r="O2544" s="53" t="s">
        <v>1042</v>
      </c>
      <c r="P2544" s="55" t="s">
        <v>354</v>
      </c>
      <c r="Q2544" s="50">
        <v>254.0</v>
      </c>
      <c r="R2544" s="50">
        <v>17.0</v>
      </c>
      <c r="S2544" s="50"/>
      <c r="T2544" s="56" t="s">
        <v>15548</v>
      </c>
      <c r="U2544" s="53" t="s">
        <v>370</v>
      </c>
    </row>
    <row r="2545">
      <c r="A2545" s="54" t="s">
        <v>15549</v>
      </c>
      <c r="B2545" s="50" t="s">
        <v>15550</v>
      </c>
      <c r="C2545" s="51" t="s">
        <v>367</v>
      </c>
      <c r="D2545" s="51"/>
      <c r="E2545" s="51"/>
      <c r="F2545" s="51"/>
      <c r="G2545" s="50" t="s">
        <v>15551</v>
      </c>
      <c r="H2545" s="52">
        <v>44683.01559027778</v>
      </c>
      <c r="I2545" s="50"/>
      <c r="J2545" s="50"/>
      <c r="K2545" s="50"/>
      <c r="L2545" s="50"/>
      <c r="M2545" s="50" t="s">
        <v>15552</v>
      </c>
      <c r="N2545" s="50"/>
      <c r="O2545" s="53" t="s">
        <v>70</v>
      </c>
      <c r="P2545" s="55" t="s">
        <v>15553</v>
      </c>
      <c r="Q2545" s="50">
        <v>84.0</v>
      </c>
      <c r="R2545" s="50">
        <v>100.0</v>
      </c>
      <c r="S2545" s="50" t="s">
        <v>15554</v>
      </c>
      <c r="T2545" s="56" t="s">
        <v>15555</v>
      </c>
      <c r="U2545" s="53" t="s">
        <v>370</v>
      </c>
    </row>
    <row r="2546">
      <c r="A2546" s="54" t="s">
        <v>15556</v>
      </c>
      <c r="B2546" s="50" t="s">
        <v>15557</v>
      </c>
      <c r="C2546" s="51" t="s">
        <v>367</v>
      </c>
      <c r="D2546" s="51"/>
      <c r="E2546" s="51"/>
      <c r="F2546" s="51"/>
      <c r="G2546" s="50" t="s">
        <v>15558</v>
      </c>
      <c r="H2546" s="52">
        <v>44683.015381944446</v>
      </c>
      <c r="I2546" s="50"/>
      <c r="J2546" s="50"/>
      <c r="K2546" s="50"/>
      <c r="L2546" s="50"/>
      <c r="M2546" s="50" t="s">
        <v>15559</v>
      </c>
      <c r="N2546" s="50"/>
      <c r="O2546" s="53" t="s">
        <v>60</v>
      </c>
      <c r="P2546" s="55" t="s">
        <v>15560</v>
      </c>
      <c r="Q2546" s="50">
        <v>926.0</v>
      </c>
      <c r="R2546" s="50">
        <v>403.0</v>
      </c>
      <c r="S2546" s="58" t="s">
        <v>15561</v>
      </c>
      <c r="T2546" s="56" t="s">
        <v>15562</v>
      </c>
      <c r="U2546" s="53" t="s">
        <v>370</v>
      </c>
    </row>
    <row r="2547">
      <c r="A2547" s="54" t="s">
        <v>15563</v>
      </c>
      <c r="B2547" s="50" t="s">
        <v>15564</v>
      </c>
      <c r="C2547" s="51" t="s">
        <v>4762</v>
      </c>
      <c r="D2547" s="51"/>
      <c r="E2547" s="51"/>
      <c r="F2547" s="51"/>
      <c r="G2547" s="50" t="s">
        <v>15565</v>
      </c>
      <c r="H2547" s="52">
        <v>44683.014652777776</v>
      </c>
      <c r="I2547" s="50"/>
      <c r="J2547" s="50"/>
      <c r="K2547" s="50"/>
      <c r="L2547" s="50"/>
      <c r="M2547" s="50" t="s">
        <v>15566</v>
      </c>
      <c r="N2547" s="50"/>
      <c r="O2547" s="53" t="s">
        <v>70</v>
      </c>
      <c r="P2547" s="55" t="s">
        <v>15567</v>
      </c>
      <c r="Q2547" s="50">
        <v>4541.0</v>
      </c>
      <c r="R2547" s="50">
        <v>4998.0</v>
      </c>
      <c r="S2547" s="50" t="s">
        <v>1365</v>
      </c>
      <c r="T2547" s="56" t="s">
        <v>15568</v>
      </c>
      <c r="U2547" s="53" t="s">
        <v>4768</v>
      </c>
    </row>
    <row r="2548">
      <c r="A2548" s="54" t="s">
        <v>15569</v>
      </c>
      <c r="B2548" s="50" t="s">
        <v>15570</v>
      </c>
      <c r="C2548" s="51" t="s">
        <v>367</v>
      </c>
      <c r="D2548" s="51"/>
      <c r="E2548" s="51"/>
      <c r="F2548" s="51"/>
      <c r="G2548" s="50" t="s">
        <v>15571</v>
      </c>
      <c r="H2548" s="52">
        <v>44683.014444444445</v>
      </c>
      <c r="I2548" s="50"/>
      <c r="J2548" s="50"/>
      <c r="K2548" s="50"/>
      <c r="L2548" s="50"/>
      <c r="M2548" s="50" t="s">
        <v>15572</v>
      </c>
      <c r="N2548" s="50"/>
      <c r="O2548" s="53" t="s">
        <v>70</v>
      </c>
      <c r="P2548" s="55" t="s">
        <v>15573</v>
      </c>
      <c r="Q2548" s="50">
        <v>247.0</v>
      </c>
      <c r="R2548" s="50">
        <v>113.0</v>
      </c>
      <c r="S2548" s="50"/>
      <c r="T2548" s="56" t="s">
        <v>15574</v>
      </c>
      <c r="U2548" s="53" t="s">
        <v>370</v>
      </c>
    </row>
    <row r="2549">
      <c r="A2549" s="54" t="s">
        <v>15575</v>
      </c>
      <c r="B2549" s="50" t="s">
        <v>15576</v>
      </c>
      <c r="C2549" s="51" t="s">
        <v>14882</v>
      </c>
      <c r="D2549" s="51"/>
      <c r="E2549" s="51"/>
      <c r="F2549" s="51"/>
      <c r="G2549" s="50" t="s">
        <v>15577</v>
      </c>
      <c r="H2549" s="52">
        <v>44683.01430555555</v>
      </c>
      <c r="I2549" s="50"/>
      <c r="J2549" s="50"/>
      <c r="K2549" s="50"/>
      <c r="L2549" s="50"/>
      <c r="M2549" s="50" t="s">
        <v>15578</v>
      </c>
      <c r="N2549" s="50"/>
      <c r="O2549" s="53" t="s">
        <v>70</v>
      </c>
      <c r="P2549" s="55" t="s">
        <v>15579</v>
      </c>
      <c r="Q2549" s="50">
        <v>1109.0</v>
      </c>
      <c r="R2549" s="50">
        <v>1543.0</v>
      </c>
      <c r="S2549" s="50" t="s">
        <v>15580</v>
      </c>
      <c r="T2549" s="56" t="s">
        <v>15581</v>
      </c>
      <c r="U2549" s="53" t="s">
        <v>14888</v>
      </c>
    </row>
    <row r="2550">
      <c r="A2550" s="54" t="s">
        <v>15582</v>
      </c>
      <c r="B2550" s="50" t="s">
        <v>15583</v>
      </c>
      <c r="C2550" s="51" t="s">
        <v>367</v>
      </c>
      <c r="D2550" s="51"/>
      <c r="E2550" s="51"/>
      <c r="F2550" s="51"/>
      <c r="G2550" s="50" t="s">
        <v>15584</v>
      </c>
      <c r="H2550" s="52">
        <v>44683.01393518518</v>
      </c>
      <c r="I2550" s="50"/>
      <c r="J2550" s="50"/>
      <c r="K2550" s="50"/>
      <c r="L2550" s="50"/>
      <c r="M2550" s="50" t="s">
        <v>15585</v>
      </c>
      <c r="N2550" s="50"/>
      <c r="O2550" s="53" t="s">
        <v>92</v>
      </c>
      <c r="P2550" s="55" t="s">
        <v>354</v>
      </c>
      <c r="Q2550" s="50">
        <v>49.0</v>
      </c>
      <c r="R2550" s="50">
        <v>462.0</v>
      </c>
      <c r="S2550" s="50"/>
      <c r="T2550" s="56" t="s">
        <v>15586</v>
      </c>
      <c r="U2550" s="53" t="s">
        <v>370</v>
      </c>
    </row>
    <row r="2551">
      <c r="A2551" s="54" t="s">
        <v>15587</v>
      </c>
      <c r="B2551" s="50" t="s">
        <v>15588</v>
      </c>
      <c r="C2551" s="51" t="s">
        <v>316</v>
      </c>
      <c r="D2551" s="51"/>
      <c r="E2551" s="51"/>
      <c r="F2551" s="51"/>
      <c r="G2551" s="50" t="s">
        <v>15589</v>
      </c>
      <c r="H2551" s="52">
        <v>44683.013657407406</v>
      </c>
      <c r="I2551" s="50"/>
      <c r="J2551" s="50"/>
      <c r="K2551" s="50"/>
      <c r="L2551" s="50"/>
      <c r="M2551" s="50" t="s">
        <v>15590</v>
      </c>
      <c r="N2551" s="50"/>
      <c r="O2551" s="53" t="s">
        <v>70</v>
      </c>
      <c r="P2551" s="55" t="s">
        <v>15591</v>
      </c>
      <c r="Q2551" s="50">
        <v>985.0</v>
      </c>
      <c r="R2551" s="50">
        <v>1369.0</v>
      </c>
      <c r="S2551" s="50"/>
      <c r="T2551" s="56" t="s">
        <v>15592</v>
      </c>
      <c r="U2551" s="53" t="s">
        <v>322</v>
      </c>
    </row>
    <row r="2552">
      <c r="A2552" s="54" t="s">
        <v>15593</v>
      </c>
      <c r="B2552" s="50" t="s">
        <v>15594</v>
      </c>
      <c r="C2552" s="51" t="s">
        <v>316</v>
      </c>
      <c r="D2552" s="51"/>
      <c r="E2552" s="51"/>
      <c r="F2552" s="51"/>
      <c r="G2552" s="50" t="s">
        <v>15589</v>
      </c>
      <c r="H2552" s="52">
        <v>44683.013657407406</v>
      </c>
      <c r="I2552" s="50"/>
      <c r="J2552" s="50"/>
      <c r="K2552" s="50"/>
      <c r="L2552" s="50"/>
      <c r="M2552" s="50" t="s">
        <v>15595</v>
      </c>
      <c r="N2552" s="50"/>
      <c r="O2552" s="53" t="s">
        <v>70</v>
      </c>
      <c r="P2552" s="55" t="s">
        <v>15596</v>
      </c>
      <c r="Q2552" s="50">
        <v>43.0</v>
      </c>
      <c r="R2552" s="50">
        <v>224.0</v>
      </c>
      <c r="S2552" s="50" t="s">
        <v>15597</v>
      </c>
      <c r="T2552" s="56" t="s">
        <v>15598</v>
      </c>
      <c r="U2552" s="53" t="s">
        <v>322</v>
      </c>
    </row>
    <row r="2553">
      <c r="A2553" s="54" t="s">
        <v>15599</v>
      </c>
      <c r="B2553" s="50" t="s">
        <v>15600</v>
      </c>
      <c r="C2553" s="51" t="s">
        <v>363</v>
      </c>
      <c r="D2553" s="51"/>
      <c r="E2553" s="51"/>
      <c r="F2553" s="51"/>
      <c r="G2553" s="50" t="s">
        <v>15601</v>
      </c>
      <c r="H2553" s="52">
        <v>44683.013611111106</v>
      </c>
      <c r="I2553" s="50"/>
      <c r="J2553" s="50"/>
      <c r="K2553" s="50"/>
      <c r="L2553" s="50"/>
      <c r="M2553" s="50" t="s">
        <v>15602</v>
      </c>
      <c r="N2553" s="50"/>
      <c r="O2553" s="53" t="s">
        <v>70</v>
      </c>
      <c r="P2553" s="55" t="s">
        <v>15603</v>
      </c>
      <c r="Q2553" s="50">
        <v>252.0</v>
      </c>
      <c r="R2553" s="50">
        <v>896.0</v>
      </c>
      <c r="S2553" s="50"/>
      <c r="T2553" s="56" t="s">
        <v>15604</v>
      </c>
      <c r="U2553" s="53" t="s">
        <v>332</v>
      </c>
    </row>
    <row r="2554">
      <c r="A2554" s="54" t="s">
        <v>15605</v>
      </c>
      <c r="B2554" s="50" t="s">
        <v>15588</v>
      </c>
      <c r="C2554" s="51" t="s">
        <v>367</v>
      </c>
      <c r="D2554" s="51"/>
      <c r="E2554" s="51"/>
      <c r="F2554" s="51"/>
      <c r="G2554" s="50" t="s">
        <v>15606</v>
      </c>
      <c r="H2554" s="52">
        <v>44683.01331018518</v>
      </c>
      <c r="I2554" s="50"/>
      <c r="J2554" s="50"/>
      <c r="K2554" s="50"/>
      <c r="L2554" s="50"/>
      <c r="M2554" s="50" t="s">
        <v>15590</v>
      </c>
      <c r="N2554" s="50"/>
      <c r="O2554" s="53" t="s">
        <v>70</v>
      </c>
      <c r="P2554" s="55" t="s">
        <v>15591</v>
      </c>
      <c r="Q2554" s="50">
        <v>985.0</v>
      </c>
      <c r="R2554" s="50">
        <v>1369.0</v>
      </c>
      <c r="S2554" s="50"/>
      <c r="T2554" s="56" t="s">
        <v>15607</v>
      </c>
      <c r="U2554" s="53" t="s">
        <v>370</v>
      </c>
    </row>
    <row r="2555">
      <c r="A2555" s="54" t="s">
        <v>15608</v>
      </c>
      <c r="B2555" s="50" t="s">
        <v>15600</v>
      </c>
      <c r="C2555" s="51" t="s">
        <v>367</v>
      </c>
      <c r="D2555" s="51"/>
      <c r="E2555" s="51"/>
      <c r="F2555" s="51"/>
      <c r="G2555" s="50" t="s">
        <v>15609</v>
      </c>
      <c r="H2555" s="52">
        <v>44683.01329861111</v>
      </c>
      <c r="I2555" s="50"/>
      <c r="J2555" s="50"/>
      <c r="K2555" s="50"/>
      <c r="L2555" s="50"/>
      <c r="M2555" s="50" t="s">
        <v>15602</v>
      </c>
      <c r="N2555" s="50"/>
      <c r="O2555" s="53" t="s">
        <v>70</v>
      </c>
      <c r="P2555" s="55" t="s">
        <v>15603</v>
      </c>
      <c r="Q2555" s="50">
        <v>252.0</v>
      </c>
      <c r="R2555" s="50">
        <v>896.0</v>
      </c>
      <c r="S2555" s="50"/>
      <c r="T2555" s="56" t="s">
        <v>15610</v>
      </c>
      <c r="U2555" s="53" t="s">
        <v>370</v>
      </c>
    </row>
    <row r="2556">
      <c r="A2556" s="54" t="s">
        <v>15611</v>
      </c>
      <c r="B2556" s="50" t="s">
        <v>15612</v>
      </c>
      <c r="C2556" s="51" t="s">
        <v>363</v>
      </c>
      <c r="D2556" s="51"/>
      <c r="E2556" s="51"/>
      <c r="F2556" s="51"/>
      <c r="G2556" s="50" t="s">
        <v>15613</v>
      </c>
      <c r="H2556" s="52">
        <v>44683.01302083333</v>
      </c>
      <c r="I2556" s="50"/>
      <c r="J2556" s="50"/>
      <c r="K2556" s="50"/>
      <c r="L2556" s="50"/>
      <c r="M2556" s="50" t="s">
        <v>15614</v>
      </c>
      <c r="N2556" s="50"/>
      <c r="O2556" s="53" t="s">
        <v>92</v>
      </c>
      <c r="P2556" s="55" t="s">
        <v>15615</v>
      </c>
      <c r="Q2556" s="50">
        <v>1585.0</v>
      </c>
      <c r="R2556" s="50">
        <v>2592.0</v>
      </c>
      <c r="S2556" s="50" t="s">
        <v>15616</v>
      </c>
      <c r="T2556" s="56" t="s">
        <v>15617</v>
      </c>
      <c r="U2556" s="53" t="s">
        <v>332</v>
      </c>
    </row>
    <row r="2557">
      <c r="A2557" s="54" t="s">
        <v>15618</v>
      </c>
      <c r="B2557" s="50" t="s">
        <v>15619</v>
      </c>
      <c r="C2557" s="51" t="s">
        <v>15620</v>
      </c>
      <c r="D2557" s="51"/>
      <c r="E2557" s="51"/>
      <c r="F2557" s="51"/>
      <c r="G2557" s="50" t="s">
        <v>15621</v>
      </c>
      <c r="H2557" s="52">
        <v>44683.01296296297</v>
      </c>
      <c r="I2557" s="50"/>
      <c r="J2557" s="50"/>
      <c r="K2557" s="50"/>
      <c r="L2557" s="50"/>
      <c r="M2557" s="50" t="s">
        <v>15622</v>
      </c>
      <c r="N2557" s="50"/>
      <c r="O2557" s="53" t="s">
        <v>70</v>
      </c>
      <c r="P2557" s="55" t="s">
        <v>15623</v>
      </c>
      <c r="Q2557" s="50">
        <v>358.0</v>
      </c>
      <c r="R2557" s="50">
        <v>1020.0</v>
      </c>
      <c r="S2557" s="50" t="s">
        <v>379</v>
      </c>
      <c r="T2557" s="56" t="s">
        <v>15624</v>
      </c>
      <c r="U2557" s="53" t="s">
        <v>15625</v>
      </c>
    </row>
    <row r="2558">
      <c r="A2558" s="54" t="s">
        <v>15626</v>
      </c>
      <c r="B2558" s="50" t="s">
        <v>15627</v>
      </c>
      <c r="C2558" s="51" t="s">
        <v>329</v>
      </c>
      <c r="D2558" s="51"/>
      <c r="E2558" s="51"/>
      <c r="F2558" s="51"/>
      <c r="G2558" s="50" t="s">
        <v>15628</v>
      </c>
      <c r="H2558" s="52">
        <v>44683.01240740741</v>
      </c>
      <c r="I2558" s="50"/>
      <c r="J2558" s="50"/>
      <c r="K2558" s="50"/>
      <c r="L2558" s="50"/>
      <c r="M2558" s="50" t="s">
        <v>15629</v>
      </c>
      <c r="N2558" s="50"/>
      <c r="O2558" s="53" t="s">
        <v>70</v>
      </c>
      <c r="P2558" s="55" t="s">
        <v>15630</v>
      </c>
      <c r="Q2558" s="50">
        <v>34.0</v>
      </c>
      <c r="R2558" s="50">
        <v>40.0</v>
      </c>
      <c r="S2558" s="50" t="s">
        <v>15631</v>
      </c>
      <c r="T2558" s="56" t="s">
        <v>15632</v>
      </c>
      <c r="U2558" s="53" t="s">
        <v>332</v>
      </c>
    </row>
    <row r="2559">
      <c r="A2559" s="54" t="s">
        <v>15633</v>
      </c>
      <c r="B2559" s="50" t="s">
        <v>15627</v>
      </c>
      <c r="C2559" s="51" t="s">
        <v>367</v>
      </c>
      <c r="D2559" s="51"/>
      <c r="E2559" s="51"/>
      <c r="F2559" s="51"/>
      <c r="G2559" s="50" t="s">
        <v>15634</v>
      </c>
      <c r="H2559" s="52">
        <v>44683.01231481481</v>
      </c>
      <c r="I2559" s="50"/>
      <c r="J2559" s="50"/>
      <c r="K2559" s="50"/>
      <c r="L2559" s="50"/>
      <c r="M2559" s="50" t="s">
        <v>15629</v>
      </c>
      <c r="N2559" s="50"/>
      <c r="O2559" s="53" t="s">
        <v>70</v>
      </c>
      <c r="P2559" s="55" t="s">
        <v>15630</v>
      </c>
      <c r="Q2559" s="50">
        <v>34.0</v>
      </c>
      <c r="R2559" s="50">
        <v>40.0</v>
      </c>
      <c r="S2559" s="50" t="s">
        <v>15631</v>
      </c>
      <c r="T2559" s="56" t="s">
        <v>15635</v>
      </c>
      <c r="U2559" s="53" t="s">
        <v>370</v>
      </c>
    </row>
    <row r="2560">
      <c r="A2560" s="54" t="s">
        <v>15636</v>
      </c>
      <c r="B2560" s="50" t="s">
        <v>15637</v>
      </c>
      <c r="C2560" s="51" t="s">
        <v>15638</v>
      </c>
      <c r="D2560" s="51"/>
      <c r="E2560" s="51"/>
      <c r="F2560" s="51"/>
      <c r="G2560" s="50" t="s">
        <v>15639</v>
      </c>
      <c r="H2560" s="52">
        <v>44683.01230324074</v>
      </c>
      <c r="I2560" s="50"/>
      <c r="J2560" s="50"/>
      <c r="K2560" s="50"/>
      <c r="L2560" s="50"/>
      <c r="M2560" s="50" t="s">
        <v>15640</v>
      </c>
      <c r="N2560" s="50"/>
      <c r="O2560" s="53" t="s">
        <v>60</v>
      </c>
      <c r="P2560" s="55" t="s">
        <v>15641</v>
      </c>
      <c r="Q2560" s="50">
        <v>3154.0</v>
      </c>
      <c r="R2560" s="50">
        <v>4957.0</v>
      </c>
      <c r="S2560" s="50" t="s">
        <v>15642</v>
      </c>
      <c r="T2560" s="56" t="s">
        <v>15643</v>
      </c>
      <c r="U2560" s="53" t="s">
        <v>15644</v>
      </c>
    </row>
    <row r="2561">
      <c r="A2561" s="54" t="s">
        <v>15645</v>
      </c>
      <c r="B2561" s="50" t="s">
        <v>15564</v>
      </c>
      <c r="C2561" s="51" t="s">
        <v>367</v>
      </c>
      <c r="D2561" s="51"/>
      <c r="E2561" s="51"/>
      <c r="F2561" s="51"/>
      <c r="G2561" s="50" t="s">
        <v>15646</v>
      </c>
      <c r="H2561" s="52">
        <v>44683.01212962963</v>
      </c>
      <c r="I2561" s="50"/>
      <c r="J2561" s="50"/>
      <c r="K2561" s="50"/>
      <c r="L2561" s="50"/>
      <c r="M2561" s="50" t="s">
        <v>15566</v>
      </c>
      <c r="N2561" s="50"/>
      <c r="O2561" s="53" t="s">
        <v>70</v>
      </c>
      <c r="P2561" s="55" t="s">
        <v>15567</v>
      </c>
      <c r="Q2561" s="50">
        <v>4541.0</v>
      </c>
      <c r="R2561" s="50">
        <v>4998.0</v>
      </c>
      <c r="S2561" s="50" t="s">
        <v>1365</v>
      </c>
      <c r="T2561" s="56" t="s">
        <v>15647</v>
      </c>
      <c r="U2561" s="53" t="s">
        <v>370</v>
      </c>
    </row>
    <row r="2562">
      <c r="A2562" s="54" t="s">
        <v>15648</v>
      </c>
      <c r="B2562" s="50" t="s">
        <v>15627</v>
      </c>
      <c r="C2562" s="51" t="s">
        <v>316</v>
      </c>
      <c r="D2562" s="51"/>
      <c r="E2562" s="51"/>
      <c r="F2562" s="51"/>
      <c r="G2562" s="50" t="s">
        <v>15649</v>
      </c>
      <c r="H2562" s="52">
        <v>44683.012094907404</v>
      </c>
      <c r="I2562" s="50"/>
      <c r="J2562" s="50"/>
      <c r="K2562" s="50"/>
      <c r="L2562" s="50"/>
      <c r="M2562" s="50" t="s">
        <v>15629</v>
      </c>
      <c r="N2562" s="50"/>
      <c r="O2562" s="53" t="s">
        <v>70</v>
      </c>
      <c r="P2562" s="55" t="s">
        <v>15630</v>
      </c>
      <c r="Q2562" s="50">
        <v>34.0</v>
      </c>
      <c r="R2562" s="50">
        <v>40.0</v>
      </c>
      <c r="S2562" s="50" t="s">
        <v>15631</v>
      </c>
      <c r="T2562" s="56" t="s">
        <v>15650</v>
      </c>
      <c r="U2562" s="53" t="s">
        <v>322</v>
      </c>
    </row>
    <row r="2563">
      <c r="A2563" s="54" t="s">
        <v>15651</v>
      </c>
      <c r="B2563" s="50" t="s">
        <v>15652</v>
      </c>
      <c r="C2563" s="51" t="s">
        <v>363</v>
      </c>
      <c r="D2563" s="51"/>
      <c r="E2563" s="51"/>
      <c r="F2563" s="51"/>
      <c r="G2563" s="50" t="s">
        <v>15653</v>
      </c>
      <c r="H2563" s="52">
        <v>44683.01204861111</v>
      </c>
      <c r="I2563" s="50"/>
      <c r="J2563" s="50"/>
      <c r="K2563" s="50"/>
      <c r="L2563" s="50"/>
      <c r="M2563" s="50" t="s">
        <v>15654</v>
      </c>
      <c r="N2563" s="50"/>
      <c r="O2563" s="53" t="s">
        <v>70</v>
      </c>
      <c r="P2563" s="55" t="s">
        <v>15655</v>
      </c>
      <c r="Q2563" s="50">
        <v>1164.0</v>
      </c>
      <c r="R2563" s="50">
        <v>1972.0</v>
      </c>
      <c r="S2563" s="50" t="s">
        <v>15656</v>
      </c>
      <c r="T2563" s="56" t="s">
        <v>15657</v>
      </c>
      <c r="U2563" s="53" t="s">
        <v>332</v>
      </c>
    </row>
    <row r="2564">
      <c r="A2564" s="54" t="s">
        <v>15658</v>
      </c>
      <c r="B2564" s="50" t="s">
        <v>15659</v>
      </c>
      <c r="C2564" s="51" t="s">
        <v>367</v>
      </c>
      <c r="D2564" s="51"/>
      <c r="E2564" s="51"/>
      <c r="F2564" s="51"/>
      <c r="G2564" s="50" t="s">
        <v>15660</v>
      </c>
      <c r="H2564" s="52">
        <v>44683.01158564815</v>
      </c>
      <c r="I2564" s="50"/>
      <c r="J2564" s="50"/>
      <c r="K2564" s="50"/>
      <c r="L2564" s="50"/>
      <c r="M2564" s="50" t="s">
        <v>15661</v>
      </c>
      <c r="N2564" s="50"/>
      <c r="O2564" s="53" t="s">
        <v>92</v>
      </c>
      <c r="P2564" s="55" t="s">
        <v>15662</v>
      </c>
      <c r="Q2564" s="50">
        <v>235.0</v>
      </c>
      <c r="R2564" s="50">
        <v>1705.0</v>
      </c>
      <c r="S2564" s="50"/>
      <c r="T2564" s="56" t="s">
        <v>15663</v>
      </c>
      <c r="U2564" s="53" t="s">
        <v>370</v>
      </c>
    </row>
    <row r="2565">
      <c r="A2565" s="54" t="s">
        <v>15664</v>
      </c>
      <c r="B2565" s="50" t="s">
        <v>15665</v>
      </c>
      <c r="C2565" s="51" t="s">
        <v>335</v>
      </c>
      <c r="D2565" s="51"/>
      <c r="E2565" s="51"/>
      <c r="F2565" s="51"/>
      <c r="G2565" s="50" t="s">
        <v>15666</v>
      </c>
      <c r="H2565" s="52">
        <v>44683.01064814815</v>
      </c>
      <c r="I2565" s="50"/>
      <c r="J2565" s="50"/>
      <c r="K2565" s="50"/>
      <c r="L2565" s="50"/>
      <c r="M2565" s="50" t="s">
        <v>15667</v>
      </c>
      <c r="N2565" s="50"/>
      <c r="O2565" s="53" t="s">
        <v>92</v>
      </c>
      <c r="P2565" s="55" t="s">
        <v>15668</v>
      </c>
      <c r="Q2565" s="50">
        <v>1376.0</v>
      </c>
      <c r="R2565" s="50">
        <v>2215.0</v>
      </c>
      <c r="S2565" s="50" t="s">
        <v>15410</v>
      </c>
      <c r="T2565" s="56" t="s">
        <v>15669</v>
      </c>
      <c r="U2565" s="53" t="s">
        <v>339</v>
      </c>
    </row>
    <row r="2566">
      <c r="A2566" s="54" t="s">
        <v>15670</v>
      </c>
      <c r="B2566" s="50" t="s">
        <v>15671</v>
      </c>
      <c r="C2566" s="51" t="s">
        <v>11189</v>
      </c>
      <c r="D2566" s="51"/>
      <c r="E2566" s="51"/>
      <c r="F2566" s="51"/>
      <c r="G2566" s="50" t="s">
        <v>15672</v>
      </c>
      <c r="H2566" s="52">
        <v>44683.010613425926</v>
      </c>
      <c r="I2566" s="50"/>
      <c r="J2566" s="50"/>
      <c r="K2566" s="50"/>
      <c r="L2566" s="50"/>
      <c r="M2566" s="50" t="s">
        <v>15673</v>
      </c>
      <c r="N2566" s="50"/>
      <c r="O2566" s="53" t="s">
        <v>92</v>
      </c>
      <c r="P2566" s="55" t="s">
        <v>15674</v>
      </c>
      <c r="Q2566" s="50">
        <v>1319.0</v>
      </c>
      <c r="R2566" s="50">
        <v>4175.0</v>
      </c>
      <c r="S2566" s="50" t="s">
        <v>15675</v>
      </c>
      <c r="T2566" s="56" t="s">
        <v>15676</v>
      </c>
      <c r="U2566" s="53" t="s">
        <v>11194</v>
      </c>
    </row>
    <row r="2567">
      <c r="A2567" s="54" t="s">
        <v>15677</v>
      </c>
      <c r="B2567" s="50" t="s">
        <v>15678</v>
      </c>
      <c r="C2567" s="51" t="s">
        <v>367</v>
      </c>
      <c r="D2567" s="51"/>
      <c r="E2567" s="51"/>
      <c r="F2567" s="51"/>
      <c r="G2567" s="50" t="s">
        <v>15679</v>
      </c>
      <c r="H2567" s="52">
        <v>44683.01054398148</v>
      </c>
      <c r="I2567" s="50"/>
      <c r="J2567" s="50"/>
      <c r="K2567" s="50"/>
      <c r="L2567" s="50"/>
      <c r="M2567" s="50" t="s">
        <v>15680</v>
      </c>
      <c r="N2567" s="50"/>
      <c r="O2567" s="53" t="s">
        <v>70</v>
      </c>
      <c r="P2567" s="55" t="s">
        <v>15681</v>
      </c>
      <c r="Q2567" s="50">
        <v>189.0</v>
      </c>
      <c r="R2567" s="50">
        <v>960.0</v>
      </c>
      <c r="S2567" s="50" t="s">
        <v>5503</v>
      </c>
      <c r="T2567" s="56" t="s">
        <v>15682</v>
      </c>
      <c r="U2567" s="53" t="s">
        <v>370</v>
      </c>
    </row>
    <row r="2568">
      <c r="A2568" s="54" t="s">
        <v>15683</v>
      </c>
      <c r="B2568" s="50" t="s">
        <v>15665</v>
      </c>
      <c r="C2568" s="51" t="s">
        <v>367</v>
      </c>
      <c r="D2568" s="51"/>
      <c r="E2568" s="51"/>
      <c r="F2568" s="51"/>
      <c r="G2568" s="50" t="s">
        <v>15684</v>
      </c>
      <c r="H2568" s="52">
        <v>44683.01040509259</v>
      </c>
      <c r="I2568" s="50"/>
      <c r="J2568" s="50"/>
      <c r="K2568" s="50"/>
      <c r="L2568" s="50"/>
      <c r="M2568" s="50" t="s">
        <v>15667</v>
      </c>
      <c r="N2568" s="50"/>
      <c r="O2568" s="53" t="s">
        <v>92</v>
      </c>
      <c r="P2568" s="55" t="s">
        <v>15668</v>
      </c>
      <c r="Q2568" s="50">
        <v>1376.0</v>
      </c>
      <c r="R2568" s="50">
        <v>2215.0</v>
      </c>
      <c r="S2568" s="50" t="s">
        <v>15410</v>
      </c>
      <c r="T2568" s="56" t="s">
        <v>15685</v>
      </c>
      <c r="U2568" s="53" t="s">
        <v>370</v>
      </c>
    </row>
    <row r="2569">
      <c r="A2569" s="54" t="s">
        <v>15686</v>
      </c>
      <c r="B2569" s="50" t="s">
        <v>15687</v>
      </c>
      <c r="C2569" s="51" t="s">
        <v>11830</v>
      </c>
      <c r="D2569" s="51"/>
      <c r="E2569" s="51"/>
      <c r="F2569" s="51"/>
      <c r="G2569" s="50" t="s">
        <v>15688</v>
      </c>
      <c r="H2569" s="52">
        <v>44683.01005787037</v>
      </c>
      <c r="I2569" s="50"/>
      <c r="J2569" s="50"/>
      <c r="K2569" s="50"/>
      <c r="L2569" s="50"/>
      <c r="M2569" s="50" t="s">
        <v>15689</v>
      </c>
      <c r="N2569" s="50"/>
      <c r="O2569" s="53" t="s">
        <v>217</v>
      </c>
      <c r="P2569" s="55" t="s">
        <v>15690</v>
      </c>
      <c r="Q2569" s="50">
        <v>2651.0</v>
      </c>
      <c r="R2569" s="50">
        <v>4207.0</v>
      </c>
      <c r="S2569" s="50" t="s">
        <v>1285</v>
      </c>
      <c r="T2569" s="56" t="s">
        <v>15691</v>
      </c>
      <c r="U2569" s="53" t="s">
        <v>5899</v>
      </c>
    </row>
    <row r="2570">
      <c r="A2570" s="54" t="s">
        <v>15692</v>
      </c>
      <c r="B2570" s="50" t="s">
        <v>15693</v>
      </c>
      <c r="C2570" s="51" t="s">
        <v>15694</v>
      </c>
      <c r="D2570" s="51"/>
      <c r="E2570" s="51"/>
      <c r="F2570" s="51"/>
      <c r="G2570" s="50" t="s">
        <v>15695</v>
      </c>
      <c r="H2570" s="52">
        <v>44683.0099537037</v>
      </c>
      <c r="I2570" s="50"/>
      <c r="J2570" s="50"/>
      <c r="K2570" s="50"/>
      <c r="L2570" s="50"/>
      <c r="M2570" s="50" t="s">
        <v>15696</v>
      </c>
      <c r="N2570" s="50"/>
      <c r="O2570" s="53" t="s">
        <v>60</v>
      </c>
      <c r="P2570" s="55" t="s">
        <v>15697</v>
      </c>
      <c r="Q2570" s="50">
        <v>1656.0</v>
      </c>
      <c r="R2570" s="50">
        <v>3134.0</v>
      </c>
      <c r="S2570" s="50" t="s">
        <v>5503</v>
      </c>
      <c r="T2570" s="56" t="s">
        <v>15698</v>
      </c>
      <c r="U2570" s="53" t="s">
        <v>15699</v>
      </c>
    </row>
    <row r="2571">
      <c r="A2571" s="54" t="s">
        <v>15700</v>
      </c>
      <c r="B2571" s="50" t="s">
        <v>15701</v>
      </c>
      <c r="C2571" s="51" t="s">
        <v>15702</v>
      </c>
      <c r="D2571" s="51"/>
      <c r="E2571" s="51"/>
      <c r="F2571" s="51"/>
      <c r="G2571" s="50" t="s">
        <v>15703</v>
      </c>
      <c r="H2571" s="52">
        <v>44683.00989583333</v>
      </c>
      <c r="I2571" s="50"/>
      <c r="J2571" s="50"/>
      <c r="K2571" s="50" t="s">
        <v>15704</v>
      </c>
      <c r="L2571" s="50" t="s">
        <v>15705</v>
      </c>
      <c r="M2571" s="50" t="s">
        <v>15706</v>
      </c>
      <c r="N2571" s="50"/>
      <c r="O2571" s="53" t="s">
        <v>92</v>
      </c>
      <c r="P2571" s="55" t="s">
        <v>15707</v>
      </c>
      <c r="Q2571" s="50">
        <v>72.0</v>
      </c>
      <c r="R2571" s="50">
        <v>82.0</v>
      </c>
      <c r="S2571" s="50"/>
      <c r="T2571" s="56" t="s">
        <v>15708</v>
      </c>
      <c r="U2571" s="53" t="s">
        <v>15709</v>
      </c>
    </row>
    <row r="2572">
      <c r="A2572" s="54" t="s">
        <v>15710</v>
      </c>
      <c r="B2572" s="50" t="s">
        <v>15711</v>
      </c>
      <c r="C2572" s="51" t="s">
        <v>316</v>
      </c>
      <c r="D2572" s="51"/>
      <c r="E2572" s="51"/>
      <c r="F2572" s="51"/>
      <c r="G2572" s="50" t="s">
        <v>15712</v>
      </c>
      <c r="H2572" s="52">
        <v>44683.00979166667</v>
      </c>
      <c r="I2572" s="50"/>
      <c r="J2572" s="50"/>
      <c r="K2572" s="50"/>
      <c r="L2572" s="50"/>
      <c r="M2572" s="50" t="s">
        <v>15713</v>
      </c>
      <c r="N2572" s="50"/>
      <c r="O2572" s="53" t="s">
        <v>60</v>
      </c>
      <c r="P2572" s="55" t="s">
        <v>15714</v>
      </c>
      <c r="Q2572" s="50">
        <v>983.0</v>
      </c>
      <c r="R2572" s="50">
        <v>1529.0</v>
      </c>
      <c r="S2572" s="50" t="s">
        <v>7107</v>
      </c>
      <c r="T2572" s="56" t="s">
        <v>15715</v>
      </c>
      <c r="U2572" s="53" t="s">
        <v>322</v>
      </c>
    </row>
    <row r="2573">
      <c r="A2573" s="54" t="s">
        <v>15716</v>
      </c>
      <c r="B2573" s="50" t="s">
        <v>15687</v>
      </c>
      <c r="C2573" s="51" t="s">
        <v>15717</v>
      </c>
      <c r="D2573" s="51"/>
      <c r="E2573" s="51"/>
      <c r="F2573" s="51"/>
      <c r="G2573" s="50" t="s">
        <v>15718</v>
      </c>
      <c r="H2573" s="52">
        <v>44683.00966435185</v>
      </c>
      <c r="I2573" s="50"/>
      <c r="J2573" s="50"/>
      <c r="K2573" s="50"/>
      <c r="L2573" s="50"/>
      <c r="M2573" s="50" t="s">
        <v>15689</v>
      </c>
      <c r="N2573" s="50"/>
      <c r="O2573" s="53" t="s">
        <v>217</v>
      </c>
      <c r="P2573" s="55" t="s">
        <v>15690</v>
      </c>
      <c r="Q2573" s="50">
        <v>2651.0</v>
      </c>
      <c r="R2573" s="50">
        <v>4207.0</v>
      </c>
      <c r="S2573" s="50" t="s">
        <v>1285</v>
      </c>
      <c r="T2573" s="56" t="s">
        <v>15719</v>
      </c>
      <c r="U2573" s="53" t="s">
        <v>5899</v>
      </c>
    </row>
    <row r="2574">
      <c r="A2574" s="54" t="s">
        <v>15720</v>
      </c>
      <c r="B2574" s="50" t="s">
        <v>15687</v>
      </c>
      <c r="C2574" s="51" t="s">
        <v>11790</v>
      </c>
      <c r="D2574" s="51"/>
      <c r="E2574" s="51"/>
      <c r="F2574" s="51"/>
      <c r="G2574" s="50" t="s">
        <v>15721</v>
      </c>
      <c r="H2574" s="52">
        <v>44683.009467592594</v>
      </c>
      <c r="I2574" s="50"/>
      <c r="J2574" s="50"/>
      <c r="K2574" s="50"/>
      <c r="L2574" s="50"/>
      <c r="M2574" s="50" t="s">
        <v>15689</v>
      </c>
      <c r="N2574" s="50"/>
      <c r="O2574" s="53" t="s">
        <v>217</v>
      </c>
      <c r="P2574" s="55" t="s">
        <v>15690</v>
      </c>
      <c r="Q2574" s="50">
        <v>2651.0</v>
      </c>
      <c r="R2574" s="50">
        <v>4207.0</v>
      </c>
      <c r="S2574" s="50" t="s">
        <v>1285</v>
      </c>
      <c r="T2574" s="56" t="s">
        <v>15722</v>
      </c>
      <c r="U2574" s="53" t="s">
        <v>5899</v>
      </c>
    </row>
    <row r="2575">
      <c r="A2575" s="54" t="s">
        <v>15723</v>
      </c>
      <c r="B2575" s="50" t="s">
        <v>15724</v>
      </c>
      <c r="C2575" s="51" t="s">
        <v>2076</v>
      </c>
      <c r="D2575" s="51"/>
      <c r="E2575" s="51"/>
      <c r="F2575" s="51"/>
      <c r="G2575" s="50" t="s">
        <v>15725</v>
      </c>
      <c r="H2575" s="52">
        <v>44683.009305555555</v>
      </c>
      <c r="I2575" s="50"/>
      <c r="J2575" s="50"/>
      <c r="K2575" s="50"/>
      <c r="L2575" s="50"/>
      <c r="M2575" s="50" t="s">
        <v>15726</v>
      </c>
      <c r="N2575" s="50"/>
      <c r="O2575" s="53" t="s">
        <v>217</v>
      </c>
      <c r="P2575" s="55" t="s">
        <v>354</v>
      </c>
      <c r="Q2575" s="50">
        <v>622.0</v>
      </c>
      <c r="R2575" s="50">
        <v>383.0</v>
      </c>
      <c r="S2575" s="50"/>
      <c r="T2575" s="56" t="s">
        <v>15727</v>
      </c>
      <c r="U2575" s="53" t="s">
        <v>691</v>
      </c>
    </row>
    <row r="2576">
      <c r="A2576" s="54" t="s">
        <v>15728</v>
      </c>
      <c r="B2576" s="50" t="s">
        <v>15693</v>
      </c>
      <c r="C2576" s="51" t="s">
        <v>15729</v>
      </c>
      <c r="D2576" s="51"/>
      <c r="E2576" s="51"/>
      <c r="F2576" s="51"/>
      <c r="G2576" s="50" t="s">
        <v>15730</v>
      </c>
      <c r="H2576" s="52">
        <v>44683.00921296296</v>
      </c>
      <c r="I2576" s="50"/>
      <c r="J2576" s="50"/>
      <c r="K2576" s="50"/>
      <c r="L2576" s="50"/>
      <c r="M2576" s="50" t="s">
        <v>15696</v>
      </c>
      <c r="N2576" s="50"/>
      <c r="O2576" s="53" t="s">
        <v>60</v>
      </c>
      <c r="P2576" s="55" t="s">
        <v>15697</v>
      </c>
      <c r="Q2576" s="50">
        <v>1656.0</v>
      </c>
      <c r="R2576" s="50">
        <v>3134.0</v>
      </c>
      <c r="S2576" s="50" t="s">
        <v>5503</v>
      </c>
      <c r="T2576" s="56" t="s">
        <v>15731</v>
      </c>
      <c r="U2576" s="53" t="s">
        <v>15732</v>
      </c>
    </row>
    <row r="2577">
      <c r="A2577" s="54" t="s">
        <v>15733</v>
      </c>
      <c r="B2577" s="50" t="s">
        <v>15734</v>
      </c>
      <c r="C2577" s="51" t="s">
        <v>367</v>
      </c>
      <c r="D2577" s="51"/>
      <c r="E2577" s="51"/>
      <c r="F2577" s="51"/>
      <c r="G2577" s="50" t="s">
        <v>15735</v>
      </c>
      <c r="H2577" s="52">
        <v>44683.00914351852</v>
      </c>
      <c r="I2577" s="50"/>
      <c r="J2577" s="50"/>
      <c r="K2577" s="50"/>
      <c r="L2577" s="50"/>
      <c r="M2577" s="50" t="s">
        <v>15736</v>
      </c>
      <c r="N2577" s="50"/>
      <c r="O2577" s="53" t="s">
        <v>92</v>
      </c>
      <c r="P2577" s="55" t="s">
        <v>15737</v>
      </c>
      <c r="Q2577" s="50">
        <v>972.0</v>
      </c>
      <c r="R2577" s="50">
        <v>1584.0</v>
      </c>
      <c r="S2577" s="50" t="s">
        <v>2610</v>
      </c>
      <c r="T2577" s="56" t="s">
        <v>15738</v>
      </c>
      <c r="U2577" s="53" t="s">
        <v>370</v>
      </c>
    </row>
    <row r="2578">
      <c r="A2578" s="54" t="s">
        <v>15739</v>
      </c>
      <c r="B2578" s="50" t="s">
        <v>15740</v>
      </c>
      <c r="C2578" s="51" t="s">
        <v>15741</v>
      </c>
      <c r="D2578" s="51"/>
      <c r="E2578" s="51"/>
      <c r="F2578" s="51"/>
      <c r="G2578" s="50" t="s">
        <v>15742</v>
      </c>
      <c r="H2578" s="52">
        <v>44683.00881944444</v>
      </c>
      <c r="I2578" s="50"/>
      <c r="J2578" s="50"/>
      <c r="K2578" s="50"/>
      <c r="L2578" s="50"/>
      <c r="M2578" s="50" t="s">
        <v>15743</v>
      </c>
      <c r="N2578" s="50"/>
      <c r="O2578" s="53" t="s">
        <v>92</v>
      </c>
      <c r="P2578" s="55" t="s">
        <v>15744</v>
      </c>
      <c r="Q2578" s="50">
        <v>10472.0</v>
      </c>
      <c r="R2578" s="50">
        <v>10651.0</v>
      </c>
      <c r="S2578" s="50" t="s">
        <v>15745</v>
      </c>
      <c r="T2578" s="56" t="s">
        <v>15746</v>
      </c>
      <c r="U2578" s="53" t="s">
        <v>5899</v>
      </c>
    </row>
    <row r="2579">
      <c r="A2579" s="54" t="s">
        <v>15747</v>
      </c>
      <c r="B2579" s="50" t="s">
        <v>15693</v>
      </c>
      <c r="C2579" s="51" t="s">
        <v>15748</v>
      </c>
      <c r="D2579" s="51"/>
      <c r="E2579" s="51"/>
      <c r="F2579" s="51"/>
      <c r="G2579" s="50" t="s">
        <v>15749</v>
      </c>
      <c r="H2579" s="52">
        <v>44683.00875</v>
      </c>
      <c r="I2579" s="50"/>
      <c r="J2579" s="50"/>
      <c r="K2579" s="50"/>
      <c r="L2579" s="50"/>
      <c r="M2579" s="50" t="s">
        <v>15696</v>
      </c>
      <c r="N2579" s="50"/>
      <c r="O2579" s="53" t="s">
        <v>60</v>
      </c>
      <c r="P2579" s="55" t="s">
        <v>15697</v>
      </c>
      <c r="Q2579" s="50">
        <v>1656.0</v>
      </c>
      <c r="R2579" s="50">
        <v>3134.0</v>
      </c>
      <c r="S2579" s="50" t="s">
        <v>5503</v>
      </c>
      <c r="T2579" s="56" t="s">
        <v>15750</v>
      </c>
      <c r="U2579" s="53" t="s">
        <v>15751</v>
      </c>
    </row>
    <row r="2580">
      <c r="A2580" s="54" t="s">
        <v>15752</v>
      </c>
      <c r="B2580" s="50" t="s">
        <v>15693</v>
      </c>
      <c r="C2580" s="51" t="s">
        <v>15753</v>
      </c>
      <c r="D2580" s="51"/>
      <c r="E2580" s="51"/>
      <c r="F2580" s="51"/>
      <c r="G2580" s="50" t="s">
        <v>15754</v>
      </c>
      <c r="H2580" s="52">
        <v>44683.00820601852</v>
      </c>
      <c r="I2580" s="50"/>
      <c r="J2580" s="50"/>
      <c r="K2580" s="50"/>
      <c r="L2580" s="50"/>
      <c r="M2580" s="50" t="s">
        <v>15696</v>
      </c>
      <c r="N2580" s="50"/>
      <c r="O2580" s="53" t="s">
        <v>60</v>
      </c>
      <c r="P2580" s="55" t="s">
        <v>15697</v>
      </c>
      <c r="Q2580" s="50">
        <v>1656.0</v>
      </c>
      <c r="R2580" s="50">
        <v>3134.0</v>
      </c>
      <c r="S2580" s="50" t="s">
        <v>5503</v>
      </c>
      <c r="T2580" s="56" t="s">
        <v>15755</v>
      </c>
      <c r="U2580" s="53" t="s">
        <v>15756</v>
      </c>
    </row>
    <row r="2581">
      <c r="A2581" s="54" t="s">
        <v>15757</v>
      </c>
      <c r="B2581" s="50" t="s">
        <v>15758</v>
      </c>
      <c r="C2581" s="51" t="s">
        <v>1913</v>
      </c>
      <c r="D2581" s="51"/>
      <c r="E2581" s="51"/>
      <c r="F2581" s="51"/>
      <c r="G2581" s="50" t="s">
        <v>15759</v>
      </c>
      <c r="H2581" s="52">
        <v>44683.00776620371</v>
      </c>
      <c r="I2581" s="50"/>
      <c r="J2581" s="50"/>
      <c r="K2581" s="50"/>
      <c r="L2581" s="50"/>
      <c r="M2581" s="50" t="s">
        <v>15760</v>
      </c>
      <c r="N2581" s="50"/>
      <c r="O2581" s="53" t="s">
        <v>70</v>
      </c>
      <c r="P2581" s="55" t="s">
        <v>15761</v>
      </c>
      <c r="Q2581" s="50">
        <v>38.0</v>
      </c>
      <c r="R2581" s="50">
        <v>218.0</v>
      </c>
      <c r="S2581" s="50" t="s">
        <v>15762</v>
      </c>
      <c r="T2581" s="56" t="s">
        <v>15763</v>
      </c>
      <c r="U2581" s="53" t="s">
        <v>1916</v>
      </c>
    </row>
    <row r="2582">
      <c r="A2582" s="54" t="s">
        <v>15764</v>
      </c>
      <c r="B2582" s="50" t="s">
        <v>15765</v>
      </c>
      <c r="C2582" s="51" t="s">
        <v>367</v>
      </c>
      <c r="D2582" s="51"/>
      <c r="E2582" s="51"/>
      <c r="F2582" s="51"/>
      <c r="G2582" s="50" t="s">
        <v>15766</v>
      </c>
      <c r="H2582" s="52">
        <v>44683.007685185185</v>
      </c>
      <c r="I2582" s="50"/>
      <c r="J2582" s="50"/>
      <c r="K2582" s="50"/>
      <c r="L2582" s="50"/>
      <c r="M2582" s="50" t="s">
        <v>15767</v>
      </c>
      <c r="N2582" s="50"/>
      <c r="O2582" s="53" t="s">
        <v>217</v>
      </c>
      <c r="P2582" s="55" t="s">
        <v>15768</v>
      </c>
      <c r="Q2582" s="50">
        <v>6172.0</v>
      </c>
      <c r="R2582" s="50">
        <v>6757.0</v>
      </c>
      <c r="S2582" s="50" t="s">
        <v>129</v>
      </c>
      <c r="T2582" s="56" t="s">
        <v>15769</v>
      </c>
      <c r="U2582" s="53" t="s">
        <v>370</v>
      </c>
    </row>
    <row r="2583">
      <c r="A2583" s="54" t="s">
        <v>15770</v>
      </c>
      <c r="B2583" s="50" t="s">
        <v>15771</v>
      </c>
      <c r="C2583" s="51" t="s">
        <v>15772</v>
      </c>
      <c r="D2583" s="51"/>
      <c r="E2583" s="51"/>
      <c r="F2583" s="51"/>
      <c r="G2583" s="50" t="s">
        <v>15773</v>
      </c>
      <c r="H2583" s="52">
        <v>44683.006990740745</v>
      </c>
      <c r="I2583" s="50"/>
      <c r="J2583" s="50"/>
      <c r="K2583" s="50"/>
      <c r="L2583" s="50"/>
      <c r="M2583" s="50" t="s">
        <v>15774</v>
      </c>
      <c r="N2583" s="50"/>
      <c r="O2583" s="53" t="s">
        <v>70</v>
      </c>
      <c r="P2583" s="55" t="s">
        <v>15775</v>
      </c>
      <c r="Q2583" s="50">
        <v>584.0</v>
      </c>
      <c r="R2583" s="50">
        <v>528.0</v>
      </c>
      <c r="S2583" s="50" t="s">
        <v>163</v>
      </c>
      <c r="T2583" s="56" t="s">
        <v>15776</v>
      </c>
      <c r="U2583" s="53" t="s">
        <v>15777</v>
      </c>
    </row>
    <row r="2584">
      <c r="A2584" s="54" t="s">
        <v>15778</v>
      </c>
      <c r="B2584" s="50" t="s">
        <v>15779</v>
      </c>
      <c r="C2584" s="51" t="s">
        <v>367</v>
      </c>
      <c r="D2584" s="51"/>
      <c r="E2584" s="51"/>
      <c r="F2584" s="51"/>
      <c r="G2584" s="50" t="s">
        <v>15780</v>
      </c>
      <c r="H2584" s="52">
        <v>44683.00680555556</v>
      </c>
      <c r="I2584" s="50"/>
      <c r="J2584" s="50"/>
      <c r="K2584" s="50"/>
      <c r="L2584" s="50"/>
      <c r="M2584" s="50" t="s">
        <v>15781</v>
      </c>
      <c r="N2584" s="50"/>
      <c r="O2584" s="53" t="s">
        <v>70</v>
      </c>
      <c r="P2584" s="55" t="s">
        <v>15782</v>
      </c>
      <c r="Q2584" s="50">
        <v>101.0</v>
      </c>
      <c r="R2584" s="50">
        <v>144.0</v>
      </c>
      <c r="S2584" s="50" t="s">
        <v>15783</v>
      </c>
      <c r="T2584" s="56" t="s">
        <v>15784</v>
      </c>
      <c r="U2584" s="53" t="s">
        <v>370</v>
      </c>
    </row>
    <row r="2585">
      <c r="A2585" s="54" t="s">
        <v>15785</v>
      </c>
      <c r="B2585" s="50" t="s">
        <v>15779</v>
      </c>
      <c r="C2585" s="51" t="s">
        <v>329</v>
      </c>
      <c r="D2585" s="51"/>
      <c r="E2585" s="51"/>
      <c r="F2585" s="51"/>
      <c r="G2585" s="50" t="s">
        <v>15786</v>
      </c>
      <c r="H2585" s="52">
        <v>44683.00675925926</v>
      </c>
      <c r="I2585" s="50"/>
      <c r="J2585" s="50"/>
      <c r="K2585" s="50"/>
      <c r="L2585" s="50"/>
      <c r="M2585" s="50" t="s">
        <v>15781</v>
      </c>
      <c r="N2585" s="50"/>
      <c r="O2585" s="53" t="s">
        <v>70</v>
      </c>
      <c r="P2585" s="55" t="s">
        <v>15782</v>
      </c>
      <c r="Q2585" s="50">
        <v>101.0</v>
      </c>
      <c r="R2585" s="50">
        <v>144.0</v>
      </c>
      <c r="S2585" s="50" t="s">
        <v>15783</v>
      </c>
      <c r="T2585" s="56" t="s">
        <v>15787</v>
      </c>
      <c r="U2585" s="53" t="s">
        <v>332</v>
      </c>
    </row>
    <row r="2586">
      <c r="A2586" s="54" t="s">
        <v>15788</v>
      </c>
      <c r="B2586" s="50" t="s">
        <v>15779</v>
      </c>
      <c r="C2586" s="51" t="s">
        <v>316</v>
      </c>
      <c r="D2586" s="51"/>
      <c r="E2586" s="51"/>
      <c r="F2586" s="51"/>
      <c r="G2586" s="50" t="s">
        <v>15789</v>
      </c>
      <c r="H2586" s="52">
        <v>44683.006736111114</v>
      </c>
      <c r="I2586" s="50"/>
      <c r="J2586" s="50"/>
      <c r="K2586" s="50"/>
      <c r="L2586" s="50"/>
      <c r="M2586" s="50" t="s">
        <v>15781</v>
      </c>
      <c r="N2586" s="50"/>
      <c r="O2586" s="53" t="s">
        <v>70</v>
      </c>
      <c r="P2586" s="55" t="s">
        <v>15782</v>
      </c>
      <c r="Q2586" s="50">
        <v>101.0</v>
      </c>
      <c r="R2586" s="50">
        <v>144.0</v>
      </c>
      <c r="S2586" s="50" t="s">
        <v>15783</v>
      </c>
      <c r="T2586" s="56" t="s">
        <v>15790</v>
      </c>
      <c r="U2586" s="53" t="s">
        <v>322</v>
      </c>
    </row>
    <row r="2587">
      <c r="A2587" s="54" t="s">
        <v>15791</v>
      </c>
      <c r="B2587" s="50" t="s">
        <v>15792</v>
      </c>
      <c r="C2587" s="51" t="s">
        <v>855</v>
      </c>
      <c r="D2587" s="51"/>
      <c r="E2587" s="51"/>
      <c r="F2587" s="51"/>
      <c r="G2587" s="50" t="s">
        <v>15793</v>
      </c>
      <c r="H2587" s="52">
        <v>44683.006689814814</v>
      </c>
      <c r="I2587" s="50"/>
      <c r="J2587" s="50"/>
      <c r="K2587" s="50"/>
      <c r="L2587" s="50"/>
      <c r="M2587" s="50" t="s">
        <v>15794</v>
      </c>
      <c r="N2587" s="50"/>
      <c r="O2587" s="53" t="s">
        <v>92</v>
      </c>
      <c r="P2587" s="55" t="s">
        <v>15795</v>
      </c>
      <c r="Q2587" s="50">
        <v>223.0</v>
      </c>
      <c r="R2587" s="50">
        <v>311.0</v>
      </c>
      <c r="S2587" s="50" t="s">
        <v>15796</v>
      </c>
      <c r="T2587" s="56" t="s">
        <v>15797</v>
      </c>
      <c r="U2587" s="53" t="s">
        <v>861</v>
      </c>
    </row>
    <row r="2588">
      <c r="A2588" s="54" t="s">
        <v>15798</v>
      </c>
      <c r="B2588" s="50" t="s">
        <v>15799</v>
      </c>
      <c r="C2588" s="51" t="s">
        <v>367</v>
      </c>
      <c r="D2588" s="51"/>
      <c r="E2588" s="51"/>
      <c r="F2588" s="51"/>
      <c r="G2588" s="50" t="s">
        <v>15800</v>
      </c>
      <c r="H2588" s="52">
        <v>44683.00655092593</v>
      </c>
      <c r="I2588" s="50"/>
      <c r="J2588" s="50"/>
      <c r="K2588" s="50"/>
      <c r="L2588" s="50"/>
      <c r="M2588" s="50" t="s">
        <v>15801</v>
      </c>
      <c r="N2588" s="50"/>
      <c r="O2588" s="53" t="s">
        <v>92</v>
      </c>
      <c r="P2588" s="55" t="s">
        <v>15802</v>
      </c>
      <c r="Q2588" s="50">
        <v>211.0</v>
      </c>
      <c r="R2588" s="50">
        <v>521.0</v>
      </c>
      <c r="S2588" s="50" t="s">
        <v>15803</v>
      </c>
      <c r="T2588" s="56" t="s">
        <v>15804</v>
      </c>
      <c r="U2588" s="53" t="s">
        <v>370</v>
      </c>
    </row>
    <row r="2589">
      <c r="A2589" s="54" t="s">
        <v>15805</v>
      </c>
      <c r="B2589" s="50" t="s">
        <v>15806</v>
      </c>
      <c r="C2589" s="51" t="s">
        <v>367</v>
      </c>
      <c r="D2589" s="51"/>
      <c r="E2589" s="51"/>
      <c r="F2589" s="51"/>
      <c r="G2589" s="50" t="s">
        <v>15807</v>
      </c>
      <c r="H2589" s="52">
        <v>44683.00638888888</v>
      </c>
      <c r="I2589" s="50"/>
      <c r="J2589" s="50"/>
      <c r="K2589" s="50"/>
      <c r="L2589" s="50"/>
      <c r="M2589" s="50" t="s">
        <v>15808</v>
      </c>
      <c r="N2589" s="50"/>
      <c r="O2589" s="53" t="s">
        <v>70</v>
      </c>
      <c r="P2589" s="55" t="s">
        <v>15809</v>
      </c>
      <c r="Q2589" s="50">
        <v>94.0</v>
      </c>
      <c r="R2589" s="50">
        <v>56.0</v>
      </c>
      <c r="S2589" s="50"/>
      <c r="T2589" s="56" t="s">
        <v>15810</v>
      </c>
      <c r="U2589" s="53" t="s">
        <v>370</v>
      </c>
    </row>
    <row r="2590">
      <c r="A2590" s="54" t="s">
        <v>15811</v>
      </c>
      <c r="B2590" s="50" t="s">
        <v>15812</v>
      </c>
      <c r="C2590" s="51" t="s">
        <v>367</v>
      </c>
      <c r="D2590" s="51"/>
      <c r="E2590" s="51"/>
      <c r="F2590" s="51"/>
      <c r="G2590" s="50" t="s">
        <v>15813</v>
      </c>
      <c r="H2590" s="52">
        <v>44683.00572916667</v>
      </c>
      <c r="I2590" s="50"/>
      <c r="J2590" s="50"/>
      <c r="K2590" s="50"/>
      <c r="L2590" s="50"/>
      <c r="M2590" s="50" t="s">
        <v>15814</v>
      </c>
      <c r="N2590" s="50"/>
      <c r="O2590" s="53" t="s">
        <v>92</v>
      </c>
      <c r="P2590" s="55" t="s">
        <v>15815</v>
      </c>
      <c r="Q2590" s="50">
        <v>3611.0</v>
      </c>
      <c r="R2590" s="50">
        <v>4315.0</v>
      </c>
      <c r="S2590" s="50" t="s">
        <v>15816</v>
      </c>
      <c r="T2590" s="56" t="s">
        <v>15817</v>
      </c>
      <c r="U2590" s="53" t="s">
        <v>370</v>
      </c>
    </row>
    <row r="2591">
      <c r="A2591" s="54" t="s">
        <v>15818</v>
      </c>
      <c r="B2591" s="50" t="s">
        <v>15819</v>
      </c>
      <c r="C2591" s="51" t="s">
        <v>2076</v>
      </c>
      <c r="D2591" s="51"/>
      <c r="E2591" s="51"/>
      <c r="F2591" s="51"/>
      <c r="G2591" s="50" t="s">
        <v>15820</v>
      </c>
      <c r="H2591" s="52">
        <v>44683.00568287037</v>
      </c>
      <c r="I2591" s="50"/>
      <c r="J2591" s="50"/>
      <c r="K2591" s="50"/>
      <c r="L2591" s="50"/>
      <c r="M2591" s="50" t="s">
        <v>15821</v>
      </c>
      <c r="N2591" s="50"/>
      <c r="O2591" s="53" t="s">
        <v>60</v>
      </c>
      <c r="P2591" s="55" t="s">
        <v>15822</v>
      </c>
      <c r="Q2591" s="50">
        <v>485.0</v>
      </c>
      <c r="R2591" s="50">
        <v>701.0</v>
      </c>
      <c r="S2591" s="50"/>
      <c r="T2591" s="56" t="s">
        <v>15823</v>
      </c>
      <c r="U2591" s="53" t="s">
        <v>691</v>
      </c>
    </row>
    <row r="2592">
      <c r="A2592" s="54" t="s">
        <v>15824</v>
      </c>
      <c r="B2592" s="50" t="s">
        <v>15825</v>
      </c>
      <c r="C2592" s="51" t="s">
        <v>367</v>
      </c>
      <c r="D2592" s="51"/>
      <c r="E2592" s="51"/>
      <c r="F2592" s="51"/>
      <c r="G2592" s="50" t="s">
        <v>15826</v>
      </c>
      <c r="H2592" s="52">
        <v>44683.00506944444</v>
      </c>
      <c r="I2592" s="50"/>
      <c r="J2592" s="50"/>
      <c r="K2592" s="50"/>
      <c r="L2592" s="50"/>
      <c r="M2592" s="50" t="s">
        <v>15827</v>
      </c>
      <c r="N2592" s="50"/>
      <c r="O2592" s="53" t="s">
        <v>60</v>
      </c>
      <c r="P2592" s="55" t="s">
        <v>15828</v>
      </c>
      <c r="Q2592" s="50">
        <v>199.0</v>
      </c>
      <c r="R2592" s="50">
        <v>266.0</v>
      </c>
      <c r="S2592" s="50" t="s">
        <v>15829</v>
      </c>
      <c r="T2592" s="56" t="s">
        <v>15830</v>
      </c>
      <c r="U2592" s="53" t="s">
        <v>370</v>
      </c>
    </row>
    <row r="2593">
      <c r="A2593" s="54" t="s">
        <v>15831</v>
      </c>
      <c r="B2593" s="50" t="s">
        <v>15832</v>
      </c>
      <c r="C2593" s="51" t="s">
        <v>15833</v>
      </c>
      <c r="D2593" s="51"/>
      <c r="E2593" s="51"/>
      <c r="F2593" s="51"/>
      <c r="G2593" s="50" t="s">
        <v>15834</v>
      </c>
      <c r="H2593" s="52">
        <v>44683.00491898148</v>
      </c>
      <c r="I2593" s="50"/>
      <c r="J2593" s="50"/>
      <c r="K2593" s="50" t="s">
        <v>15835</v>
      </c>
      <c r="L2593" s="50" t="s">
        <v>15836</v>
      </c>
      <c r="M2593" s="50" t="s">
        <v>15837</v>
      </c>
      <c r="N2593" s="50" t="s">
        <v>15838</v>
      </c>
      <c r="O2593" s="53" t="s">
        <v>92</v>
      </c>
      <c r="P2593" s="55" t="s">
        <v>15839</v>
      </c>
      <c r="Q2593" s="50">
        <v>287.0</v>
      </c>
      <c r="R2593" s="50">
        <v>740.0</v>
      </c>
      <c r="S2593" s="50" t="s">
        <v>15840</v>
      </c>
      <c r="T2593" s="56" t="s">
        <v>15841</v>
      </c>
      <c r="U2593" s="53" t="s">
        <v>15842</v>
      </c>
    </row>
    <row r="2594">
      <c r="A2594" s="54" t="s">
        <v>15843</v>
      </c>
      <c r="B2594" s="50" t="s">
        <v>15844</v>
      </c>
      <c r="C2594" s="51" t="s">
        <v>855</v>
      </c>
      <c r="D2594" s="51"/>
      <c r="E2594" s="51"/>
      <c r="F2594" s="51"/>
      <c r="G2594" s="50" t="s">
        <v>15845</v>
      </c>
      <c r="H2594" s="52">
        <v>44683.00439814814</v>
      </c>
      <c r="I2594" s="50"/>
      <c r="J2594" s="50"/>
      <c r="K2594" s="50"/>
      <c r="L2594" s="50"/>
      <c r="M2594" s="50" t="s">
        <v>15846</v>
      </c>
      <c r="N2594" s="50"/>
      <c r="O2594" s="53" t="s">
        <v>217</v>
      </c>
      <c r="P2594" s="55" t="s">
        <v>15847</v>
      </c>
      <c r="Q2594" s="50">
        <v>152.0</v>
      </c>
      <c r="R2594" s="50">
        <v>180.0</v>
      </c>
      <c r="S2594" s="50" t="s">
        <v>15848</v>
      </c>
      <c r="T2594" s="56" t="s">
        <v>15849</v>
      </c>
      <c r="U2594" s="53" t="s">
        <v>861</v>
      </c>
    </row>
    <row r="2595">
      <c r="A2595" s="54" t="s">
        <v>15850</v>
      </c>
      <c r="B2595" s="50" t="s">
        <v>15851</v>
      </c>
      <c r="C2595" s="51" t="s">
        <v>367</v>
      </c>
      <c r="D2595" s="51"/>
      <c r="E2595" s="51"/>
      <c r="F2595" s="51"/>
      <c r="G2595" s="50" t="s">
        <v>15852</v>
      </c>
      <c r="H2595" s="52">
        <v>44683.00434027778</v>
      </c>
      <c r="I2595" s="50"/>
      <c r="J2595" s="50"/>
      <c r="K2595" s="50"/>
      <c r="L2595" s="50"/>
      <c r="M2595" s="50" t="s">
        <v>15853</v>
      </c>
      <c r="N2595" s="50"/>
      <c r="O2595" s="53" t="s">
        <v>92</v>
      </c>
      <c r="P2595" s="55" t="s">
        <v>15854</v>
      </c>
      <c r="Q2595" s="50">
        <v>402.0</v>
      </c>
      <c r="R2595" s="50">
        <v>490.0</v>
      </c>
      <c r="S2595" s="50"/>
      <c r="T2595" s="56" t="s">
        <v>15855</v>
      </c>
      <c r="U2595" s="53" t="s">
        <v>370</v>
      </c>
    </row>
    <row r="2596">
      <c r="A2596" s="54" t="s">
        <v>15856</v>
      </c>
      <c r="B2596" s="50" t="s">
        <v>15857</v>
      </c>
      <c r="C2596" s="51" t="s">
        <v>367</v>
      </c>
      <c r="D2596" s="51"/>
      <c r="E2596" s="51"/>
      <c r="F2596" s="51"/>
      <c r="G2596" s="50" t="s">
        <v>15858</v>
      </c>
      <c r="H2596" s="52">
        <v>44683.003657407404</v>
      </c>
      <c r="I2596" s="50"/>
      <c r="J2596" s="50"/>
      <c r="K2596" s="50"/>
      <c r="L2596" s="50"/>
      <c r="M2596" s="50" t="s">
        <v>15859</v>
      </c>
      <c r="N2596" s="50"/>
      <c r="O2596" s="53" t="s">
        <v>217</v>
      </c>
      <c r="P2596" s="55" t="s">
        <v>15860</v>
      </c>
      <c r="Q2596" s="50">
        <v>243.0</v>
      </c>
      <c r="R2596" s="50">
        <v>590.0</v>
      </c>
      <c r="S2596" s="50" t="s">
        <v>15861</v>
      </c>
      <c r="T2596" s="56" t="s">
        <v>15862</v>
      </c>
      <c r="U2596" s="53" t="s">
        <v>370</v>
      </c>
    </row>
    <row r="2597">
      <c r="A2597" s="54" t="s">
        <v>15863</v>
      </c>
      <c r="B2597" s="50" t="s">
        <v>15864</v>
      </c>
      <c r="C2597" s="51" t="s">
        <v>15865</v>
      </c>
      <c r="D2597" s="51"/>
      <c r="E2597" s="51"/>
      <c r="F2597" s="51"/>
      <c r="G2597" s="50" t="s">
        <v>15866</v>
      </c>
      <c r="H2597" s="52">
        <v>44683.003020833334</v>
      </c>
      <c r="I2597" s="50"/>
      <c r="J2597" s="50"/>
      <c r="K2597" s="50"/>
      <c r="L2597" s="50"/>
      <c r="M2597" s="50" t="s">
        <v>15867</v>
      </c>
      <c r="N2597" s="50"/>
      <c r="O2597" s="53" t="s">
        <v>60</v>
      </c>
      <c r="P2597" s="55" t="s">
        <v>15868</v>
      </c>
      <c r="Q2597" s="50">
        <v>3024.0</v>
      </c>
      <c r="R2597" s="50">
        <v>2833.0</v>
      </c>
      <c r="S2597" s="50"/>
      <c r="T2597" s="56" t="s">
        <v>15869</v>
      </c>
      <c r="U2597" s="53" t="s">
        <v>15870</v>
      </c>
    </row>
    <row r="2598">
      <c r="A2598" s="54" t="s">
        <v>15871</v>
      </c>
      <c r="B2598" s="50" t="s">
        <v>15872</v>
      </c>
      <c r="C2598" s="51" t="s">
        <v>14882</v>
      </c>
      <c r="D2598" s="51"/>
      <c r="E2598" s="51"/>
      <c r="F2598" s="51"/>
      <c r="G2598" s="50" t="s">
        <v>15873</v>
      </c>
      <c r="H2598" s="52">
        <v>44683.00295138889</v>
      </c>
      <c r="I2598" s="50"/>
      <c r="J2598" s="50"/>
      <c r="K2598" s="50"/>
      <c r="L2598" s="50"/>
      <c r="M2598" s="50" t="s">
        <v>15874</v>
      </c>
      <c r="N2598" s="50"/>
      <c r="O2598" s="53" t="s">
        <v>70</v>
      </c>
      <c r="P2598" s="55" t="s">
        <v>15875</v>
      </c>
      <c r="Q2598" s="50">
        <v>1161.0</v>
      </c>
      <c r="R2598" s="50">
        <v>1625.0</v>
      </c>
      <c r="S2598" s="50"/>
      <c r="T2598" s="56" t="s">
        <v>15876</v>
      </c>
      <c r="U2598" s="53" t="s">
        <v>14888</v>
      </c>
    </row>
    <row r="2599">
      <c r="A2599" s="54" t="s">
        <v>15877</v>
      </c>
      <c r="B2599" s="50" t="s">
        <v>15878</v>
      </c>
      <c r="C2599" s="51" t="s">
        <v>367</v>
      </c>
      <c r="D2599" s="51"/>
      <c r="E2599" s="51"/>
      <c r="F2599" s="51"/>
      <c r="G2599" s="50" t="s">
        <v>15879</v>
      </c>
      <c r="H2599" s="52">
        <v>44683.00288194444</v>
      </c>
      <c r="I2599" s="50"/>
      <c r="J2599" s="50"/>
      <c r="K2599" s="50"/>
      <c r="L2599" s="50"/>
      <c r="M2599" s="50" t="s">
        <v>15880</v>
      </c>
      <c r="N2599" s="50"/>
      <c r="O2599" s="53" t="s">
        <v>217</v>
      </c>
      <c r="P2599" s="55" t="s">
        <v>15881</v>
      </c>
      <c r="Q2599" s="50">
        <v>225.0</v>
      </c>
      <c r="R2599" s="50">
        <v>311.0</v>
      </c>
      <c r="S2599" s="50" t="s">
        <v>14811</v>
      </c>
      <c r="T2599" s="56" t="s">
        <v>15882</v>
      </c>
      <c r="U2599" s="53" t="s">
        <v>370</v>
      </c>
    </row>
    <row r="2600">
      <c r="A2600" s="54" t="s">
        <v>15883</v>
      </c>
      <c r="B2600" s="50" t="s">
        <v>15884</v>
      </c>
      <c r="C2600" s="51" t="s">
        <v>367</v>
      </c>
      <c r="D2600" s="51"/>
      <c r="E2600" s="51"/>
      <c r="F2600" s="51"/>
      <c r="G2600" s="50" t="s">
        <v>15885</v>
      </c>
      <c r="H2600" s="52">
        <v>44683.00258101852</v>
      </c>
      <c r="I2600" s="50"/>
      <c r="J2600" s="50"/>
      <c r="K2600" s="50"/>
      <c r="L2600" s="50"/>
      <c r="M2600" s="50" t="s">
        <v>15886</v>
      </c>
      <c r="N2600" s="50"/>
      <c r="O2600" s="53" t="s">
        <v>70</v>
      </c>
      <c r="P2600" s="55" t="s">
        <v>15887</v>
      </c>
      <c r="Q2600" s="50">
        <v>584.0</v>
      </c>
      <c r="R2600" s="50">
        <v>946.0</v>
      </c>
      <c r="S2600" s="50" t="s">
        <v>15888</v>
      </c>
      <c r="T2600" s="56" t="s">
        <v>15889</v>
      </c>
      <c r="U2600" s="53" t="s">
        <v>370</v>
      </c>
    </row>
    <row r="2601">
      <c r="A2601" s="54" t="s">
        <v>15890</v>
      </c>
      <c r="B2601" s="50" t="s">
        <v>15891</v>
      </c>
      <c r="C2601" s="51" t="s">
        <v>367</v>
      </c>
      <c r="D2601" s="51"/>
      <c r="E2601" s="51"/>
      <c r="F2601" s="51"/>
      <c r="G2601" s="50" t="s">
        <v>15892</v>
      </c>
      <c r="H2601" s="52">
        <v>44683.00234953704</v>
      </c>
      <c r="I2601" s="50"/>
      <c r="J2601" s="50"/>
      <c r="K2601" s="50"/>
      <c r="L2601" s="50"/>
      <c r="M2601" s="50" t="s">
        <v>15893</v>
      </c>
      <c r="N2601" s="50"/>
      <c r="O2601" s="53" t="s">
        <v>70</v>
      </c>
      <c r="P2601" s="55" t="s">
        <v>15894</v>
      </c>
      <c r="Q2601" s="50">
        <v>84.0</v>
      </c>
      <c r="R2601" s="50">
        <v>192.0</v>
      </c>
      <c r="S2601" s="50" t="s">
        <v>15895</v>
      </c>
      <c r="T2601" s="56" t="s">
        <v>15896</v>
      </c>
      <c r="U2601" s="53" t="s">
        <v>370</v>
      </c>
    </row>
    <row r="2602">
      <c r="A2602" s="54" t="s">
        <v>15897</v>
      </c>
      <c r="B2602" s="50" t="s">
        <v>15898</v>
      </c>
      <c r="C2602" s="51" t="s">
        <v>367</v>
      </c>
      <c r="D2602" s="51"/>
      <c r="E2602" s="51"/>
      <c r="F2602" s="51"/>
      <c r="G2602" s="50" t="s">
        <v>15899</v>
      </c>
      <c r="H2602" s="52">
        <v>44683.00203703703</v>
      </c>
      <c r="I2602" s="50"/>
      <c r="J2602" s="50"/>
      <c r="K2602" s="50"/>
      <c r="L2602" s="50"/>
      <c r="M2602" s="50" t="s">
        <v>15900</v>
      </c>
      <c r="N2602" s="50"/>
      <c r="O2602" s="53" t="s">
        <v>70</v>
      </c>
      <c r="P2602" s="55" t="s">
        <v>15901</v>
      </c>
      <c r="Q2602" s="50">
        <v>478.0</v>
      </c>
      <c r="R2602" s="50">
        <v>595.0</v>
      </c>
      <c r="S2602" s="50" t="s">
        <v>3176</v>
      </c>
      <c r="T2602" s="56" t="s">
        <v>15902</v>
      </c>
      <c r="U2602" s="53" t="s">
        <v>370</v>
      </c>
    </row>
    <row r="2603">
      <c r="A2603" s="54" t="s">
        <v>15903</v>
      </c>
      <c r="B2603" s="50" t="s">
        <v>15904</v>
      </c>
      <c r="C2603" s="51" t="s">
        <v>363</v>
      </c>
      <c r="D2603" s="51"/>
      <c r="E2603" s="51"/>
      <c r="F2603" s="51"/>
      <c r="G2603" s="50" t="s">
        <v>15905</v>
      </c>
      <c r="H2603" s="52">
        <v>44683.00168981482</v>
      </c>
      <c r="I2603" s="50"/>
      <c r="J2603" s="50"/>
      <c r="K2603" s="50"/>
      <c r="L2603" s="50"/>
      <c r="M2603" s="50" t="s">
        <v>15906</v>
      </c>
      <c r="N2603" s="50"/>
      <c r="O2603" s="53" t="s">
        <v>92</v>
      </c>
      <c r="P2603" s="55" t="s">
        <v>15907</v>
      </c>
      <c r="Q2603" s="50">
        <v>23.0</v>
      </c>
      <c r="R2603" s="50">
        <v>127.0</v>
      </c>
      <c r="S2603" s="50"/>
      <c r="T2603" s="56" t="s">
        <v>15908</v>
      </c>
      <c r="U2603" s="53" t="s">
        <v>332</v>
      </c>
    </row>
    <row r="2604">
      <c r="A2604" s="54" t="s">
        <v>15909</v>
      </c>
      <c r="B2604" s="50" t="s">
        <v>15910</v>
      </c>
      <c r="C2604" s="51" t="s">
        <v>367</v>
      </c>
      <c r="D2604" s="51"/>
      <c r="E2604" s="51"/>
      <c r="F2604" s="51"/>
      <c r="G2604" s="50" t="s">
        <v>15911</v>
      </c>
      <c r="H2604" s="52">
        <v>44683.00094907408</v>
      </c>
      <c r="I2604" s="50"/>
      <c r="J2604" s="50"/>
      <c r="K2604" s="50"/>
      <c r="L2604" s="50"/>
      <c r="M2604" s="50" t="s">
        <v>15912</v>
      </c>
      <c r="N2604" s="50"/>
      <c r="O2604" s="53" t="s">
        <v>70</v>
      </c>
      <c r="P2604" s="55" t="s">
        <v>15913</v>
      </c>
      <c r="Q2604" s="50">
        <v>510.0</v>
      </c>
      <c r="R2604" s="50">
        <v>1713.0</v>
      </c>
      <c r="S2604" s="50"/>
      <c r="T2604" s="56" t="s">
        <v>15914</v>
      </c>
      <c r="U2604" s="53" t="s">
        <v>370</v>
      </c>
    </row>
    <row r="2605">
      <c r="A2605" s="54" t="s">
        <v>15915</v>
      </c>
      <c r="B2605" s="50" t="s">
        <v>15693</v>
      </c>
      <c r="C2605" s="51" t="s">
        <v>15916</v>
      </c>
      <c r="D2605" s="51"/>
      <c r="E2605" s="51"/>
      <c r="F2605" s="51"/>
      <c r="G2605" s="50" t="s">
        <v>15917</v>
      </c>
      <c r="H2605" s="52">
        <v>44683.00078703703</v>
      </c>
      <c r="I2605" s="50"/>
      <c r="J2605" s="50"/>
      <c r="K2605" s="50"/>
      <c r="L2605" s="50"/>
      <c r="M2605" s="50" t="s">
        <v>15696</v>
      </c>
      <c r="N2605" s="50"/>
      <c r="O2605" s="53" t="s">
        <v>60</v>
      </c>
      <c r="P2605" s="55" t="s">
        <v>15697</v>
      </c>
      <c r="Q2605" s="50">
        <v>1656.0</v>
      </c>
      <c r="R2605" s="50">
        <v>3134.0</v>
      </c>
      <c r="S2605" s="50" t="s">
        <v>5503</v>
      </c>
      <c r="T2605" s="56" t="s">
        <v>15918</v>
      </c>
      <c r="U2605" s="53" t="s">
        <v>15919</v>
      </c>
    </row>
    <row r="2606">
      <c r="A2606" s="54" t="s">
        <v>15920</v>
      </c>
      <c r="B2606" s="50" t="s">
        <v>14726</v>
      </c>
      <c r="C2606" s="51" t="s">
        <v>316</v>
      </c>
      <c r="D2606" s="51"/>
      <c r="E2606" s="51"/>
      <c r="F2606" s="51"/>
      <c r="G2606" s="50" t="s">
        <v>15921</v>
      </c>
      <c r="H2606" s="52">
        <v>44683.000706018516</v>
      </c>
      <c r="I2606" s="50"/>
      <c r="J2606" s="50"/>
      <c r="K2606" s="50"/>
      <c r="L2606" s="50"/>
      <c r="M2606" s="50" t="s">
        <v>14728</v>
      </c>
      <c r="N2606" s="50"/>
      <c r="O2606" s="53" t="s">
        <v>70</v>
      </c>
      <c r="P2606" s="55" t="s">
        <v>14729</v>
      </c>
      <c r="Q2606" s="50">
        <v>612.0</v>
      </c>
      <c r="R2606" s="50">
        <v>5001.0</v>
      </c>
      <c r="S2606" s="50"/>
      <c r="T2606" s="56" t="s">
        <v>15922</v>
      </c>
      <c r="U2606" s="53" t="s">
        <v>322</v>
      </c>
    </row>
    <row r="2607">
      <c r="A2607" s="54" t="s">
        <v>15923</v>
      </c>
      <c r="B2607" s="50" t="s">
        <v>14726</v>
      </c>
      <c r="C2607" s="51" t="s">
        <v>329</v>
      </c>
      <c r="D2607" s="51"/>
      <c r="E2607" s="51"/>
      <c r="F2607" s="51"/>
      <c r="G2607" s="50" t="s">
        <v>15924</v>
      </c>
      <c r="H2607" s="52">
        <v>44683.000659722224</v>
      </c>
      <c r="I2607" s="50"/>
      <c r="J2607" s="50"/>
      <c r="K2607" s="50"/>
      <c r="L2607" s="50"/>
      <c r="M2607" s="50" t="s">
        <v>14728</v>
      </c>
      <c r="N2607" s="50"/>
      <c r="O2607" s="53" t="s">
        <v>70</v>
      </c>
      <c r="P2607" s="55" t="s">
        <v>14729</v>
      </c>
      <c r="Q2607" s="50">
        <v>612.0</v>
      </c>
      <c r="R2607" s="50">
        <v>5001.0</v>
      </c>
      <c r="S2607" s="50"/>
      <c r="T2607" s="56" t="s">
        <v>15925</v>
      </c>
      <c r="U2607" s="53" t="s">
        <v>332</v>
      </c>
    </row>
    <row r="2608">
      <c r="A2608" s="54" t="s">
        <v>15926</v>
      </c>
      <c r="B2608" s="50" t="s">
        <v>14726</v>
      </c>
      <c r="C2608" s="51" t="s">
        <v>363</v>
      </c>
      <c r="D2608" s="51"/>
      <c r="E2608" s="51"/>
      <c r="F2608" s="51"/>
      <c r="G2608" s="50" t="s">
        <v>15927</v>
      </c>
      <c r="H2608" s="52">
        <v>44683.00048611111</v>
      </c>
      <c r="I2608" s="50"/>
      <c r="J2608" s="50"/>
      <c r="K2608" s="50"/>
      <c r="L2608" s="50"/>
      <c r="M2608" s="50" t="s">
        <v>14728</v>
      </c>
      <c r="N2608" s="50"/>
      <c r="O2608" s="53" t="s">
        <v>70</v>
      </c>
      <c r="P2608" s="55" t="s">
        <v>14729</v>
      </c>
      <c r="Q2608" s="50">
        <v>612.0</v>
      </c>
      <c r="R2608" s="50">
        <v>5001.0</v>
      </c>
      <c r="S2608" s="50"/>
      <c r="T2608" s="56" t="s">
        <v>15928</v>
      </c>
      <c r="U2608" s="53" t="s">
        <v>332</v>
      </c>
    </row>
    <row r="2609">
      <c r="A2609" s="54" t="s">
        <v>15929</v>
      </c>
      <c r="B2609" s="50" t="s">
        <v>10418</v>
      </c>
      <c r="C2609" s="51" t="s">
        <v>367</v>
      </c>
      <c r="D2609" s="51"/>
      <c r="E2609" s="51"/>
      <c r="F2609" s="51"/>
      <c r="G2609" s="50" t="s">
        <v>15930</v>
      </c>
      <c r="H2609" s="52">
        <v>44683.000451388885</v>
      </c>
      <c r="I2609" s="50"/>
      <c r="J2609" s="50"/>
      <c r="K2609" s="50"/>
      <c r="L2609" s="50"/>
      <c r="M2609" s="50" t="s">
        <v>10420</v>
      </c>
      <c r="N2609" s="50"/>
      <c r="O2609" s="53" t="s">
        <v>92</v>
      </c>
      <c r="P2609" s="55" t="s">
        <v>10421</v>
      </c>
      <c r="Q2609" s="50">
        <v>1453.0</v>
      </c>
      <c r="R2609" s="50">
        <v>2664.0</v>
      </c>
      <c r="S2609" s="50" t="s">
        <v>10422</v>
      </c>
      <c r="T2609" s="56" t="s">
        <v>15931</v>
      </c>
      <c r="U2609" s="53" t="s">
        <v>370</v>
      </c>
    </row>
    <row r="2610">
      <c r="A2610" s="54" t="s">
        <v>15932</v>
      </c>
      <c r="B2610" s="50" t="s">
        <v>15933</v>
      </c>
      <c r="C2610" s="51" t="s">
        <v>9149</v>
      </c>
      <c r="D2610" s="51"/>
      <c r="E2610" s="51"/>
      <c r="F2610" s="51"/>
      <c r="G2610" s="50" t="s">
        <v>15934</v>
      </c>
      <c r="H2610" s="52">
        <v>44683.00042824074</v>
      </c>
      <c r="I2610" s="50"/>
      <c r="J2610" s="50"/>
      <c r="K2610" s="50"/>
      <c r="L2610" s="50"/>
      <c r="M2610" s="50" t="s">
        <v>15935</v>
      </c>
      <c r="N2610" s="50"/>
      <c r="O2610" s="53" t="s">
        <v>60</v>
      </c>
      <c r="P2610" s="55" t="s">
        <v>15936</v>
      </c>
      <c r="Q2610" s="50">
        <v>12068.0</v>
      </c>
      <c r="R2610" s="50">
        <v>12619.0</v>
      </c>
      <c r="S2610" s="50"/>
      <c r="T2610" s="56" t="s">
        <v>15937</v>
      </c>
      <c r="U2610" s="53" t="s">
        <v>9154</v>
      </c>
    </row>
    <row r="2611">
      <c r="A2611" s="54" t="s">
        <v>15938</v>
      </c>
      <c r="B2611" s="50" t="s">
        <v>15910</v>
      </c>
      <c r="C2611" s="51" t="s">
        <v>316</v>
      </c>
      <c r="D2611" s="51"/>
      <c r="E2611" s="51"/>
      <c r="F2611" s="51"/>
      <c r="G2611" s="50" t="s">
        <v>15939</v>
      </c>
      <c r="H2611" s="52">
        <v>44683.000289351854</v>
      </c>
      <c r="I2611" s="50"/>
      <c r="J2611" s="50"/>
      <c r="K2611" s="50"/>
      <c r="L2611" s="50"/>
      <c r="M2611" s="50" t="s">
        <v>15912</v>
      </c>
      <c r="N2611" s="50"/>
      <c r="O2611" s="53" t="s">
        <v>70</v>
      </c>
      <c r="P2611" s="55" t="s">
        <v>15913</v>
      </c>
      <c r="Q2611" s="50">
        <v>510.0</v>
      </c>
      <c r="R2611" s="50">
        <v>1713.0</v>
      </c>
      <c r="S2611" s="50"/>
      <c r="T2611" s="56" t="s">
        <v>15940</v>
      </c>
      <c r="U2611" s="53" t="s">
        <v>322</v>
      </c>
    </row>
    <row r="2612">
      <c r="A2612" s="54" t="s">
        <v>15941</v>
      </c>
      <c r="B2612" s="50" t="s">
        <v>15942</v>
      </c>
      <c r="C2612" s="51" t="s">
        <v>15943</v>
      </c>
      <c r="D2612" s="51"/>
      <c r="E2612" s="51"/>
      <c r="F2612" s="51"/>
      <c r="G2612" s="50" t="s">
        <v>15944</v>
      </c>
      <c r="H2612" s="52">
        <v>44683.000173611115</v>
      </c>
      <c r="I2612" s="50"/>
      <c r="J2612" s="50"/>
      <c r="K2612" s="50"/>
      <c r="L2612" s="50"/>
      <c r="M2612" s="50" t="s">
        <v>15945</v>
      </c>
      <c r="N2612" s="50"/>
      <c r="O2612" s="53" t="s">
        <v>70</v>
      </c>
      <c r="P2612" s="55" t="s">
        <v>15946</v>
      </c>
      <c r="Q2612" s="50">
        <v>3829.0</v>
      </c>
      <c r="R2612" s="50">
        <v>4762.0</v>
      </c>
      <c r="S2612" s="50" t="s">
        <v>729</v>
      </c>
      <c r="T2612" s="56" t="s">
        <v>15947</v>
      </c>
      <c r="U2612" s="53" t="s">
        <v>15948</v>
      </c>
    </row>
    <row r="2613">
      <c r="A2613" s="54" t="s">
        <v>15949</v>
      </c>
      <c r="B2613" s="50" t="s">
        <v>15910</v>
      </c>
      <c r="C2613" s="51" t="s">
        <v>329</v>
      </c>
      <c r="D2613" s="51"/>
      <c r="E2613" s="51"/>
      <c r="F2613" s="51"/>
      <c r="G2613" s="50" t="s">
        <v>15950</v>
      </c>
      <c r="H2613" s="52">
        <v>44683.00016203704</v>
      </c>
      <c r="I2613" s="50"/>
      <c r="J2613" s="50"/>
      <c r="K2613" s="50"/>
      <c r="L2613" s="50"/>
      <c r="M2613" s="50" t="s">
        <v>15912</v>
      </c>
      <c r="N2613" s="50"/>
      <c r="O2613" s="53" t="s">
        <v>70</v>
      </c>
      <c r="P2613" s="55" t="s">
        <v>15913</v>
      </c>
      <c r="Q2613" s="50">
        <v>510.0</v>
      </c>
      <c r="R2613" s="50">
        <v>1713.0</v>
      </c>
      <c r="S2613" s="50"/>
      <c r="T2613" s="56" t="s">
        <v>15951</v>
      </c>
      <c r="U2613" s="53" t="s">
        <v>332</v>
      </c>
    </row>
    <row r="2614">
      <c r="A2614" s="54" t="s">
        <v>15952</v>
      </c>
      <c r="B2614" s="50" t="s">
        <v>15910</v>
      </c>
      <c r="C2614" s="51" t="s">
        <v>335</v>
      </c>
      <c r="D2614" s="51"/>
      <c r="E2614" s="51"/>
      <c r="F2614" s="51"/>
      <c r="G2614" s="50" t="s">
        <v>15953</v>
      </c>
      <c r="H2614" s="52">
        <v>44683.000069444446</v>
      </c>
      <c r="I2614" s="50"/>
      <c r="J2614" s="50"/>
      <c r="K2614" s="50"/>
      <c r="L2614" s="50"/>
      <c r="M2614" s="50" t="s">
        <v>15912</v>
      </c>
      <c r="N2614" s="50"/>
      <c r="O2614" s="53" t="s">
        <v>70</v>
      </c>
      <c r="P2614" s="55" t="s">
        <v>15913</v>
      </c>
      <c r="Q2614" s="50">
        <v>510.0</v>
      </c>
      <c r="R2614" s="50">
        <v>1713.0</v>
      </c>
      <c r="S2614" s="50"/>
      <c r="T2614" s="56" t="s">
        <v>15954</v>
      </c>
      <c r="U2614" s="53" t="s">
        <v>339</v>
      </c>
    </row>
    <row r="2615">
      <c r="A2615" s="54" t="s">
        <v>15955</v>
      </c>
      <c r="B2615" s="50" t="s">
        <v>15910</v>
      </c>
      <c r="C2615" s="51" t="s">
        <v>363</v>
      </c>
      <c r="D2615" s="51"/>
      <c r="E2615" s="51"/>
      <c r="F2615" s="51"/>
      <c r="G2615" s="50" t="s">
        <v>15956</v>
      </c>
      <c r="H2615" s="52">
        <v>44682.999872685185</v>
      </c>
      <c r="I2615" s="50"/>
      <c r="J2615" s="50"/>
      <c r="K2615" s="50"/>
      <c r="L2615" s="50"/>
      <c r="M2615" s="50" t="s">
        <v>15912</v>
      </c>
      <c r="N2615" s="50"/>
      <c r="O2615" s="53" t="s">
        <v>70</v>
      </c>
      <c r="P2615" s="55" t="s">
        <v>15913</v>
      </c>
      <c r="Q2615" s="50">
        <v>510.0</v>
      </c>
      <c r="R2615" s="50">
        <v>1713.0</v>
      </c>
      <c r="S2615" s="50"/>
      <c r="T2615" s="56" t="s">
        <v>15957</v>
      </c>
      <c r="U2615" s="53" t="s">
        <v>332</v>
      </c>
    </row>
    <row r="2616">
      <c r="A2616" s="54" t="s">
        <v>15958</v>
      </c>
      <c r="B2616" s="50" t="s">
        <v>15959</v>
      </c>
      <c r="C2616" s="51" t="s">
        <v>15960</v>
      </c>
      <c r="D2616" s="51"/>
      <c r="E2616" s="51"/>
      <c r="F2616" s="51"/>
      <c r="G2616" s="50" t="s">
        <v>15961</v>
      </c>
      <c r="H2616" s="52">
        <v>44682.99961805556</v>
      </c>
      <c r="I2616" s="50"/>
      <c r="J2616" s="50"/>
      <c r="K2616" s="50" t="s">
        <v>15962</v>
      </c>
      <c r="L2616" s="50" t="s">
        <v>15963</v>
      </c>
      <c r="M2616" s="50" t="s">
        <v>15964</v>
      </c>
      <c r="N2616" s="50" t="s">
        <v>15965</v>
      </c>
      <c r="O2616" s="53" t="s">
        <v>70</v>
      </c>
      <c r="P2616" s="55" t="s">
        <v>15966</v>
      </c>
      <c r="Q2616" s="50">
        <v>1713.0</v>
      </c>
      <c r="R2616" s="50">
        <v>1984.0</v>
      </c>
      <c r="S2616" s="50"/>
      <c r="T2616" s="56" t="s">
        <v>15967</v>
      </c>
      <c r="U2616" s="53" t="s">
        <v>15968</v>
      </c>
    </row>
    <row r="2617">
      <c r="A2617" s="54" t="s">
        <v>15969</v>
      </c>
      <c r="B2617" s="50" t="s">
        <v>15970</v>
      </c>
      <c r="C2617" s="51" t="s">
        <v>15971</v>
      </c>
      <c r="D2617" s="51"/>
      <c r="E2617" s="51"/>
      <c r="F2617" s="51"/>
      <c r="G2617" s="50" t="s">
        <v>15972</v>
      </c>
      <c r="H2617" s="52">
        <v>44682.99935185185</v>
      </c>
      <c r="I2617" s="50"/>
      <c r="J2617" s="50"/>
      <c r="K2617" s="50"/>
      <c r="L2617" s="50"/>
      <c r="M2617" s="50" t="s">
        <v>15973</v>
      </c>
      <c r="N2617" s="50"/>
      <c r="O2617" s="53" t="s">
        <v>217</v>
      </c>
      <c r="P2617" s="55" t="s">
        <v>15974</v>
      </c>
      <c r="Q2617" s="50">
        <v>975.0</v>
      </c>
      <c r="R2617" s="50">
        <v>1617.0</v>
      </c>
      <c r="S2617" s="50"/>
      <c r="T2617" s="56" t="s">
        <v>15975</v>
      </c>
      <c r="U2617" s="53" t="s">
        <v>5899</v>
      </c>
    </row>
    <row r="2618">
      <c r="A2618" s="54" t="s">
        <v>15976</v>
      </c>
      <c r="B2618" s="50" t="s">
        <v>15977</v>
      </c>
      <c r="C2618" s="51" t="s">
        <v>367</v>
      </c>
      <c r="D2618" s="51"/>
      <c r="E2618" s="51"/>
      <c r="F2618" s="51"/>
      <c r="G2618" s="50" t="s">
        <v>15978</v>
      </c>
      <c r="H2618" s="52">
        <v>44682.999201388884</v>
      </c>
      <c r="I2618" s="50"/>
      <c r="J2618" s="50"/>
      <c r="K2618" s="50"/>
      <c r="L2618" s="50"/>
      <c r="M2618" s="50" t="s">
        <v>15979</v>
      </c>
      <c r="N2618" s="50"/>
      <c r="O2618" s="53" t="s">
        <v>92</v>
      </c>
      <c r="P2618" s="55" t="s">
        <v>15980</v>
      </c>
      <c r="Q2618" s="50">
        <v>23.0</v>
      </c>
      <c r="R2618" s="50">
        <v>231.0</v>
      </c>
      <c r="S2618" s="50"/>
      <c r="T2618" s="56" t="s">
        <v>15981</v>
      </c>
      <c r="U2618" s="53" t="s">
        <v>370</v>
      </c>
    </row>
    <row r="2619">
      <c r="A2619" s="54" t="s">
        <v>15982</v>
      </c>
      <c r="B2619" s="50" t="s">
        <v>15983</v>
      </c>
      <c r="C2619" s="51" t="s">
        <v>15984</v>
      </c>
      <c r="D2619" s="51"/>
      <c r="E2619" s="51"/>
      <c r="F2619" s="51"/>
      <c r="G2619" s="50" t="s">
        <v>15985</v>
      </c>
      <c r="H2619" s="52">
        <v>44682.9990162037</v>
      </c>
      <c r="I2619" s="50"/>
      <c r="J2619" s="50"/>
      <c r="K2619" s="50"/>
      <c r="L2619" s="50"/>
      <c r="M2619" s="50" t="s">
        <v>15986</v>
      </c>
      <c r="N2619" s="50"/>
      <c r="O2619" s="53" t="s">
        <v>60</v>
      </c>
      <c r="P2619" s="55" t="s">
        <v>354</v>
      </c>
      <c r="Q2619" s="50">
        <v>371.0</v>
      </c>
      <c r="R2619" s="50">
        <v>422.0</v>
      </c>
      <c r="S2619" s="50"/>
      <c r="T2619" s="56" t="s">
        <v>15987</v>
      </c>
      <c r="U2619" s="53" t="s">
        <v>15988</v>
      </c>
    </row>
    <row r="2620">
      <c r="A2620" s="54" t="s">
        <v>15989</v>
      </c>
      <c r="B2620" s="50" t="s">
        <v>15990</v>
      </c>
      <c r="C2620" s="51" t="s">
        <v>363</v>
      </c>
      <c r="D2620" s="51"/>
      <c r="E2620" s="51"/>
      <c r="F2620" s="51"/>
      <c r="G2620" s="50" t="s">
        <v>15991</v>
      </c>
      <c r="H2620" s="52">
        <v>44682.998935185184</v>
      </c>
      <c r="I2620" s="50"/>
      <c r="J2620" s="50"/>
      <c r="K2620" s="50"/>
      <c r="L2620" s="50"/>
      <c r="M2620" s="50" t="s">
        <v>15992</v>
      </c>
      <c r="N2620" s="50"/>
      <c r="O2620" s="53" t="s">
        <v>70</v>
      </c>
      <c r="P2620" s="55" t="s">
        <v>15993</v>
      </c>
      <c r="Q2620" s="50">
        <v>7292.0</v>
      </c>
      <c r="R2620" s="50">
        <v>7308.0</v>
      </c>
      <c r="S2620" s="50" t="s">
        <v>15994</v>
      </c>
      <c r="T2620" s="56" t="s">
        <v>15995</v>
      </c>
      <c r="U2620" s="53" t="s">
        <v>332</v>
      </c>
    </row>
    <row r="2621">
      <c r="A2621" s="54" t="s">
        <v>15996</v>
      </c>
      <c r="B2621" s="50" t="s">
        <v>15693</v>
      </c>
      <c r="C2621" s="51" t="s">
        <v>15997</v>
      </c>
      <c r="D2621" s="51"/>
      <c r="E2621" s="51"/>
      <c r="F2621" s="51"/>
      <c r="G2621" s="50" t="s">
        <v>15998</v>
      </c>
      <c r="H2621" s="52">
        <v>44682.998344907406</v>
      </c>
      <c r="I2621" s="50"/>
      <c r="J2621" s="50"/>
      <c r="K2621" s="50"/>
      <c r="L2621" s="50"/>
      <c r="M2621" s="50" t="s">
        <v>15696</v>
      </c>
      <c r="N2621" s="50"/>
      <c r="O2621" s="53" t="s">
        <v>60</v>
      </c>
      <c r="P2621" s="55" t="s">
        <v>15697</v>
      </c>
      <c r="Q2621" s="50">
        <v>1656.0</v>
      </c>
      <c r="R2621" s="50">
        <v>3134.0</v>
      </c>
      <c r="S2621" s="50" t="s">
        <v>5503</v>
      </c>
      <c r="T2621" s="56" t="s">
        <v>15999</v>
      </c>
      <c r="U2621" s="53" t="s">
        <v>16000</v>
      </c>
    </row>
    <row r="2622">
      <c r="A2622" s="54" t="s">
        <v>16001</v>
      </c>
      <c r="B2622" s="50" t="s">
        <v>16002</v>
      </c>
      <c r="C2622" s="51" t="s">
        <v>7103</v>
      </c>
      <c r="D2622" s="51"/>
      <c r="E2622" s="51"/>
      <c r="F2622" s="51"/>
      <c r="G2622" s="50" t="s">
        <v>16003</v>
      </c>
      <c r="H2622" s="52">
        <v>44682.998032407406</v>
      </c>
      <c r="I2622" s="50"/>
      <c r="J2622" s="50"/>
      <c r="K2622" s="50"/>
      <c r="L2622" s="50"/>
      <c r="M2622" s="50" t="s">
        <v>16004</v>
      </c>
      <c r="N2622" s="50"/>
      <c r="O2622" s="53" t="s">
        <v>70</v>
      </c>
      <c r="P2622" s="55" t="s">
        <v>16005</v>
      </c>
      <c r="Q2622" s="50">
        <v>2427.0</v>
      </c>
      <c r="R2622" s="50">
        <v>555.0</v>
      </c>
      <c r="S2622" s="50"/>
      <c r="T2622" s="56" t="s">
        <v>16006</v>
      </c>
      <c r="U2622" s="53" t="s">
        <v>7109</v>
      </c>
    </row>
    <row r="2623">
      <c r="A2623" s="54" t="s">
        <v>16007</v>
      </c>
      <c r="B2623" s="50" t="s">
        <v>16008</v>
      </c>
      <c r="C2623" s="51" t="s">
        <v>363</v>
      </c>
      <c r="D2623" s="51"/>
      <c r="E2623" s="51"/>
      <c r="F2623" s="51"/>
      <c r="G2623" s="50" t="s">
        <v>16009</v>
      </c>
      <c r="H2623" s="52">
        <v>44682.9978587963</v>
      </c>
      <c r="I2623" s="50"/>
      <c r="J2623" s="50"/>
      <c r="K2623" s="50"/>
      <c r="L2623" s="50"/>
      <c r="M2623" s="50" t="s">
        <v>16010</v>
      </c>
      <c r="N2623" s="50"/>
      <c r="O2623" s="53" t="s">
        <v>92</v>
      </c>
      <c r="P2623" s="55" t="s">
        <v>16011</v>
      </c>
      <c r="Q2623" s="50">
        <v>48.0</v>
      </c>
      <c r="R2623" s="50">
        <v>194.0</v>
      </c>
      <c r="S2623" s="50"/>
      <c r="T2623" s="56" t="s">
        <v>16012</v>
      </c>
      <c r="U2623" s="53" t="s">
        <v>332</v>
      </c>
    </row>
    <row r="2624">
      <c r="A2624" s="54" t="s">
        <v>16013</v>
      </c>
      <c r="B2624" s="50" t="s">
        <v>16014</v>
      </c>
      <c r="C2624" s="51" t="s">
        <v>367</v>
      </c>
      <c r="D2624" s="51"/>
      <c r="E2624" s="51"/>
      <c r="F2624" s="51"/>
      <c r="G2624" s="50" t="s">
        <v>16015</v>
      </c>
      <c r="H2624" s="52">
        <v>44682.99736111111</v>
      </c>
      <c r="I2624" s="50"/>
      <c r="J2624" s="50"/>
      <c r="K2624" s="50"/>
      <c r="L2624" s="50"/>
      <c r="M2624" s="50" t="s">
        <v>16016</v>
      </c>
      <c r="N2624" s="50"/>
      <c r="O2624" s="53" t="s">
        <v>217</v>
      </c>
      <c r="P2624" s="55" t="s">
        <v>16017</v>
      </c>
      <c r="Q2624" s="50">
        <v>221.0</v>
      </c>
      <c r="R2624" s="50">
        <v>112.0</v>
      </c>
      <c r="S2624" s="50"/>
      <c r="T2624" s="56" t="s">
        <v>16018</v>
      </c>
      <c r="U2624" s="53" t="s">
        <v>370</v>
      </c>
    </row>
    <row r="2625">
      <c r="A2625" s="54" t="s">
        <v>16019</v>
      </c>
      <c r="B2625" s="50" t="s">
        <v>16020</v>
      </c>
      <c r="C2625" s="51" t="s">
        <v>329</v>
      </c>
      <c r="D2625" s="51"/>
      <c r="E2625" s="51"/>
      <c r="F2625" s="51"/>
      <c r="G2625" s="50" t="s">
        <v>16021</v>
      </c>
      <c r="H2625" s="52">
        <v>44682.9969212963</v>
      </c>
      <c r="I2625" s="50"/>
      <c r="J2625" s="50"/>
      <c r="K2625" s="50"/>
      <c r="L2625" s="50"/>
      <c r="M2625" s="50" t="s">
        <v>16022</v>
      </c>
      <c r="N2625" s="50"/>
      <c r="O2625" s="53" t="s">
        <v>70</v>
      </c>
      <c r="P2625" s="55" t="s">
        <v>16023</v>
      </c>
      <c r="Q2625" s="50">
        <v>29.0</v>
      </c>
      <c r="R2625" s="50">
        <v>197.0</v>
      </c>
      <c r="S2625" s="50"/>
      <c r="T2625" s="56" t="s">
        <v>16024</v>
      </c>
      <c r="U2625" s="53" t="s">
        <v>332</v>
      </c>
    </row>
    <row r="2626">
      <c r="A2626" s="54" t="s">
        <v>16025</v>
      </c>
      <c r="B2626" s="50" t="s">
        <v>16026</v>
      </c>
      <c r="C2626" s="51" t="s">
        <v>363</v>
      </c>
      <c r="D2626" s="51"/>
      <c r="E2626" s="51"/>
      <c r="F2626" s="51"/>
      <c r="G2626" s="50" t="s">
        <v>16027</v>
      </c>
      <c r="H2626" s="52">
        <v>44682.99633101852</v>
      </c>
      <c r="I2626" s="50"/>
      <c r="J2626" s="50"/>
      <c r="K2626" s="50"/>
      <c r="L2626" s="50"/>
      <c r="M2626" s="50" t="s">
        <v>16028</v>
      </c>
      <c r="N2626" s="50"/>
      <c r="O2626" s="53" t="s">
        <v>70</v>
      </c>
      <c r="P2626" s="55" t="s">
        <v>16029</v>
      </c>
      <c r="Q2626" s="50">
        <v>1638.0</v>
      </c>
      <c r="R2626" s="50">
        <v>4421.0</v>
      </c>
      <c r="S2626" s="50"/>
      <c r="T2626" s="56" t="s">
        <v>16030</v>
      </c>
      <c r="U2626" s="53" t="s">
        <v>332</v>
      </c>
    </row>
    <row r="2627">
      <c r="A2627" s="54" t="s">
        <v>16031</v>
      </c>
      <c r="B2627" s="50" t="s">
        <v>16032</v>
      </c>
      <c r="C2627" s="51" t="s">
        <v>4233</v>
      </c>
      <c r="D2627" s="51"/>
      <c r="E2627" s="51"/>
      <c r="F2627" s="51"/>
      <c r="G2627" s="50" t="s">
        <v>16033</v>
      </c>
      <c r="H2627" s="52">
        <v>44682.99625</v>
      </c>
      <c r="I2627" s="50"/>
      <c r="J2627" s="50"/>
      <c r="K2627" s="50"/>
      <c r="L2627" s="50"/>
      <c r="M2627" s="50" t="s">
        <v>16034</v>
      </c>
      <c r="N2627" s="50"/>
      <c r="O2627" s="53" t="s">
        <v>70</v>
      </c>
      <c r="P2627" s="55" t="s">
        <v>16035</v>
      </c>
      <c r="Q2627" s="50">
        <v>821.0</v>
      </c>
      <c r="R2627" s="50">
        <v>781.0</v>
      </c>
      <c r="S2627" s="50" t="s">
        <v>16036</v>
      </c>
      <c r="T2627" s="56" t="s">
        <v>16037</v>
      </c>
      <c r="U2627" s="53" t="s">
        <v>4237</v>
      </c>
    </row>
    <row r="2628">
      <c r="A2628" s="54" t="s">
        <v>16038</v>
      </c>
      <c r="B2628" s="50" t="s">
        <v>16039</v>
      </c>
      <c r="C2628" s="51" t="s">
        <v>367</v>
      </c>
      <c r="D2628" s="51"/>
      <c r="E2628" s="51"/>
      <c r="F2628" s="51"/>
      <c r="G2628" s="50" t="s">
        <v>16040</v>
      </c>
      <c r="H2628" s="52">
        <v>44682.99616898148</v>
      </c>
      <c r="I2628" s="50"/>
      <c r="J2628" s="50"/>
      <c r="K2628" s="50"/>
      <c r="L2628" s="50"/>
      <c r="M2628" s="50" t="s">
        <v>16041</v>
      </c>
      <c r="N2628" s="50"/>
      <c r="O2628" s="53" t="s">
        <v>70</v>
      </c>
      <c r="P2628" s="55" t="s">
        <v>354</v>
      </c>
      <c r="Q2628" s="50">
        <v>58.0</v>
      </c>
      <c r="R2628" s="50">
        <v>216.0</v>
      </c>
      <c r="S2628" s="50"/>
      <c r="T2628" s="56" t="s">
        <v>16042</v>
      </c>
      <c r="U2628" s="53" t="s">
        <v>370</v>
      </c>
    </row>
    <row r="2629">
      <c r="A2629" s="54" t="s">
        <v>16043</v>
      </c>
      <c r="B2629" s="50" t="s">
        <v>16026</v>
      </c>
      <c r="C2629" s="51" t="s">
        <v>367</v>
      </c>
      <c r="D2629" s="51"/>
      <c r="E2629" s="51"/>
      <c r="F2629" s="51"/>
      <c r="G2629" s="50" t="s">
        <v>16044</v>
      </c>
      <c r="H2629" s="52">
        <v>44682.996145833335</v>
      </c>
      <c r="I2629" s="50"/>
      <c r="J2629" s="50"/>
      <c r="K2629" s="50"/>
      <c r="L2629" s="50"/>
      <c r="M2629" s="50" t="s">
        <v>16028</v>
      </c>
      <c r="N2629" s="50"/>
      <c r="O2629" s="53" t="s">
        <v>70</v>
      </c>
      <c r="P2629" s="55" t="s">
        <v>16029</v>
      </c>
      <c r="Q2629" s="50">
        <v>1638.0</v>
      </c>
      <c r="R2629" s="50">
        <v>4421.0</v>
      </c>
      <c r="S2629" s="50"/>
      <c r="T2629" s="56" t="s">
        <v>16045</v>
      </c>
      <c r="U2629" s="53" t="s">
        <v>370</v>
      </c>
    </row>
    <row r="2630">
      <c r="A2630" s="54" t="s">
        <v>16046</v>
      </c>
      <c r="B2630" s="50" t="s">
        <v>16047</v>
      </c>
      <c r="C2630" s="51" t="s">
        <v>12814</v>
      </c>
      <c r="D2630" s="51"/>
      <c r="E2630" s="51"/>
      <c r="F2630" s="51"/>
      <c r="G2630" s="50" t="s">
        <v>16048</v>
      </c>
      <c r="H2630" s="52">
        <v>44682.99606481481</v>
      </c>
      <c r="I2630" s="50"/>
      <c r="J2630" s="50"/>
      <c r="K2630" s="50"/>
      <c r="L2630" s="50"/>
      <c r="M2630" s="50" t="s">
        <v>16049</v>
      </c>
      <c r="N2630" s="50"/>
      <c r="O2630" s="53" t="s">
        <v>92</v>
      </c>
      <c r="P2630" s="55" t="s">
        <v>16050</v>
      </c>
      <c r="Q2630" s="50">
        <v>198.0</v>
      </c>
      <c r="R2630" s="50">
        <v>564.0</v>
      </c>
      <c r="S2630" s="50" t="s">
        <v>2044</v>
      </c>
      <c r="T2630" s="56" t="s">
        <v>16051</v>
      </c>
      <c r="U2630" s="53" t="s">
        <v>12820</v>
      </c>
    </row>
    <row r="2631">
      <c r="A2631" s="54" t="s">
        <v>16052</v>
      </c>
      <c r="B2631" s="50" t="s">
        <v>16053</v>
      </c>
      <c r="C2631" s="51" t="s">
        <v>16054</v>
      </c>
      <c r="D2631" s="51"/>
      <c r="E2631" s="51"/>
      <c r="F2631" s="51"/>
      <c r="G2631" s="50" t="s">
        <v>16055</v>
      </c>
      <c r="H2631" s="52">
        <v>44682.99586805556</v>
      </c>
      <c r="I2631" s="50"/>
      <c r="J2631" s="50"/>
      <c r="K2631" s="50" t="s">
        <v>16056</v>
      </c>
      <c r="L2631" s="50" t="s">
        <v>16057</v>
      </c>
      <c r="M2631" s="50" t="s">
        <v>16058</v>
      </c>
      <c r="N2631" s="50" t="s">
        <v>16059</v>
      </c>
      <c r="O2631" s="53" t="s">
        <v>217</v>
      </c>
      <c r="P2631" s="55" t="s">
        <v>16060</v>
      </c>
      <c r="Q2631" s="50"/>
      <c r="R2631" s="50">
        <v>1531.0</v>
      </c>
      <c r="S2631" s="50" t="s">
        <v>16061</v>
      </c>
      <c r="T2631" s="56" t="s">
        <v>16062</v>
      </c>
      <c r="U2631" s="53" t="s">
        <v>16063</v>
      </c>
    </row>
    <row r="2632">
      <c r="A2632" s="54" t="s">
        <v>16064</v>
      </c>
      <c r="B2632" s="50" t="s">
        <v>16065</v>
      </c>
      <c r="C2632" s="51" t="s">
        <v>367</v>
      </c>
      <c r="D2632" s="51"/>
      <c r="E2632" s="51"/>
      <c r="F2632" s="51"/>
      <c r="G2632" s="50" t="s">
        <v>16066</v>
      </c>
      <c r="H2632" s="52">
        <v>44682.99505787037</v>
      </c>
      <c r="I2632" s="50"/>
      <c r="J2632" s="50"/>
      <c r="K2632" s="50"/>
      <c r="L2632" s="50"/>
      <c r="M2632" s="50" t="s">
        <v>16067</v>
      </c>
      <c r="N2632" s="50"/>
      <c r="O2632" s="53" t="s">
        <v>92</v>
      </c>
      <c r="P2632" s="55" t="s">
        <v>16068</v>
      </c>
      <c r="Q2632" s="50">
        <v>74.0</v>
      </c>
      <c r="R2632" s="50">
        <v>486.0</v>
      </c>
      <c r="S2632" s="50" t="s">
        <v>805</v>
      </c>
      <c r="T2632" s="56" t="s">
        <v>16069</v>
      </c>
      <c r="U2632" s="53" t="s">
        <v>370</v>
      </c>
    </row>
    <row r="2633">
      <c r="A2633" s="54" t="s">
        <v>16070</v>
      </c>
      <c r="B2633" s="50" t="s">
        <v>16071</v>
      </c>
      <c r="C2633" s="51" t="s">
        <v>367</v>
      </c>
      <c r="D2633" s="51"/>
      <c r="E2633" s="51"/>
      <c r="F2633" s="51"/>
      <c r="G2633" s="50" t="s">
        <v>16072</v>
      </c>
      <c r="H2633" s="52">
        <v>44682.99471064815</v>
      </c>
      <c r="I2633" s="50"/>
      <c r="J2633" s="50"/>
      <c r="K2633" s="50"/>
      <c r="L2633" s="50"/>
      <c r="M2633" s="50" t="s">
        <v>16073</v>
      </c>
      <c r="N2633" s="50"/>
      <c r="O2633" s="53" t="s">
        <v>70</v>
      </c>
      <c r="P2633" s="55" t="s">
        <v>16074</v>
      </c>
      <c r="Q2633" s="50">
        <v>112.0</v>
      </c>
      <c r="R2633" s="50">
        <v>330.0</v>
      </c>
      <c r="S2633" s="50"/>
      <c r="T2633" s="56" t="s">
        <v>16075</v>
      </c>
      <c r="U2633" s="53" t="s">
        <v>370</v>
      </c>
    </row>
    <row r="2634">
      <c r="A2634" s="54" t="s">
        <v>16076</v>
      </c>
      <c r="B2634" s="50" t="s">
        <v>14434</v>
      </c>
      <c r="C2634" s="51" t="s">
        <v>16077</v>
      </c>
      <c r="D2634" s="51"/>
      <c r="E2634" s="51"/>
      <c r="F2634" s="51"/>
      <c r="G2634" s="50" t="s">
        <v>16078</v>
      </c>
      <c r="H2634" s="52">
        <v>44682.99422453703</v>
      </c>
      <c r="I2634" s="50"/>
      <c r="J2634" s="50"/>
      <c r="K2634" s="50"/>
      <c r="L2634" s="50"/>
      <c r="M2634" s="50" t="s">
        <v>14437</v>
      </c>
      <c r="N2634" s="50"/>
      <c r="O2634" s="53" t="s">
        <v>70</v>
      </c>
      <c r="P2634" s="55" t="s">
        <v>14438</v>
      </c>
      <c r="Q2634" s="50">
        <v>3323.0</v>
      </c>
      <c r="R2634" s="50">
        <v>5000.0</v>
      </c>
      <c r="S2634" s="50" t="s">
        <v>14439</v>
      </c>
      <c r="T2634" s="56" t="s">
        <v>16079</v>
      </c>
      <c r="U2634" s="53" t="s">
        <v>16080</v>
      </c>
    </row>
    <row r="2635">
      <c r="A2635" s="54" t="s">
        <v>16081</v>
      </c>
      <c r="B2635" s="50" t="s">
        <v>16082</v>
      </c>
      <c r="C2635" s="51" t="s">
        <v>367</v>
      </c>
      <c r="D2635" s="51"/>
      <c r="E2635" s="51"/>
      <c r="F2635" s="51"/>
      <c r="G2635" s="50" t="s">
        <v>16083</v>
      </c>
      <c r="H2635" s="52">
        <v>44682.994004629625</v>
      </c>
      <c r="I2635" s="50"/>
      <c r="J2635" s="50"/>
      <c r="K2635" s="50"/>
      <c r="L2635" s="50"/>
      <c r="M2635" s="50" t="s">
        <v>16084</v>
      </c>
      <c r="N2635" s="50"/>
      <c r="O2635" s="53" t="s">
        <v>92</v>
      </c>
      <c r="P2635" s="55" t="s">
        <v>16085</v>
      </c>
      <c r="Q2635" s="50">
        <v>171.0</v>
      </c>
      <c r="R2635" s="50">
        <v>405.0</v>
      </c>
      <c r="S2635" s="50"/>
      <c r="T2635" s="56" t="s">
        <v>16086</v>
      </c>
      <c r="U2635" s="53" t="s">
        <v>370</v>
      </c>
    </row>
    <row r="2636">
      <c r="A2636" s="54" t="s">
        <v>16087</v>
      </c>
      <c r="B2636" s="50" t="s">
        <v>16088</v>
      </c>
      <c r="C2636" s="51" t="s">
        <v>363</v>
      </c>
      <c r="D2636" s="51"/>
      <c r="E2636" s="51"/>
      <c r="F2636" s="51"/>
      <c r="G2636" s="50" t="s">
        <v>16089</v>
      </c>
      <c r="H2636" s="52">
        <v>44682.9939699074</v>
      </c>
      <c r="I2636" s="50"/>
      <c r="J2636" s="50"/>
      <c r="K2636" s="50"/>
      <c r="L2636" s="50"/>
      <c r="M2636" s="50" t="s">
        <v>16090</v>
      </c>
      <c r="N2636" s="50"/>
      <c r="O2636" s="53" t="s">
        <v>217</v>
      </c>
      <c r="P2636" s="55" t="s">
        <v>16091</v>
      </c>
      <c r="Q2636" s="50">
        <v>2443.0</v>
      </c>
      <c r="R2636" s="50">
        <v>2675.0</v>
      </c>
      <c r="S2636" s="50" t="s">
        <v>16092</v>
      </c>
      <c r="T2636" s="56" t="s">
        <v>16093</v>
      </c>
      <c r="U2636" s="53" t="s">
        <v>332</v>
      </c>
    </row>
    <row r="2637">
      <c r="A2637" s="54" t="s">
        <v>16094</v>
      </c>
      <c r="B2637" s="50" t="s">
        <v>16095</v>
      </c>
      <c r="C2637" s="51" t="s">
        <v>363</v>
      </c>
      <c r="D2637" s="51"/>
      <c r="E2637" s="51"/>
      <c r="F2637" s="51"/>
      <c r="G2637" s="50" t="s">
        <v>16096</v>
      </c>
      <c r="H2637" s="52">
        <v>44682.99369212963</v>
      </c>
      <c r="I2637" s="50"/>
      <c r="J2637" s="50"/>
      <c r="K2637" s="50"/>
      <c r="L2637" s="50"/>
      <c r="M2637" s="50" t="s">
        <v>16097</v>
      </c>
      <c r="N2637" s="50"/>
      <c r="O2637" s="53" t="s">
        <v>92</v>
      </c>
      <c r="P2637" s="55" t="s">
        <v>16098</v>
      </c>
      <c r="Q2637" s="50">
        <v>1424.0</v>
      </c>
      <c r="R2637" s="50">
        <v>4988.0</v>
      </c>
      <c r="S2637" s="50" t="s">
        <v>16099</v>
      </c>
      <c r="T2637" s="56" t="s">
        <v>16100</v>
      </c>
      <c r="U2637" s="53" t="s">
        <v>332</v>
      </c>
    </row>
    <row r="2638">
      <c r="A2638" s="54" t="s">
        <v>16101</v>
      </c>
      <c r="B2638" s="50" t="s">
        <v>16102</v>
      </c>
      <c r="C2638" s="51" t="s">
        <v>16103</v>
      </c>
      <c r="D2638" s="51"/>
      <c r="E2638" s="51"/>
      <c r="F2638" s="51"/>
      <c r="G2638" s="50" t="s">
        <v>16104</v>
      </c>
      <c r="H2638" s="52">
        <v>44682.99366898148</v>
      </c>
      <c r="I2638" s="50"/>
      <c r="J2638" s="50"/>
      <c r="K2638" s="50"/>
      <c r="L2638" s="50"/>
      <c r="M2638" s="50" t="s">
        <v>16105</v>
      </c>
      <c r="N2638" s="50"/>
      <c r="O2638" s="53" t="s">
        <v>70</v>
      </c>
      <c r="P2638" s="55" t="s">
        <v>16106</v>
      </c>
      <c r="Q2638" s="50">
        <v>736.0</v>
      </c>
      <c r="R2638" s="50">
        <v>291.0</v>
      </c>
      <c r="S2638" s="50"/>
      <c r="T2638" s="56" t="s">
        <v>16107</v>
      </c>
      <c r="U2638" s="53" t="s">
        <v>16108</v>
      </c>
    </row>
    <row r="2639">
      <c r="A2639" s="54" t="s">
        <v>16109</v>
      </c>
      <c r="B2639" s="50" t="s">
        <v>16110</v>
      </c>
      <c r="C2639" s="51" t="s">
        <v>367</v>
      </c>
      <c r="D2639" s="51"/>
      <c r="E2639" s="51"/>
      <c r="F2639" s="51"/>
      <c r="G2639" s="50" t="s">
        <v>16111</v>
      </c>
      <c r="H2639" s="52">
        <v>44682.993622685186</v>
      </c>
      <c r="I2639" s="50"/>
      <c r="J2639" s="50"/>
      <c r="K2639" s="50"/>
      <c r="L2639" s="50"/>
      <c r="M2639" s="50" t="s">
        <v>16112</v>
      </c>
      <c r="N2639" s="50"/>
      <c r="O2639" s="53" t="s">
        <v>70</v>
      </c>
      <c r="P2639" s="55" t="s">
        <v>16113</v>
      </c>
      <c r="Q2639" s="50">
        <v>59.0</v>
      </c>
      <c r="R2639" s="50">
        <v>39.0</v>
      </c>
      <c r="S2639" s="50" t="s">
        <v>16114</v>
      </c>
      <c r="T2639" s="56" t="s">
        <v>16115</v>
      </c>
      <c r="U2639" s="53" t="s">
        <v>370</v>
      </c>
    </row>
    <row r="2640">
      <c r="A2640" s="54" t="s">
        <v>16116</v>
      </c>
      <c r="B2640" s="50" t="s">
        <v>16095</v>
      </c>
      <c r="C2640" s="51" t="s">
        <v>367</v>
      </c>
      <c r="D2640" s="51"/>
      <c r="E2640" s="51"/>
      <c r="F2640" s="51"/>
      <c r="G2640" s="50" t="s">
        <v>16117</v>
      </c>
      <c r="H2640" s="52">
        <v>44682.99346064815</v>
      </c>
      <c r="I2640" s="50"/>
      <c r="J2640" s="50"/>
      <c r="K2640" s="50"/>
      <c r="L2640" s="50"/>
      <c r="M2640" s="50" t="s">
        <v>16097</v>
      </c>
      <c r="N2640" s="50"/>
      <c r="O2640" s="53" t="s">
        <v>92</v>
      </c>
      <c r="P2640" s="55" t="s">
        <v>16098</v>
      </c>
      <c r="Q2640" s="50">
        <v>1424.0</v>
      </c>
      <c r="R2640" s="50">
        <v>4988.0</v>
      </c>
      <c r="S2640" s="50" t="s">
        <v>16099</v>
      </c>
      <c r="T2640" s="56" t="s">
        <v>16118</v>
      </c>
      <c r="U2640" s="53" t="s">
        <v>370</v>
      </c>
    </row>
    <row r="2641">
      <c r="A2641" s="54" t="s">
        <v>16119</v>
      </c>
      <c r="B2641" s="50" t="s">
        <v>16120</v>
      </c>
      <c r="C2641" s="51" t="s">
        <v>367</v>
      </c>
      <c r="D2641" s="51"/>
      <c r="E2641" s="51"/>
      <c r="F2641" s="51"/>
      <c r="G2641" s="50" t="s">
        <v>16121</v>
      </c>
      <c r="H2641" s="52">
        <v>44682.99334490741</v>
      </c>
      <c r="I2641" s="50"/>
      <c r="J2641" s="50"/>
      <c r="K2641" s="50"/>
      <c r="L2641" s="50"/>
      <c r="M2641" s="50" t="s">
        <v>16122</v>
      </c>
      <c r="N2641" s="50"/>
      <c r="O2641" s="53" t="s">
        <v>70</v>
      </c>
      <c r="P2641" s="55" t="s">
        <v>16123</v>
      </c>
      <c r="Q2641" s="50">
        <v>233.0</v>
      </c>
      <c r="R2641" s="50">
        <v>2236.0</v>
      </c>
      <c r="S2641" s="50" t="s">
        <v>501</v>
      </c>
      <c r="T2641" s="56" t="s">
        <v>16124</v>
      </c>
      <c r="U2641" s="53" t="s">
        <v>370</v>
      </c>
    </row>
    <row r="2642">
      <c r="A2642" s="54" t="s">
        <v>16125</v>
      </c>
      <c r="B2642" s="50" t="s">
        <v>16126</v>
      </c>
      <c r="C2642" s="51" t="s">
        <v>16127</v>
      </c>
      <c r="D2642" s="51"/>
      <c r="E2642" s="51"/>
      <c r="F2642" s="51"/>
      <c r="G2642" s="50" t="s">
        <v>16128</v>
      </c>
      <c r="H2642" s="52">
        <v>44682.9924537037</v>
      </c>
      <c r="I2642" s="50"/>
      <c r="J2642" s="50"/>
      <c r="K2642" s="50"/>
      <c r="L2642" s="50"/>
      <c r="M2642" s="50" t="s">
        <v>16129</v>
      </c>
      <c r="N2642" s="50"/>
      <c r="O2642" s="53" t="s">
        <v>60</v>
      </c>
      <c r="P2642" s="55" t="s">
        <v>16130</v>
      </c>
      <c r="Q2642" s="50">
        <v>6654.0</v>
      </c>
      <c r="R2642" s="50">
        <v>4552.0</v>
      </c>
      <c r="S2642" s="50"/>
      <c r="T2642" s="56" t="s">
        <v>16131</v>
      </c>
      <c r="U2642" s="53" t="s">
        <v>16132</v>
      </c>
    </row>
    <row r="2643">
      <c r="A2643" s="54" t="s">
        <v>16133</v>
      </c>
      <c r="B2643" s="50" t="s">
        <v>15528</v>
      </c>
      <c r="C2643" s="51" t="s">
        <v>16134</v>
      </c>
      <c r="D2643" s="51"/>
      <c r="E2643" s="51"/>
      <c r="F2643" s="51"/>
      <c r="G2643" s="50" t="s">
        <v>16135</v>
      </c>
      <c r="H2643" s="52">
        <v>44682.992314814815</v>
      </c>
      <c r="I2643" s="50"/>
      <c r="J2643" s="50"/>
      <c r="K2643" s="50"/>
      <c r="L2643" s="50"/>
      <c r="M2643" s="50" t="s">
        <v>15533</v>
      </c>
      <c r="N2643" s="50"/>
      <c r="O2643" s="53" t="s">
        <v>92</v>
      </c>
      <c r="P2643" s="55" t="s">
        <v>15535</v>
      </c>
      <c r="Q2643" s="50">
        <v>1453.0</v>
      </c>
      <c r="R2643" s="50">
        <v>2790.0</v>
      </c>
      <c r="S2643" s="50" t="s">
        <v>15536</v>
      </c>
      <c r="T2643" s="56" t="s">
        <v>16136</v>
      </c>
      <c r="U2643" s="53" t="s">
        <v>16137</v>
      </c>
    </row>
    <row r="2644">
      <c r="A2644" s="54" t="s">
        <v>16138</v>
      </c>
      <c r="B2644" s="50" t="s">
        <v>16139</v>
      </c>
      <c r="C2644" s="51" t="s">
        <v>367</v>
      </c>
      <c r="D2644" s="51"/>
      <c r="E2644" s="51"/>
      <c r="F2644" s="51"/>
      <c r="G2644" s="50" t="s">
        <v>16140</v>
      </c>
      <c r="H2644" s="52">
        <v>44682.99216435185</v>
      </c>
      <c r="I2644" s="50"/>
      <c r="J2644" s="50"/>
      <c r="K2644" s="50"/>
      <c r="L2644" s="50"/>
      <c r="M2644" s="50" t="s">
        <v>16141</v>
      </c>
      <c r="N2644" s="50"/>
      <c r="O2644" s="53" t="s">
        <v>70</v>
      </c>
      <c r="P2644" s="55" t="s">
        <v>16142</v>
      </c>
      <c r="Q2644" s="50">
        <v>400.0</v>
      </c>
      <c r="R2644" s="50">
        <v>1040.0</v>
      </c>
      <c r="S2644" s="50" t="s">
        <v>16143</v>
      </c>
      <c r="T2644" s="56" t="s">
        <v>16144</v>
      </c>
      <c r="U2644" s="53" t="s">
        <v>370</v>
      </c>
    </row>
    <row r="2645">
      <c r="A2645" s="54" t="s">
        <v>16145</v>
      </c>
      <c r="B2645" s="50" t="s">
        <v>16146</v>
      </c>
      <c r="C2645" s="51" t="s">
        <v>363</v>
      </c>
      <c r="D2645" s="51"/>
      <c r="E2645" s="51"/>
      <c r="F2645" s="51"/>
      <c r="G2645" s="50" t="s">
        <v>16140</v>
      </c>
      <c r="H2645" s="52">
        <v>44682.99216435185</v>
      </c>
      <c r="I2645" s="50"/>
      <c r="J2645" s="50"/>
      <c r="K2645" s="50"/>
      <c r="L2645" s="50"/>
      <c r="M2645" s="50" t="s">
        <v>16147</v>
      </c>
      <c r="N2645" s="50"/>
      <c r="O2645" s="53" t="s">
        <v>92</v>
      </c>
      <c r="P2645" s="55" t="s">
        <v>16148</v>
      </c>
      <c r="Q2645" s="50">
        <v>822.0</v>
      </c>
      <c r="R2645" s="50">
        <v>755.0</v>
      </c>
      <c r="S2645" s="50" t="s">
        <v>16149</v>
      </c>
      <c r="T2645" s="56" t="s">
        <v>16150</v>
      </c>
      <c r="U2645" s="53" t="s">
        <v>332</v>
      </c>
    </row>
    <row r="2646">
      <c r="A2646" s="54" t="s">
        <v>16151</v>
      </c>
      <c r="B2646" s="50" t="s">
        <v>16152</v>
      </c>
      <c r="C2646" s="51" t="s">
        <v>363</v>
      </c>
      <c r="D2646" s="51"/>
      <c r="E2646" s="51"/>
      <c r="F2646" s="51"/>
      <c r="G2646" s="50" t="s">
        <v>16153</v>
      </c>
      <c r="H2646" s="52">
        <v>44682.992013888885</v>
      </c>
      <c r="I2646" s="50"/>
      <c r="J2646" s="50"/>
      <c r="K2646" s="50"/>
      <c r="L2646" s="50"/>
      <c r="M2646" s="50" t="s">
        <v>16154</v>
      </c>
      <c r="N2646" s="50"/>
      <c r="O2646" s="53" t="s">
        <v>92</v>
      </c>
      <c r="P2646" s="55" t="s">
        <v>16155</v>
      </c>
      <c r="Q2646" s="50">
        <v>483.0</v>
      </c>
      <c r="R2646" s="50">
        <v>1262.0</v>
      </c>
      <c r="S2646" s="50" t="s">
        <v>7060</v>
      </c>
      <c r="T2646" s="56" t="s">
        <v>16156</v>
      </c>
      <c r="U2646" s="53" t="s">
        <v>332</v>
      </c>
    </row>
    <row r="2647">
      <c r="A2647" s="54" t="s">
        <v>16157</v>
      </c>
      <c r="B2647" s="50" t="s">
        <v>16158</v>
      </c>
      <c r="C2647" s="51" t="s">
        <v>316</v>
      </c>
      <c r="D2647" s="51"/>
      <c r="E2647" s="51"/>
      <c r="F2647" s="51"/>
      <c r="G2647" s="50" t="s">
        <v>16159</v>
      </c>
      <c r="H2647" s="52">
        <v>44682.99145833333</v>
      </c>
      <c r="I2647" s="50"/>
      <c r="J2647" s="50"/>
      <c r="K2647" s="50"/>
      <c r="L2647" s="50"/>
      <c r="M2647" s="50" t="s">
        <v>16160</v>
      </c>
      <c r="N2647" s="50"/>
      <c r="O2647" s="53" t="s">
        <v>92</v>
      </c>
      <c r="P2647" s="55" t="s">
        <v>16161</v>
      </c>
      <c r="Q2647" s="50">
        <v>853.0</v>
      </c>
      <c r="R2647" s="50">
        <v>1233.0</v>
      </c>
      <c r="S2647" s="50" t="s">
        <v>16162</v>
      </c>
      <c r="T2647" s="56" t="s">
        <v>16163</v>
      </c>
      <c r="U2647" s="53" t="s">
        <v>322</v>
      </c>
    </row>
    <row r="2648">
      <c r="A2648" s="54" t="s">
        <v>16164</v>
      </c>
      <c r="B2648" s="50" t="s">
        <v>14434</v>
      </c>
      <c r="C2648" s="51" t="s">
        <v>2973</v>
      </c>
      <c r="D2648" s="51"/>
      <c r="E2648" s="51"/>
      <c r="F2648" s="51"/>
      <c r="G2648" s="50" t="s">
        <v>16165</v>
      </c>
      <c r="H2648" s="52">
        <v>44682.991122685184</v>
      </c>
      <c r="I2648" s="50"/>
      <c r="J2648" s="50"/>
      <c r="K2648" s="50"/>
      <c r="L2648" s="50"/>
      <c r="M2648" s="50" t="s">
        <v>14437</v>
      </c>
      <c r="N2648" s="50"/>
      <c r="O2648" s="53" t="s">
        <v>70</v>
      </c>
      <c r="P2648" s="55" t="s">
        <v>14438</v>
      </c>
      <c r="Q2648" s="50">
        <v>3323.0</v>
      </c>
      <c r="R2648" s="50">
        <v>5000.0</v>
      </c>
      <c r="S2648" s="50" t="s">
        <v>14439</v>
      </c>
      <c r="T2648" s="56" t="s">
        <v>16166</v>
      </c>
      <c r="U2648" s="53" t="s">
        <v>2978</v>
      </c>
    </row>
    <row r="2649">
      <c r="A2649" s="54" t="s">
        <v>16167</v>
      </c>
      <c r="B2649" s="50" t="s">
        <v>16168</v>
      </c>
      <c r="C2649" s="51" t="s">
        <v>16169</v>
      </c>
      <c r="D2649" s="51"/>
      <c r="E2649" s="51"/>
      <c r="F2649" s="51"/>
      <c r="G2649" s="50" t="s">
        <v>16170</v>
      </c>
      <c r="H2649" s="52">
        <v>44682.98993055556</v>
      </c>
      <c r="I2649" s="50"/>
      <c r="J2649" s="50"/>
      <c r="K2649" s="50"/>
      <c r="L2649" s="50"/>
      <c r="M2649" s="50" t="s">
        <v>16171</v>
      </c>
      <c r="N2649" s="50"/>
      <c r="O2649" s="53" t="s">
        <v>92</v>
      </c>
      <c r="P2649" s="55" t="s">
        <v>16172</v>
      </c>
      <c r="Q2649" s="50">
        <v>767.0</v>
      </c>
      <c r="R2649" s="50">
        <v>898.0</v>
      </c>
      <c r="S2649" s="50" t="s">
        <v>16173</v>
      </c>
      <c r="T2649" s="56" t="s">
        <v>16174</v>
      </c>
      <c r="U2649" s="53" t="s">
        <v>16175</v>
      </c>
    </row>
    <row r="2650">
      <c r="A2650" s="54" t="s">
        <v>16176</v>
      </c>
      <c r="B2650" s="50" t="s">
        <v>16177</v>
      </c>
      <c r="C2650" s="51" t="s">
        <v>367</v>
      </c>
      <c r="D2650" s="51"/>
      <c r="E2650" s="51"/>
      <c r="F2650" s="51"/>
      <c r="G2650" s="50" t="s">
        <v>16178</v>
      </c>
      <c r="H2650" s="52">
        <v>44682.98979166667</v>
      </c>
      <c r="I2650" s="50"/>
      <c r="J2650" s="50"/>
      <c r="K2650" s="50"/>
      <c r="L2650" s="50"/>
      <c r="M2650" s="50" t="s">
        <v>16179</v>
      </c>
      <c r="N2650" s="50"/>
      <c r="O2650" s="53" t="s">
        <v>70</v>
      </c>
      <c r="P2650" s="55" t="s">
        <v>16180</v>
      </c>
      <c r="Q2650" s="50">
        <v>49.0</v>
      </c>
      <c r="R2650" s="50">
        <v>38.0</v>
      </c>
      <c r="S2650" s="50" t="s">
        <v>16181</v>
      </c>
      <c r="T2650" s="56" t="s">
        <v>16182</v>
      </c>
      <c r="U2650" s="53" t="s">
        <v>370</v>
      </c>
    </row>
    <row r="2651">
      <c r="A2651" s="54" t="s">
        <v>16183</v>
      </c>
      <c r="B2651" s="50" t="s">
        <v>16184</v>
      </c>
      <c r="C2651" s="51" t="s">
        <v>16185</v>
      </c>
      <c r="D2651" s="51"/>
      <c r="E2651" s="51"/>
      <c r="F2651" s="51"/>
      <c r="G2651" s="50" t="s">
        <v>16186</v>
      </c>
      <c r="H2651" s="52">
        <v>44682.9897337963</v>
      </c>
      <c r="I2651" s="50"/>
      <c r="J2651" s="50"/>
      <c r="K2651" s="50"/>
      <c r="L2651" s="50"/>
      <c r="M2651" s="50" t="s">
        <v>16187</v>
      </c>
      <c r="N2651" s="50"/>
      <c r="O2651" s="53" t="s">
        <v>70</v>
      </c>
      <c r="P2651" s="55" t="s">
        <v>16188</v>
      </c>
      <c r="Q2651" s="50">
        <v>5148.0</v>
      </c>
      <c r="R2651" s="50">
        <v>5612.0</v>
      </c>
      <c r="S2651" s="50" t="s">
        <v>16189</v>
      </c>
      <c r="T2651" s="56" t="s">
        <v>16190</v>
      </c>
      <c r="U2651" s="53" t="s">
        <v>16191</v>
      </c>
    </row>
    <row r="2652">
      <c r="A2652" s="54" t="s">
        <v>16192</v>
      </c>
      <c r="B2652" s="50" t="s">
        <v>16193</v>
      </c>
      <c r="C2652" s="51" t="s">
        <v>367</v>
      </c>
      <c r="D2652" s="51"/>
      <c r="E2652" s="51"/>
      <c r="F2652" s="51"/>
      <c r="G2652" s="50" t="s">
        <v>16194</v>
      </c>
      <c r="H2652" s="52">
        <v>44682.98966435185</v>
      </c>
      <c r="I2652" s="50"/>
      <c r="J2652" s="50"/>
      <c r="K2652" s="50"/>
      <c r="L2652" s="50"/>
      <c r="M2652" s="50" t="s">
        <v>16195</v>
      </c>
      <c r="N2652" s="50"/>
      <c r="O2652" s="53" t="s">
        <v>60</v>
      </c>
      <c r="P2652" s="55" t="s">
        <v>16196</v>
      </c>
      <c r="Q2652" s="50">
        <v>659.0</v>
      </c>
      <c r="R2652" s="50">
        <v>650.0</v>
      </c>
      <c r="S2652" s="50" t="s">
        <v>16197</v>
      </c>
      <c r="T2652" s="56" t="s">
        <v>16198</v>
      </c>
      <c r="U2652" s="53" t="s">
        <v>370</v>
      </c>
    </row>
    <row r="2653">
      <c r="A2653" s="54" t="s">
        <v>16199</v>
      </c>
      <c r="B2653" s="50" t="s">
        <v>16200</v>
      </c>
      <c r="C2653" s="51" t="s">
        <v>367</v>
      </c>
      <c r="D2653" s="51"/>
      <c r="E2653" s="51"/>
      <c r="F2653" s="51"/>
      <c r="G2653" s="50" t="s">
        <v>16201</v>
      </c>
      <c r="H2653" s="52">
        <v>44682.98954861111</v>
      </c>
      <c r="I2653" s="50"/>
      <c r="J2653" s="50"/>
      <c r="K2653" s="50"/>
      <c r="L2653" s="50"/>
      <c r="M2653" s="50" t="s">
        <v>16202</v>
      </c>
      <c r="N2653" s="50"/>
      <c r="O2653" s="53" t="s">
        <v>70</v>
      </c>
      <c r="P2653" s="55" t="s">
        <v>16203</v>
      </c>
      <c r="Q2653" s="50">
        <v>391.0</v>
      </c>
      <c r="R2653" s="50">
        <v>292.0</v>
      </c>
      <c r="S2653" s="50"/>
      <c r="T2653" s="56" t="s">
        <v>16204</v>
      </c>
      <c r="U2653" s="53" t="s">
        <v>370</v>
      </c>
    </row>
    <row r="2654">
      <c r="A2654" s="54" t="s">
        <v>16205</v>
      </c>
      <c r="B2654" s="50" t="s">
        <v>16206</v>
      </c>
      <c r="C2654" s="51" t="s">
        <v>363</v>
      </c>
      <c r="D2654" s="51"/>
      <c r="E2654" s="51"/>
      <c r="F2654" s="51"/>
      <c r="G2654" s="50" t="s">
        <v>16207</v>
      </c>
      <c r="H2654" s="52">
        <v>44682.98951388889</v>
      </c>
      <c r="I2654" s="50"/>
      <c r="J2654" s="50"/>
      <c r="K2654" s="50"/>
      <c r="L2654" s="50"/>
      <c r="M2654" s="50" t="s">
        <v>16208</v>
      </c>
      <c r="N2654" s="50"/>
      <c r="O2654" s="53" t="s">
        <v>60</v>
      </c>
      <c r="P2654" s="55" t="s">
        <v>16209</v>
      </c>
      <c r="Q2654" s="50">
        <v>1416.0</v>
      </c>
      <c r="R2654" s="50">
        <v>4112.0</v>
      </c>
      <c r="S2654" s="50"/>
      <c r="T2654" s="56" t="s">
        <v>16210</v>
      </c>
      <c r="U2654" s="53" t="s">
        <v>332</v>
      </c>
    </row>
    <row r="2655">
      <c r="A2655" s="54" t="s">
        <v>16211</v>
      </c>
      <c r="B2655" s="50" t="s">
        <v>16212</v>
      </c>
      <c r="C2655" s="51" t="s">
        <v>16213</v>
      </c>
      <c r="D2655" s="51"/>
      <c r="E2655" s="51"/>
      <c r="F2655" s="51"/>
      <c r="G2655" s="50" t="s">
        <v>16214</v>
      </c>
      <c r="H2655" s="52">
        <v>44682.98924768518</v>
      </c>
      <c r="I2655" s="50"/>
      <c r="J2655" s="50"/>
      <c r="K2655" s="50"/>
      <c r="L2655" s="50"/>
      <c r="M2655" s="50" t="s">
        <v>16215</v>
      </c>
      <c r="N2655" s="50"/>
      <c r="O2655" s="53" t="s">
        <v>92</v>
      </c>
      <c r="P2655" s="55" t="s">
        <v>16216</v>
      </c>
      <c r="Q2655" s="50">
        <v>567.0</v>
      </c>
      <c r="R2655" s="50">
        <v>788.0</v>
      </c>
      <c r="S2655" s="50"/>
      <c r="T2655" s="56" t="s">
        <v>16217</v>
      </c>
      <c r="U2655" s="53" t="s">
        <v>16218</v>
      </c>
    </row>
    <row r="2656">
      <c r="A2656" s="54" t="s">
        <v>16219</v>
      </c>
      <c r="B2656" s="50" t="s">
        <v>16220</v>
      </c>
      <c r="C2656" s="51" t="s">
        <v>367</v>
      </c>
      <c r="D2656" s="51"/>
      <c r="E2656" s="51"/>
      <c r="F2656" s="51"/>
      <c r="G2656" s="50" t="s">
        <v>16221</v>
      </c>
      <c r="H2656" s="52">
        <v>44682.98921296296</v>
      </c>
      <c r="I2656" s="50"/>
      <c r="J2656" s="50"/>
      <c r="K2656" s="50"/>
      <c r="L2656" s="50"/>
      <c r="M2656" s="50" t="s">
        <v>16222</v>
      </c>
      <c r="N2656" s="50"/>
      <c r="O2656" s="53" t="s">
        <v>70</v>
      </c>
      <c r="P2656" s="55" t="s">
        <v>16223</v>
      </c>
      <c r="Q2656" s="50">
        <v>688.0</v>
      </c>
      <c r="R2656" s="50">
        <v>1278.0</v>
      </c>
      <c r="S2656" s="50"/>
      <c r="T2656" s="56" t="s">
        <v>16224</v>
      </c>
      <c r="U2656" s="53" t="s">
        <v>370</v>
      </c>
    </row>
    <row r="2657">
      <c r="A2657" s="54" t="s">
        <v>16225</v>
      </c>
      <c r="B2657" s="50" t="s">
        <v>16226</v>
      </c>
      <c r="C2657" s="51" t="s">
        <v>367</v>
      </c>
      <c r="D2657" s="51"/>
      <c r="E2657" s="51"/>
      <c r="F2657" s="51"/>
      <c r="G2657" s="50" t="s">
        <v>16227</v>
      </c>
      <c r="H2657" s="52">
        <v>44682.98895833333</v>
      </c>
      <c r="I2657" s="50"/>
      <c r="J2657" s="50"/>
      <c r="K2657" s="50"/>
      <c r="L2657" s="50"/>
      <c r="M2657" s="50" t="s">
        <v>16228</v>
      </c>
      <c r="N2657" s="50"/>
      <c r="O2657" s="53" t="s">
        <v>60</v>
      </c>
      <c r="P2657" s="55" t="s">
        <v>354</v>
      </c>
      <c r="Q2657" s="50">
        <v>920.0</v>
      </c>
      <c r="R2657" s="50">
        <v>2159.0</v>
      </c>
      <c r="S2657" s="50"/>
      <c r="T2657" s="56" t="s">
        <v>16229</v>
      </c>
      <c r="U2657" s="53" t="s">
        <v>370</v>
      </c>
    </row>
    <row r="2658">
      <c r="A2658" s="54" t="s">
        <v>16230</v>
      </c>
      <c r="B2658" s="50" t="s">
        <v>16231</v>
      </c>
      <c r="C2658" s="51" t="s">
        <v>16232</v>
      </c>
      <c r="D2658" s="51"/>
      <c r="E2658" s="51"/>
      <c r="F2658" s="51"/>
      <c r="G2658" s="50" t="s">
        <v>16233</v>
      </c>
      <c r="H2658" s="52">
        <v>44682.98884259259</v>
      </c>
      <c r="I2658" s="50"/>
      <c r="J2658" s="50"/>
      <c r="K2658" s="50" t="s">
        <v>4073</v>
      </c>
      <c r="L2658" s="50" t="s">
        <v>4074</v>
      </c>
      <c r="M2658" s="50" t="s">
        <v>16234</v>
      </c>
      <c r="N2658" s="50" t="s">
        <v>4076</v>
      </c>
      <c r="O2658" s="53" t="s">
        <v>60</v>
      </c>
      <c r="P2658" s="55" t="s">
        <v>16235</v>
      </c>
      <c r="Q2658" s="50">
        <v>1216.0</v>
      </c>
      <c r="R2658" s="50">
        <v>1550.0</v>
      </c>
      <c r="S2658" s="50" t="s">
        <v>16236</v>
      </c>
      <c r="T2658" s="56" t="s">
        <v>16237</v>
      </c>
      <c r="U2658" s="53" t="s">
        <v>16238</v>
      </c>
    </row>
    <row r="2659">
      <c r="A2659" s="54" t="s">
        <v>16239</v>
      </c>
      <c r="B2659" s="50" t="s">
        <v>16226</v>
      </c>
      <c r="C2659" s="51" t="s">
        <v>363</v>
      </c>
      <c r="D2659" s="51"/>
      <c r="E2659" s="51"/>
      <c r="F2659" s="51"/>
      <c r="G2659" s="50" t="s">
        <v>16240</v>
      </c>
      <c r="H2659" s="52">
        <v>44682.988807870366</v>
      </c>
      <c r="I2659" s="50"/>
      <c r="J2659" s="50"/>
      <c r="K2659" s="50"/>
      <c r="L2659" s="50"/>
      <c r="M2659" s="50" t="s">
        <v>16228</v>
      </c>
      <c r="N2659" s="50"/>
      <c r="O2659" s="53" t="s">
        <v>60</v>
      </c>
      <c r="P2659" s="55" t="s">
        <v>354</v>
      </c>
      <c r="Q2659" s="50">
        <v>920.0</v>
      </c>
      <c r="R2659" s="50">
        <v>2159.0</v>
      </c>
      <c r="S2659" s="50"/>
      <c r="T2659" s="56" t="s">
        <v>16241</v>
      </c>
      <c r="U2659" s="53" t="s">
        <v>332</v>
      </c>
    </row>
    <row r="2660">
      <c r="A2660" s="54" t="s">
        <v>16242</v>
      </c>
      <c r="B2660" s="50" t="s">
        <v>16243</v>
      </c>
      <c r="C2660" s="51" t="s">
        <v>2076</v>
      </c>
      <c r="D2660" s="51"/>
      <c r="E2660" s="51"/>
      <c r="F2660" s="51"/>
      <c r="G2660" s="50" t="s">
        <v>16244</v>
      </c>
      <c r="H2660" s="52">
        <v>44682.988657407404</v>
      </c>
      <c r="I2660" s="50"/>
      <c r="J2660" s="50"/>
      <c r="K2660" s="50"/>
      <c r="L2660" s="50"/>
      <c r="M2660" s="50" t="s">
        <v>16245</v>
      </c>
      <c r="N2660" s="50"/>
      <c r="O2660" s="53" t="s">
        <v>92</v>
      </c>
      <c r="P2660" s="55" t="s">
        <v>16246</v>
      </c>
      <c r="Q2660" s="50">
        <v>166.0</v>
      </c>
      <c r="R2660" s="50">
        <v>690.0</v>
      </c>
      <c r="S2660" s="50" t="s">
        <v>16247</v>
      </c>
      <c r="T2660" s="56" t="s">
        <v>16248</v>
      </c>
      <c r="U2660" s="53" t="s">
        <v>691</v>
      </c>
    </row>
    <row r="2661">
      <c r="A2661" s="54" t="s">
        <v>16249</v>
      </c>
      <c r="B2661" s="50" t="s">
        <v>16250</v>
      </c>
      <c r="C2661" s="51" t="s">
        <v>12814</v>
      </c>
      <c r="D2661" s="51"/>
      <c r="E2661" s="51"/>
      <c r="F2661" s="51"/>
      <c r="G2661" s="50" t="s">
        <v>16251</v>
      </c>
      <c r="H2661" s="52">
        <v>44682.98857638889</v>
      </c>
      <c r="I2661" s="50"/>
      <c r="J2661" s="50"/>
      <c r="K2661" s="50"/>
      <c r="L2661" s="50"/>
      <c r="M2661" s="50" t="s">
        <v>16252</v>
      </c>
      <c r="N2661" s="50"/>
      <c r="O2661" s="53" t="s">
        <v>70</v>
      </c>
      <c r="P2661" s="55" t="s">
        <v>16253</v>
      </c>
      <c r="Q2661" s="50">
        <v>4.0</v>
      </c>
      <c r="R2661" s="50">
        <v>167.0</v>
      </c>
      <c r="S2661" s="50"/>
      <c r="T2661" s="56" t="s">
        <v>16254</v>
      </c>
      <c r="U2661" s="53" t="s">
        <v>12820</v>
      </c>
    </row>
    <row r="2662">
      <c r="A2662" s="54" t="s">
        <v>16255</v>
      </c>
      <c r="B2662" s="50" t="s">
        <v>16256</v>
      </c>
      <c r="C2662" s="51" t="s">
        <v>2076</v>
      </c>
      <c r="D2662" s="51"/>
      <c r="E2662" s="51"/>
      <c r="F2662" s="51"/>
      <c r="G2662" s="50" t="s">
        <v>16257</v>
      </c>
      <c r="H2662" s="52">
        <v>44682.98824074074</v>
      </c>
      <c r="I2662" s="50"/>
      <c r="J2662" s="50"/>
      <c r="K2662" s="50"/>
      <c r="L2662" s="50"/>
      <c r="M2662" s="50" t="s">
        <v>16258</v>
      </c>
      <c r="N2662" s="50"/>
      <c r="O2662" s="53" t="s">
        <v>92</v>
      </c>
      <c r="P2662" s="55" t="s">
        <v>16259</v>
      </c>
      <c r="Q2662" s="50">
        <v>40529.0</v>
      </c>
      <c r="R2662" s="50">
        <v>26568.0</v>
      </c>
      <c r="S2662" s="50" t="s">
        <v>805</v>
      </c>
      <c r="T2662" s="56" t="s">
        <v>16260</v>
      </c>
      <c r="U2662" s="53" t="s">
        <v>691</v>
      </c>
    </row>
    <row r="2663">
      <c r="A2663" s="54" t="s">
        <v>16261</v>
      </c>
      <c r="B2663" s="50" t="s">
        <v>16262</v>
      </c>
      <c r="C2663" s="51" t="s">
        <v>316</v>
      </c>
      <c r="D2663" s="51"/>
      <c r="E2663" s="51"/>
      <c r="F2663" s="51"/>
      <c r="G2663" s="50" t="s">
        <v>16263</v>
      </c>
      <c r="H2663" s="52">
        <v>44682.98821759259</v>
      </c>
      <c r="I2663" s="50"/>
      <c r="J2663" s="50"/>
      <c r="K2663" s="50"/>
      <c r="L2663" s="50"/>
      <c r="M2663" s="50" t="s">
        <v>16264</v>
      </c>
      <c r="N2663" s="50"/>
      <c r="O2663" s="53" t="s">
        <v>70</v>
      </c>
      <c r="P2663" s="55" t="s">
        <v>16265</v>
      </c>
      <c r="Q2663" s="50">
        <v>284.0</v>
      </c>
      <c r="R2663" s="50">
        <v>2675.0</v>
      </c>
      <c r="S2663" s="50" t="s">
        <v>16266</v>
      </c>
      <c r="T2663" s="56" t="s">
        <v>16267</v>
      </c>
      <c r="U2663" s="53" t="s">
        <v>322</v>
      </c>
    </row>
    <row r="2664">
      <c r="A2664" s="54" t="s">
        <v>16268</v>
      </c>
      <c r="B2664" s="50" t="s">
        <v>6574</v>
      </c>
      <c r="C2664" s="51" t="s">
        <v>3498</v>
      </c>
      <c r="D2664" s="51"/>
      <c r="E2664" s="51"/>
      <c r="F2664" s="51"/>
      <c r="G2664" s="50" t="s">
        <v>16269</v>
      </c>
      <c r="H2664" s="52">
        <v>44682.987916666665</v>
      </c>
      <c r="I2664" s="50"/>
      <c r="J2664" s="50"/>
      <c r="K2664" s="50"/>
      <c r="L2664" s="50"/>
      <c r="M2664" s="50" t="s">
        <v>6576</v>
      </c>
      <c r="N2664" s="50"/>
      <c r="O2664" s="53" t="s">
        <v>92</v>
      </c>
      <c r="P2664" s="55" t="s">
        <v>6577</v>
      </c>
      <c r="Q2664" s="50">
        <v>1709.0</v>
      </c>
      <c r="R2664" s="50">
        <v>657.0</v>
      </c>
      <c r="S2664" s="50" t="s">
        <v>6578</v>
      </c>
      <c r="T2664" s="56" t="s">
        <v>16270</v>
      </c>
      <c r="U2664" s="53" t="s">
        <v>3503</v>
      </c>
    </row>
    <row r="2665">
      <c r="A2665" s="54" t="s">
        <v>16271</v>
      </c>
      <c r="B2665" s="50" t="s">
        <v>16272</v>
      </c>
      <c r="C2665" s="51" t="s">
        <v>16273</v>
      </c>
      <c r="D2665" s="51"/>
      <c r="E2665" s="51"/>
      <c r="F2665" s="51"/>
      <c r="G2665" s="50" t="s">
        <v>16269</v>
      </c>
      <c r="H2665" s="52">
        <v>44682.987916666665</v>
      </c>
      <c r="I2665" s="50"/>
      <c r="J2665" s="50"/>
      <c r="K2665" s="50" t="s">
        <v>16274</v>
      </c>
      <c r="L2665" s="50" t="s">
        <v>16275</v>
      </c>
      <c r="M2665" s="50" t="s">
        <v>16276</v>
      </c>
      <c r="N2665" s="50" t="s">
        <v>16277</v>
      </c>
      <c r="O2665" s="53" t="s">
        <v>60</v>
      </c>
      <c r="P2665" s="55" t="s">
        <v>16278</v>
      </c>
      <c r="Q2665" s="50">
        <v>1439.0</v>
      </c>
      <c r="R2665" s="50">
        <v>96.0</v>
      </c>
      <c r="S2665" s="50" t="s">
        <v>16279</v>
      </c>
      <c r="T2665" s="56" t="s">
        <v>16280</v>
      </c>
      <c r="U2665" s="53" t="s">
        <v>16281</v>
      </c>
    </row>
    <row r="2666">
      <c r="A2666" s="54" t="s">
        <v>16282</v>
      </c>
      <c r="B2666" s="50" t="s">
        <v>16283</v>
      </c>
      <c r="C2666" s="51" t="s">
        <v>367</v>
      </c>
      <c r="D2666" s="51"/>
      <c r="E2666" s="51"/>
      <c r="F2666" s="51"/>
      <c r="G2666" s="50" t="s">
        <v>16284</v>
      </c>
      <c r="H2666" s="52">
        <v>44682.987754629634</v>
      </c>
      <c r="I2666" s="50"/>
      <c r="J2666" s="50"/>
      <c r="K2666" s="50"/>
      <c r="L2666" s="50"/>
      <c r="M2666" s="50" t="s">
        <v>16285</v>
      </c>
      <c r="N2666" s="50"/>
      <c r="O2666" s="53" t="s">
        <v>92</v>
      </c>
      <c r="P2666" s="55" t="s">
        <v>16286</v>
      </c>
      <c r="Q2666" s="50">
        <v>448.0</v>
      </c>
      <c r="R2666" s="50">
        <v>1636.0</v>
      </c>
      <c r="S2666" s="50"/>
      <c r="T2666" s="56" t="s">
        <v>16287</v>
      </c>
      <c r="U2666" s="53" t="s">
        <v>370</v>
      </c>
    </row>
    <row r="2667">
      <c r="A2667" s="54" t="s">
        <v>16288</v>
      </c>
      <c r="B2667" s="50" t="s">
        <v>16289</v>
      </c>
      <c r="C2667" s="51" t="s">
        <v>16290</v>
      </c>
      <c r="D2667" s="51"/>
      <c r="E2667" s="51"/>
      <c r="F2667" s="51"/>
      <c r="G2667" s="50" t="s">
        <v>16291</v>
      </c>
      <c r="H2667" s="52">
        <v>44682.987650462965</v>
      </c>
      <c r="I2667" s="50"/>
      <c r="J2667" s="50"/>
      <c r="K2667" s="50"/>
      <c r="L2667" s="50"/>
      <c r="M2667" s="50" t="s">
        <v>16292</v>
      </c>
      <c r="N2667" s="50"/>
      <c r="O2667" s="53" t="s">
        <v>92</v>
      </c>
      <c r="P2667" s="55" t="s">
        <v>16293</v>
      </c>
      <c r="Q2667" s="50">
        <v>2123.0</v>
      </c>
      <c r="R2667" s="50">
        <v>2233.0</v>
      </c>
      <c r="S2667" s="50" t="s">
        <v>6559</v>
      </c>
      <c r="T2667" s="56" t="s">
        <v>16294</v>
      </c>
      <c r="U2667" s="53" t="s">
        <v>16295</v>
      </c>
    </row>
    <row r="2668">
      <c r="A2668" s="54" t="s">
        <v>16296</v>
      </c>
      <c r="B2668" s="50" t="s">
        <v>16297</v>
      </c>
      <c r="C2668" s="51" t="s">
        <v>8595</v>
      </c>
      <c r="D2668" s="51"/>
      <c r="E2668" s="51"/>
      <c r="F2668" s="51"/>
      <c r="G2668" s="50" t="s">
        <v>16298</v>
      </c>
      <c r="H2668" s="52">
        <v>44682.98761574074</v>
      </c>
      <c r="I2668" s="50"/>
      <c r="J2668" s="50"/>
      <c r="K2668" s="50"/>
      <c r="L2668" s="50"/>
      <c r="M2668" s="50" t="s">
        <v>16299</v>
      </c>
      <c r="N2668" s="50"/>
      <c r="O2668" s="53" t="s">
        <v>92</v>
      </c>
      <c r="P2668" s="55" t="s">
        <v>16300</v>
      </c>
      <c r="Q2668" s="50">
        <v>53.0</v>
      </c>
      <c r="R2668" s="50">
        <v>90.0</v>
      </c>
      <c r="S2668" s="50" t="s">
        <v>2590</v>
      </c>
      <c r="T2668" s="56" t="s">
        <v>16301</v>
      </c>
      <c r="U2668" s="53" t="s">
        <v>8601</v>
      </c>
    </row>
    <row r="2669">
      <c r="A2669" s="54" t="s">
        <v>16302</v>
      </c>
      <c r="B2669" s="50" t="s">
        <v>16303</v>
      </c>
      <c r="C2669" s="51" t="s">
        <v>316</v>
      </c>
      <c r="D2669" s="51"/>
      <c r="E2669" s="51"/>
      <c r="F2669" s="51"/>
      <c r="G2669" s="50" t="s">
        <v>16304</v>
      </c>
      <c r="H2669" s="52">
        <v>44682.98724537037</v>
      </c>
      <c r="I2669" s="50"/>
      <c r="J2669" s="50"/>
      <c r="K2669" s="50"/>
      <c r="L2669" s="50"/>
      <c r="M2669" s="50" t="s">
        <v>16305</v>
      </c>
      <c r="N2669" s="50"/>
      <c r="O2669" s="53" t="s">
        <v>92</v>
      </c>
      <c r="P2669" s="55" t="s">
        <v>16306</v>
      </c>
      <c r="Q2669" s="50">
        <v>1387.0</v>
      </c>
      <c r="R2669" s="50">
        <v>4400.0</v>
      </c>
      <c r="S2669" s="50" t="s">
        <v>16307</v>
      </c>
      <c r="T2669" s="56" t="s">
        <v>16308</v>
      </c>
      <c r="U2669" s="53" t="s">
        <v>322</v>
      </c>
    </row>
    <row r="2670">
      <c r="A2670" s="54" t="s">
        <v>16309</v>
      </c>
      <c r="B2670" s="50" t="s">
        <v>16310</v>
      </c>
      <c r="C2670" s="51" t="s">
        <v>367</v>
      </c>
      <c r="D2670" s="51"/>
      <c r="E2670" s="51"/>
      <c r="F2670" s="51"/>
      <c r="G2670" s="50" t="s">
        <v>16304</v>
      </c>
      <c r="H2670" s="52">
        <v>44682.98724537037</v>
      </c>
      <c r="I2670" s="50"/>
      <c r="J2670" s="50"/>
      <c r="K2670" s="50"/>
      <c r="L2670" s="50"/>
      <c r="M2670" s="50" t="s">
        <v>16311</v>
      </c>
      <c r="N2670" s="50"/>
      <c r="O2670" s="53" t="s">
        <v>92</v>
      </c>
      <c r="P2670" s="55" t="s">
        <v>16312</v>
      </c>
      <c r="Q2670" s="50">
        <v>5611.0</v>
      </c>
      <c r="R2670" s="50">
        <v>5734.0</v>
      </c>
      <c r="S2670" s="50" t="s">
        <v>129</v>
      </c>
      <c r="T2670" s="56" t="s">
        <v>16313</v>
      </c>
      <c r="U2670" s="53" t="s">
        <v>370</v>
      </c>
    </row>
    <row r="2671">
      <c r="A2671" s="54" t="s">
        <v>16314</v>
      </c>
      <c r="B2671" s="50" t="s">
        <v>16315</v>
      </c>
      <c r="C2671" s="51" t="s">
        <v>367</v>
      </c>
      <c r="D2671" s="51"/>
      <c r="E2671" s="51"/>
      <c r="F2671" s="51"/>
      <c r="G2671" s="50" t="s">
        <v>16316</v>
      </c>
      <c r="H2671" s="52">
        <v>44682.987175925926</v>
      </c>
      <c r="I2671" s="50"/>
      <c r="J2671" s="50"/>
      <c r="K2671" s="50"/>
      <c r="L2671" s="50"/>
      <c r="M2671" s="50" t="s">
        <v>16317</v>
      </c>
      <c r="N2671" s="50"/>
      <c r="O2671" s="53" t="s">
        <v>70</v>
      </c>
      <c r="P2671" s="55" t="s">
        <v>16318</v>
      </c>
      <c r="Q2671" s="50">
        <v>2084.0</v>
      </c>
      <c r="R2671" s="50">
        <v>2328.0</v>
      </c>
      <c r="S2671" s="50" t="s">
        <v>16319</v>
      </c>
      <c r="T2671" s="56" t="s">
        <v>16320</v>
      </c>
      <c r="U2671" s="53" t="s">
        <v>370</v>
      </c>
    </row>
    <row r="2672">
      <c r="A2672" s="54" t="s">
        <v>16321</v>
      </c>
      <c r="B2672" s="50" t="s">
        <v>16322</v>
      </c>
      <c r="C2672" s="51" t="s">
        <v>367</v>
      </c>
      <c r="D2672" s="51"/>
      <c r="E2672" s="51"/>
      <c r="F2672" s="51"/>
      <c r="G2672" s="50" t="s">
        <v>16323</v>
      </c>
      <c r="H2672" s="52">
        <v>44682.98695601852</v>
      </c>
      <c r="I2672" s="50"/>
      <c r="J2672" s="50"/>
      <c r="K2672" s="50"/>
      <c r="L2672" s="50"/>
      <c r="M2672" s="50" t="s">
        <v>16324</v>
      </c>
      <c r="N2672" s="50"/>
      <c r="O2672" s="53" t="s">
        <v>92</v>
      </c>
      <c r="P2672" s="55" t="s">
        <v>16325</v>
      </c>
      <c r="Q2672" s="50">
        <v>414.0</v>
      </c>
      <c r="R2672" s="50">
        <v>617.0</v>
      </c>
      <c r="S2672" s="50"/>
      <c r="T2672" s="56" t="s">
        <v>16326</v>
      </c>
      <c r="U2672" s="53" t="s">
        <v>370</v>
      </c>
    </row>
    <row r="2673">
      <c r="A2673" s="54" t="s">
        <v>16327</v>
      </c>
      <c r="B2673" s="50" t="s">
        <v>16328</v>
      </c>
      <c r="C2673" s="51" t="s">
        <v>316</v>
      </c>
      <c r="D2673" s="51"/>
      <c r="E2673" s="51"/>
      <c r="F2673" s="51"/>
      <c r="G2673" s="50" t="s">
        <v>16329</v>
      </c>
      <c r="H2673" s="52">
        <v>44682.98688657407</v>
      </c>
      <c r="I2673" s="50"/>
      <c r="J2673" s="50"/>
      <c r="K2673" s="50"/>
      <c r="L2673" s="50"/>
      <c r="M2673" s="50" t="s">
        <v>16330</v>
      </c>
      <c r="N2673" s="50"/>
      <c r="O2673" s="53" t="s">
        <v>70</v>
      </c>
      <c r="P2673" s="55" t="s">
        <v>16331</v>
      </c>
      <c r="Q2673" s="50">
        <v>31.0</v>
      </c>
      <c r="R2673" s="50">
        <v>146.0</v>
      </c>
      <c r="S2673" s="50"/>
      <c r="T2673" s="56" t="s">
        <v>16332</v>
      </c>
      <c r="U2673" s="53" t="s">
        <v>322</v>
      </c>
    </row>
    <row r="2674">
      <c r="A2674" s="54" t="s">
        <v>16333</v>
      </c>
      <c r="B2674" s="50" t="s">
        <v>16334</v>
      </c>
      <c r="C2674" s="51" t="s">
        <v>367</v>
      </c>
      <c r="D2674" s="51"/>
      <c r="E2674" s="51"/>
      <c r="F2674" s="51"/>
      <c r="G2674" s="50" t="s">
        <v>16335</v>
      </c>
      <c r="H2674" s="52">
        <v>44682.98675925926</v>
      </c>
      <c r="I2674" s="50"/>
      <c r="J2674" s="50"/>
      <c r="K2674" s="50"/>
      <c r="L2674" s="50"/>
      <c r="M2674" s="50" t="s">
        <v>16336</v>
      </c>
      <c r="N2674" s="50"/>
      <c r="O2674" s="53" t="s">
        <v>92</v>
      </c>
      <c r="P2674" s="55" t="s">
        <v>16337</v>
      </c>
      <c r="Q2674" s="50">
        <v>847.0</v>
      </c>
      <c r="R2674" s="50">
        <v>1033.0</v>
      </c>
      <c r="S2674" s="50" t="s">
        <v>16338</v>
      </c>
      <c r="T2674" s="56" t="s">
        <v>16339</v>
      </c>
      <c r="U2674" s="53" t="s">
        <v>370</v>
      </c>
    </row>
    <row r="2675">
      <c r="A2675" s="54" t="s">
        <v>16340</v>
      </c>
      <c r="B2675" s="50" t="s">
        <v>16341</v>
      </c>
      <c r="C2675" s="51" t="s">
        <v>16342</v>
      </c>
      <c r="D2675" s="51"/>
      <c r="E2675" s="51"/>
      <c r="F2675" s="51"/>
      <c r="G2675" s="50" t="s">
        <v>16343</v>
      </c>
      <c r="H2675" s="52">
        <v>44682.98663194444</v>
      </c>
      <c r="I2675" s="50"/>
      <c r="J2675" s="50"/>
      <c r="K2675" s="50"/>
      <c r="L2675" s="50"/>
      <c r="M2675" s="50" t="s">
        <v>16344</v>
      </c>
      <c r="N2675" s="50"/>
      <c r="O2675" s="53" t="s">
        <v>70</v>
      </c>
      <c r="P2675" s="55" t="s">
        <v>16345</v>
      </c>
      <c r="Q2675" s="50">
        <v>476.0</v>
      </c>
      <c r="R2675" s="50">
        <v>674.0</v>
      </c>
      <c r="S2675" s="50" t="s">
        <v>16346</v>
      </c>
      <c r="T2675" s="56" t="s">
        <v>16347</v>
      </c>
      <c r="U2675" s="53" t="s">
        <v>16348</v>
      </c>
    </row>
    <row r="2676">
      <c r="A2676" s="54" t="s">
        <v>16349</v>
      </c>
      <c r="B2676" s="50" t="s">
        <v>16350</v>
      </c>
      <c r="C2676" s="51" t="s">
        <v>316</v>
      </c>
      <c r="D2676" s="51"/>
      <c r="E2676" s="51"/>
      <c r="F2676" s="51"/>
      <c r="G2676" s="50" t="s">
        <v>16351</v>
      </c>
      <c r="H2676" s="52">
        <v>44682.986238425925</v>
      </c>
      <c r="I2676" s="50"/>
      <c r="J2676" s="50"/>
      <c r="K2676" s="50"/>
      <c r="L2676" s="50"/>
      <c r="M2676" s="50" t="s">
        <v>16352</v>
      </c>
      <c r="N2676" s="50"/>
      <c r="O2676" s="53" t="s">
        <v>70</v>
      </c>
      <c r="P2676" s="55" t="s">
        <v>16353</v>
      </c>
      <c r="Q2676" s="50">
        <v>348.0</v>
      </c>
      <c r="R2676" s="50">
        <v>250.0</v>
      </c>
      <c r="S2676" s="50"/>
      <c r="T2676" s="56" t="s">
        <v>16354</v>
      </c>
      <c r="U2676" s="53" t="s">
        <v>322</v>
      </c>
    </row>
    <row r="2677">
      <c r="A2677" s="54" t="s">
        <v>16355</v>
      </c>
      <c r="B2677" s="50" t="s">
        <v>14726</v>
      </c>
      <c r="C2677" s="51" t="s">
        <v>367</v>
      </c>
      <c r="D2677" s="51"/>
      <c r="E2677" s="51"/>
      <c r="F2677" s="51"/>
      <c r="G2677" s="50" t="s">
        <v>16356</v>
      </c>
      <c r="H2677" s="52">
        <v>44682.98611111111</v>
      </c>
      <c r="I2677" s="50"/>
      <c r="J2677" s="50"/>
      <c r="K2677" s="50"/>
      <c r="L2677" s="50"/>
      <c r="M2677" s="50" t="s">
        <v>14728</v>
      </c>
      <c r="N2677" s="50"/>
      <c r="O2677" s="53" t="s">
        <v>70</v>
      </c>
      <c r="P2677" s="55" t="s">
        <v>14729</v>
      </c>
      <c r="Q2677" s="50">
        <v>612.0</v>
      </c>
      <c r="R2677" s="50">
        <v>5001.0</v>
      </c>
      <c r="S2677" s="50"/>
      <c r="T2677" s="56" t="s">
        <v>16357</v>
      </c>
      <c r="U2677" s="53" t="s">
        <v>370</v>
      </c>
    </row>
    <row r="2678">
      <c r="A2678" s="54" t="s">
        <v>16358</v>
      </c>
      <c r="B2678" s="50" t="s">
        <v>16359</v>
      </c>
      <c r="C2678" s="51" t="s">
        <v>367</v>
      </c>
      <c r="D2678" s="51"/>
      <c r="E2678" s="51"/>
      <c r="F2678" s="51"/>
      <c r="G2678" s="50" t="s">
        <v>16360</v>
      </c>
      <c r="H2678" s="52">
        <v>44682.985821759255</v>
      </c>
      <c r="I2678" s="50"/>
      <c r="J2678" s="50"/>
      <c r="K2678" s="50"/>
      <c r="L2678" s="50"/>
      <c r="M2678" s="50" t="s">
        <v>16361</v>
      </c>
      <c r="N2678" s="50"/>
      <c r="O2678" s="53" t="s">
        <v>217</v>
      </c>
      <c r="P2678" s="55" t="s">
        <v>16362</v>
      </c>
      <c r="Q2678" s="50">
        <v>4388.0</v>
      </c>
      <c r="R2678" s="50">
        <v>3376.0</v>
      </c>
      <c r="S2678" s="50" t="s">
        <v>16363</v>
      </c>
      <c r="T2678" s="56" t="s">
        <v>16364</v>
      </c>
      <c r="U2678" s="53" t="s">
        <v>370</v>
      </c>
    </row>
    <row r="2679">
      <c r="A2679" s="54" t="s">
        <v>16365</v>
      </c>
      <c r="B2679" s="50" t="s">
        <v>16366</v>
      </c>
      <c r="C2679" s="51" t="s">
        <v>363</v>
      </c>
      <c r="D2679" s="51"/>
      <c r="E2679" s="51"/>
      <c r="F2679" s="51"/>
      <c r="G2679" s="50" t="s">
        <v>16367</v>
      </c>
      <c r="H2679" s="52">
        <v>44682.98576388889</v>
      </c>
      <c r="I2679" s="50"/>
      <c r="J2679" s="50"/>
      <c r="K2679" s="50"/>
      <c r="L2679" s="50"/>
      <c r="M2679" s="50" t="s">
        <v>16368</v>
      </c>
      <c r="N2679" s="50"/>
      <c r="O2679" s="53" t="s">
        <v>70</v>
      </c>
      <c r="P2679" s="55" t="s">
        <v>16369</v>
      </c>
      <c r="Q2679" s="50">
        <v>9373.0</v>
      </c>
      <c r="R2679" s="50">
        <v>10310.0</v>
      </c>
      <c r="S2679" s="50" t="s">
        <v>1064</v>
      </c>
      <c r="T2679" s="56" t="s">
        <v>16370</v>
      </c>
      <c r="U2679" s="53" t="s">
        <v>332</v>
      </c>
    </row>
    <row r="2680">
      <c r="A2680" s="54" t="s">
        <v>16371</v>
      </c>
      <c r="B2680" s="50" t="s">
        <v>16366</v>
      </c>
      <c r="C2680" s="51" t="s">
        <v>367</v>
      </c>
      <c r="D2680" s="51"/>
      <c r="E2680" s="51"/>
      <c r="F2680" s="51"/>
      <c r="G2680" s="50" t="s">
        <v>16372</v>
      </c>
      <c r="H2680" s="52">
        <v>44682.985613425924</v>
      </c>
      <c r="I2680" s="50"/>
      <c r="J2680" s="50"/>
      <c r="K2680" s="50"/>
      <c r="L2680" s="50"/>
      <c r="M2680" s="50" t="s">
        <v>16368</v>
      </c>
      <c r="N2680" s="50"/>
      <c r="O2680" s="53" t="s">
        <v>70</v>
      </c>
      <c r="P2680" s="55" t="s">
        <v>16369</v>
      </c>
      <c r="Q2680" s="50">
        <v>9373.0</v>
      </c>
      <c r="R2680" s="50">
        <v>10310.0</v>
      </c>
      <c r="S2680" s="50" t="s">
        <v>1064</v>
      </c>
      <c r="T2680" s="56" t="s">
        <v>16373</v>
      </c>
      <c r="U2680" s="53" t="s">
        <v>370</v>
      </c>
    </row>
    <row r="2681">
      <c r="A2681" s="54" t="s">
        <v>16374</v>
      </c>
      <c r="B2681" s="50" t="s">
        <v>16375</v>
      </c>
      <c r="C2681" s="51" t="s">
        <v>329</v>
      </c>
      <c r="D2681" s="51"/>
      <c r="E2681" s="51"/>
      <c r="F2681" s="51"/>
      <c r="G2681" s="50" t="s">
        <v>16376</v>
      </c>
      <c r="H2681" s="52">
        <v>44682.985081018516</v>
      </c>
      <c r="I2681" s="50"/>
      <c r="J2681" s="50"/>
      <c r="K2681" s="50"/>
      <c r="L2681" s="50"/>
      <c r="M2681" s="50" t="s">
        <v>16377</v>
      </c>
      <c r="N2681" s="50"/>
      <c r="O2681" s="53" t="s">
        <v>70</v>
      </c>
      <c r="P2681" s="55" t="s">
        <v>16378</v>
      </c>
      <c r="Q2681" s="50">
        <v>210.0</v>
      </c>
      <c r="R2681" s="50">
        <v>410.0</v>
      </c>
      <c r="S2681" s="50"/>
      <c r="T2681" s="56" t="s">
        <v>16379</v>
      </c>
      <c r="U2681" s="53" t="s">
        <v>332</v>
      </c>
    </row>
    <row r="2682">
      <c r="A2682" s="54" t="s">
        <v>16380</v>
      </c>
      <c r="B2682" s="50" t="s">
        <v>16381</v>
      </c>
      <c r="C2682" s="51" t="s">
        <v>367</v>
      </c>
      <c r="D2682" s="51"/>
      <c r="E2682" s="51"/>
      <c r="F2682" s="51"/>
      <c r="G2682" s="50" t="s">
        <v>16382</v>
      </c>
      <c r="H2682" s="52">
        <v>44682.98504629629</v>
      </c>
      <c r="I2682" s="50"/>
      <c r="J2682" s="50"/>
      <c r="K2682" s="50"/>
      <c r="L2682" s="50"/>
      <c r="M2682" s="50" t="s">
        <v>16383</v>
      </c>
      <c r="N2682" s="50"/>
      <c r="O2682" s="53" t="s">
        <v>92</v>
      </c>
      <c r="P2682" s="55" t="s">
        <v>16384</v>
      </c>
      <c r="Q2682" s="50">
        <v>5639.0</v>
      </c>
      <c r="R2682" s="50">
        <v>5821.0</v>
      </c>
      <c r="S2682" s="50" t="s">
        <v>16385</v>
      </c>
      <c r="T2682" s="56" t="s">
        <v>16386</v>
      </c>
      <c r="U2682" s="53" t="s">
        <v>370</v>
      </c>
    </row>
    <row r="2683">
      <c r="A2683" s="54" t="s">
        <v>16387</v>
      </c>
      <c r="B2683" s="50" t="s">
        <v>16388</v>
      </c>
      <c r="C2683" s="51" t="s">
        <v>367</v>
      </c>
      <c r="D2683" s="51"/>
      <c r="E2683" s="51"/>
      <c r="F2683" s="51"/>
      <c r="G2683" s="50" t="s">
        <v>16389</v>
      </c>
      <c r="H2683" s="52">
        <v>44682.98497685185</v>
      </c>
      <c r="I2683" s="50"/>
      <c r="J2683" s="50"/>
      <c r="K2683" s="50"/>
      <c r="L2683" s="50"/>
      <c r="M2683" s="50" t="s">
        <v>16390</v>
      </c>
      <c r="N2683" s="50"/>
      <c r="O2683" s="53" t="s">
        <v>92</v>
      </c>
      <c r="P2683" s="55" t="s">
        <v>16391</v>
      </c>
      <c r="Q2683" s="50">
        <v>99814.0</v>
      </c>
      <c r="R2683" s="50">
        <v>108935.0</v>
      </c>
      <c r="S2683" s="50" t="s">
        <v>5052</v>
      </c>
      <c r="T2683" s="56" t="s">
        <v>16392</v>
      </c>
      <c r="U2683" s="53" t="s">
        <v>370</v>
      </c>
    </row>
    <row r="2684">
      <c r="A2684" s="54" t="s">
        <v>16393</v>
      </c>
      <c r="B2684" s="50" t="s">
        <v>16394</v>
      </c>
      <c r="C2684" s="51" t="s">
        <v>16395</v>
      </c>
      <c r="D2684" s="51"/>
      <c r="E2684" s="51"/>
      <c r="F2684" s="51"/>
      <c r="G2684" s="50" t="s">
        <v>16396</v>
      </c>
      <c r="H2684" s="52">
        <v>44682.98489583333</v>
      </c>
      <c r="I2684" s="50"/>
      <c r="J2684" s="50"/>
      <c r="K2684" s="50" t="s">
        <v>3317</v>
      </c>
      <c r="L2684" s="50" t="s">
        <v>3318</v>
      </c>
      <c r="M2684" s="50" t="s">
        <v>16397</v>
      </c>
      <c r="N2684" s="50" t="s">
        <v>3426</v>
      </c>
      <c r="O2684" s="53" t="s">
        <v>70</v>
      </c>
      <c r="P2684" s="55" t="s">
        <v>16398</v>
      </c>
      <c r="Q2684" s="50">
        <v>3674.0</v>
      </c>
      <c r="R2684" s="50">
        <v>4197.0</v>
      </c>
      <c r="S2684" s="50" t="s">
        <v>16399</v>
      </c>
      <c r="T2684" s="56" t="s">
        <v>16400</v>
      </c>
      <c r="U2684" s="53" t="s">
        <v>16401</v>
      </c>
    </row>
    <row r="2685">
      <c r="A2685" s="54" t="s">
        <v>16402</v>
      </c>
      <c r="B2685" s="50" t="s">
        <v>4975</v>
      </c>
      <c r="C2685" s="51" t="s">
        <v>367</v>
      </c>
      <c r="D2685" s="51"/>
      <c r="E2685" s="51"/>
      <c r="F2685" s="51"/>
      <c r="G2685" s="50" t="s">
        <v>16403</v>
      </c>
      <c r="H2685" s="52">
        <v>44682.98484953704</v>
      </c>
      <c r="I2685" s="50"/>
      <c r="J2685" s="50"/>
      <c r="K2685" s="50"/>
      <c r="L2685" s="50"/>
      <c r="M2685" s="50" t="s">
        <v>4977</v>
      </c>
      <c r="N2685" s="50"/>
      <c r="O2685" s="53" t="s">
        <v>60</v>
      </c>
      <c r="P2685" s="55" t="s">
        <v>4978</v>
      </c>
      <c r="Q2685" s="50">
        <v>252.0</v>
      </c>
      <c r="R2685" s="50">
        <v>264.0</v>
      </c>
      <c r="S2685" s="50" t="s">
        <v>4979</v>
      </c>
      <c r="T2685" s="56" t="s">
        <v>16404</v>
      </c>
      <c r="U2685" s="53" t="s">
        <v>370</v>
      </c>
    </row>
    <row r="2686">
      <c r="A2686" s="54" t="s">
        <v>16405</v>
      </c>
      <c r="B2686" s="50" t="s">
        <v>16406</v>
      </c>
      <c r="C2686" s="51" t="s">
        <v>316</v>
      </c>
      <c r="D2686" s="51"/>
      <c r="E2686" s="51"/>
      <c r="F2686" s="51"/>
      <c r="G2686" s="50" t="s">
        <v>16407</v>
      </c>
      <c r="H2686" s="52">
        <v>44682.9846412037</v>
      </c>
      <c r="I2686" s="50"/>
      <c r="J2686" s="50"/>
      <c r="K2686" s="50"/>
      <c r="L2686" s="50"/>
      <c r="M2686" s="50" t="s">
        <v>16408</v>
      </c>
      <c r="N2686" s="50"/>
      <c r="O2686" s="53" t="s">
        <v>92</v>
      </c>
      <c r="P2686" s="55" t="s">
        <v>16409</v>
      </c>
      <c r="Q2686" s="50">
        <v>2598.0</v>
      </c>
      <c r="R2686" s="50">
        <v>3326.0</v>
      </c>
      <c r="S2686" s="50" t="s">
        <v>16410</v>
      </c>
      <c r="T2686" s="56" t="s">
        <v>16411</v>
      </c>
      <c r="U2686" s="53" t="s">
        <v>322</v>
      </c>
    </row>
    <row r="2687">
      <c r="A2687" s="54" t="s">
        <v>16412</v>
      </c>
      <c r="B2687" s="50" t="s">
        <v>16413</v>
      </c>
      <c r="C2687" s="51" t="s">
        <v>2920</v>
      </c>
      <c r="D2687" s="51"/>
      <c r="E2687" s="51"/>
      <c r="F2687" s="51"/>
      <c r="G2687" s="50" t="s">
        <v>16414</v>
      </c>
      <c r="H2687" s="52">
        <v>44682.98460648148</v>
      </c>
      <c r="I2687" s="50"/>
      <c r="J2687" s="50"/>
      <c r="K2687" s="50"/>
      <c r="L2687" s="50"/>
      <c r="M2687" s="50" t="s">
        <v>16415</v>
      </c>
      <c r="N2687" s="50"/>
      <c r="O2687" s="53" t="s">
        <v>70</v>
      </c>
      <c r="P2687" s="55" t="s">
        <v>16416</v>
      </c>
      <c r="Q2687" s="50">
        <v>105.0</v>
      </c>
      <c r="R2687" s="50">
        <v>625.0</v>
      </c>
      <c r="S2687" s="50" t="s">
        <v>16417</v>
      </c>
      <c r="T2687" s="56" t="s">
        <v>16418</v>
      </c>
      <c r="U2687" s="53" t="s">
        <v>2925</v>
      </c>
    </row>
    <row r="2688">
      <c r="A2688" s="54" t="s">
        <v>16419</v>
      </c>
      <c r="B2688" s="50" t="s">
        <v>15532</v>
      </c>
      <c r="C2688" s="51" t="s">
        <v>14882</v>
      </c>
      <c r="D2688" s="51"/>
      <c r="E2688" s="51"/>
      <c r="F2688" s="51"/>
      <c r="G2688" s="50" t="s">
        <v>16420</v>
      </c>
      <c r="H2688" s="52">
        <v>44682.98453703704</v>
      </c>
      <c r="I2688" s="50"/>
      <c r="J2688" s="50"/>
      <c r="K2688" s="50"/>
      <c r="L2688" s="50"/>
      <c r="M2688" s="50" t="s">
        <v>15531</v>
      </c>
      <c r="N2688" s="50"/>
      <c r="O2688" s="53" t="s">
        <v>60</v>
      </c>
      <c r="P2688" s="55" t="s">
        <v>16421</v>
      </c>
      <c r="Q2688" s="50">
        <v>1580.0</v>
      </c>
      <c r="R2688" s="50">
        <v>2104.0</v>
      </c>
      <c r="S2688" s="50"/>
      <c r="T2688" s="56" t="s">
        <v>16422</v>
      </c>
      <c r="U2688" s="53" t="s">
        <v>14888</v>
      </c>
    </row>
    <row r="2689">
      <c r="A2689" s="54" t="s">
        <v>16423</v>
      </c>
      <c r="B2689" s="50" t="s">
        <v>16406</v>
      </c>
      <c r="C2689" s="51" t="s">
        <v>363</v>
      </c>
      <c r="D2689" s="51"/>
      <c r="E2689" s="51"/>
      <c r="F2689" s="51"/>
      <c r="G2689" s="50" t="s">
        <v>16424</v>
      </c>
      <c r="H2689" s="52">
        <v>44682.984375</v>
      </c>
      <c r="I2689" s="50"/>
      <c r="J2689" s="50"/>
      <c r="K2689" s="50"/>
      <c r="L2689" s="50"/>
      <c r="M2689" s="50" t="s">
        <v>16408</v>
      </c>
      <c r="N2689" s="50"/>
      <c r="O2689" s="53" t="s">
        <v>92</v>
      </c>
      <c r="P2689" s="55" t="s">
        <v>16409</v>
      </c>
      <c r="Q2689" s="50">
        <v>2598.0</v>
      </c>
      <c r="R2689" s="50">
        <v>3326.0</v>
      </c>
      <c r="S2689" s="50" t="s">
        <v>16410</v>
      </c>
      <c r="T2689" s="56" t="s">
        <v>16425</v>
      </c>
      <c r="U2689" s="53" t="s">
        <v>332</v>
      </c>
    </row>
    <row r="2690">
      <c r="A2690" s="54" t="s">
        <v>16426</v>
      </c>
      <c r="B2690" s="50" t="s">
        <v>16427</v>
      </c>
      <c r="C2690" s="51" t="s">
        <v>316</v>
      </c>
      <c r="D2690" s="51"/>
      <c r="E2690" s="51"/>
      <c r="F2690" s="51"/>
      <c r="G2690" s="50" t="s">
        <v>16428</v>
      </c>
      <c r="H2690" s="52">
        <v>44682.98422453704</v>
      </c>
      <c r="I2690" s="50"/>
      <c r="J2690" s="50"/>
      <c r="K2690" s="50"/>
      <c r="L2690" s="50"/>
      <c r="M2690" s="50" t="s">
        <v>16429</v>
      </c>
      <c r="N2690" s="50"/>
      <c r="O2690" s="53" t="s">
        <v>60</v>
      </c>
      <c r="P2690" s="55" t="s">
        <v>354</v>
      </c>
      <c r="Q2690" s="50">
        <v>7.0</v>
      </c>
      <c r="R2690" s="50">
        <v>21.0</v>
      </c>
      <c r="S2690" s="50"/>
      <c r="T2690" s="56" t="s">
        <v>16430</v>
      </c>
      <c r="U2690" s="53" t="s">
        <v>322</v>
      </c>
    </row>
    <row r="2691">
      <c r="A2691" s="54" t="s">
        <v>16431</v>
      </c>
      <c r="B2691" s="50" t="s">
        <v>16432</v>
      </c>
      <c r="C2691" s="51" t="s">
        <v>16433</v>
      </c>
      <c r="D2691" s="51"/>
      <c r="E2691" s="51"/>
      <c r="F2691" s="51"/>
      <c r="G2691" s="50" t="s">
        <v>16434</v>
      </c>
      <c r="H2691" s="52">
        <v>44682.98415509259</v>
      </c>
      <c r="I2691" s="50"/>
      <c r="J2691" s="50"/>
      <c r="K2691" s="50"/>
      <c r="L2691" s="50"/>
      <c r="M2691" s="50" t="s">
        <v>16435</v>
      </c>
      <c r="N2691" s="50"/>
      <c r="O2691" s="53" t="s">
        <v>60</v>
      </c>
      <c r="P2691" s="55" t="s">
        <v>16436</v>
      </c>
      <c r="Q2691" s="50">
        <v>1165.0</v>
      </c>
      <c r="R2691" s="50">
        <v>1677.0</v>
      </c>
      <c r="S2691" s="50" t="s">
        <v>5009</v>
      </c>
      <c r="T2691" s="56" t="s">
        <v>16437</v>
      </c>
      <c r="U2691" s="53" t="s">
        <v>16438</v>
      </c>
    </row>
    <row r="2692">
      <c r="A2692" s="54" t="s">
        <v>16439</v>
      </c>
      <c r="B2692" s="50" t="s">
        <v>16440</v>
      </c>
      <c r="C2692" s="51" t="s">
        <v>367</v>
      </c>
      <c r="D2692" s="51"/>
      <c r="E2692" s="51"/>
      <c r="F2692" s="51"/>
      <c r="G2692" s="50" t="s">
        <v>16441</v>
      </c>
      <c r="H2692" s="52">
        <v>44682.98390046296</v>
      </c>
      <c r="I2692" s="50"/>
      <c r="J2692" s="50"/>
      <c r="K2692" s="50"/>
      <c r="L2692" s="50"/>
      <c r="M2692" s="50" t="s">
        <v>16442</v>
      </c>
      <c r="N2692" s="50"/>
      <c r="O2692" s="53" t="s">
        <v>70</v>
      </c>
      <c r="P2692" s="55" t="s">
        <v>16443</v>
      </c>
      <c r="Q2692" s="50">
        <v>220.0</v>
      </c>
      <c r="R2692" s="50">
        <v>115.0</v>
      </c>
      <c r="S2692" s="50" t="s">
        <v>12394</v>
      </c>
      <c r="T2692" s="56" t="s">
        <v>16444</v>
      </c>
      <c r="U2692" s="53" t="s">
        <v>370</v>
      </c>
    </row>
    <row r="2693">
      <c r="A2693" s="54" t="s">
        <v>16445</v>
      </c>
      <c r="B2693" s="50" t="s">
        <v>16446</v>
      </c>
      <c r="C2693" s="51" t="s">
        <v>367</v>
      </c>
      <c r="D2693" s="51"/>
      <c r="E2693" s="51"/>
      <c r="F2693" s="51"/>
      <c r="G2693" s="50" t="s">
        <v>16447</v>
      </c>
      <c r="H2693" s="52">
        <v>44682.98369212963</v>
      </c>
      <c r="I2693" s="50"/>
      <c r="J2693" s="50"/>
      <c r="K2693" s="50"/>
      <c r="L2693" s="50"/>
      <c r="M2693" s="50" t="s">
        <v>16448</v>
      </c>
      <c r="N2693" s="50"/>
      <c r="O2693" s="53" t="s">
        <v>92</v>
      </c>
      <c r="P2693" s="55" t="s">
        <v>16449</v>
      </c>
      <c r="Q2693" s="50">
        <v>486.0</v>
      </c>
      <c r="R2693" s="50">
        <v>1183.0</v>
      </c>
      <c r="S2693" s="50" t="s">
        <v>379</v>
      </c>
      <c r="T2693" s="56" t="s">
        <v>16450</v>
      </c>
      <c r="U2693" s="53" t="s">
        <v>370</v>
      </c>
    </row>
    <row r="2694">
      <c r="A2694" s="54" t="s">
        <v>16451</v>
      </c>
      <c r="B2694" s="50" t="s">
        <v>16452</v>
      </c>
      <c r="C2694" s="51" t="s">
        <v>363</v>
      </c>
      <c r="D2694" s="51"/>
      <c r="E2694" s="51"/>
      <c r="F2694" s="51"/>
      <c r="G2694" s="50" t="s">
        <v>16453</v>
      </c>
      <c r="H2694" s="52">
        <v>44682.9834837963</v>
      </c>
      <c r="I2694" s="50"/>
      <c r="J2694" s="50"/>
      <c r="K2694" s="50"/>
      <c r="L2694" s="50"/>
      <c r="M2694" s="50" t="s">
        <v>16454</v>
      </c>
      <c r="N2694" s="50"/>
      <c r="O2694" s="53" t="s">
        <v>217</v>
      </c>
      <c r="P2694" s="55" t="s">
        <v>16455</v>
      </c>
      <c r="Q2694" s="50">
        <v>876.0</v>
      </c>
      <c r="R2694" s="50">
        <v>1557.0</v>
      </c>
      <c r="S2694" s="50" t="s">
        <v>16456</v>
      </c>
      <c r="T2694" s="56" t="s">
        <v>16457</v>
      </c>
      <c r="U2694" s="53" t="s">
        <v>332</v>
      </c>
    </row>
    <row r="2695">
      <c r="A2695" s="54" t="s">
        <v>16458</v>
      </c>
      <c r="B2695" s="50" t="s">
        <v>16459</v>
      </c>
      <c r="C2695" s="51" t="s">
        <v>316</v>
      </c>
      <c r="D2695" s="51"/>
      <c r="E2695" s="51"/>
      <c r="F2695" s="51"/>
      <c r="G2695" s="50" t="s">
        <v>16460</v>
      </c>
      <c r="H2695" s="52">
        <v>44682.98341435185</v>
      </c>
      <c r="I2695" s="50"/>
      <c r="J2695" s="50"/>
      <c r="K2695" s="50"/>
      <c r="L2695" s="50"/>
      <c r="M2695" s="50" t="s">
        <v>16461</v>
      </c>
      <c r="N2695" s="50"/>
      <c r="O2695" s="53" t="s">
        <v>92</v>
      </c>
      <c r="P2695" s="55" t="s">
        <v>354</v>
      </c>
      <c r="Q2695" s="50">
        <v>65.0</v>
      </c>
      <c r="R2695" s="50">
        <v>91.0</v>
      </c>
      <c r="S2695" s="50"/>
      <c r="T2695" s="56" t="s">
        <v>16462</v>
      </c>
      <c r="U2695" s="53" t="s">
        <v>322</v>
      </c>
    </row>
    <row r="2696">
      <c r="A2696" s="54" t="s">
        <v>16463</v>
      </c>
      <c r="B2696" s="50" t="s">
        <v>16464</v>
      </c>
      <c r="C2696" s="51" t="s">
        <v>367</v>
      </c>
      <c r="D2696" s="51"/>
      <c r="E2696" s="51"/>
      <c r="F2696" s="51"/>
      <c r="G2696" s="50" t="s">
        <v>16465</v>
      </c>
      <c r="H2696" s="52">
        <v>44682.983402777776</v>
      </c>
      <c r="I2696" s="50"/>
      <c r="J2696" s="50"/>
      <c r="K2696" s="50"/>
      <c r="L2696" s="50"/>
      <c r="M2696" s="50" t="s">
        <v>16466</v>
      </c>
      <c r="N2696" s="50"/>
      <c r="O2696" s="53" t="s">
        <v>60</v>
      </c>
      <c r="P2696" s="55" t="s">
        <v>16467</v>
      </c>
      <c r="Q2696" s="50">
        <v>602.0</v>
      </c>
      <c r="R2696" s="50">
        <v>508.0</v>
      </c>
      <c r="S2696" s="50" t="s">
        <v>8210</v>
      </c>
      <c r="T2696" s="56" t="s">
        <v>16468</v>
      </c>
      <c r="U2696" s="53" t="s">
        <v>370</v>
      </c>
    </row>
    <row r="2697">
      <c r="A2697" s="54" t="s">
        <v>16469</v>
      </c>
      <c r="B2697" s="50" t="s">
        <v>16470</v>
      </c>
      <c r="C2697" s="51" t="s">
        <v>367</v>
      </c>
      <c r="D2697" s="51"/>
      <c r="E2697" s="51"/>
      <c r="F2697" s="51"/>
      <c r="G2697" s="50" t="s">
        <v>16465</v>
      </c>
      <c r="H2697" s="52">
        <v>44682.983402777776</v>
      </c>
      <c r="I2697" s="50"/>
      <c r="J2697" s="50"/>
      <c r="K2697" s="50"/>
      <c r="L2697" s="50"/>
      <c r="M2697" s="50" t="s">
        <v>16471</v>
      </c>
      <c r="N2697" s="50"/>
      <c r="O2697" s="53" t="s">
        <v>92</v>
      </c>
      <c r="P2697" s="55" t="s">
        <v>16472</v>
      </c>
      <c r="Q2697" s="50">
        <v>276.0</v>
      </c>
      <c r="R2697" s="50">
        <v>575.0</v>
      </c>
      <c r="S2697" s="50" t="s">
        <v>432</v>
      </c>
      <c r="T2697" s="56" t="s">
        <v>16473</v>
      </c>
      <c r="U2697" s="53" t="s">
        <v>370</v>
      </c>
    </row>
    <row r="2698">
      <c r="A2698" s="54" t="s">
        <v>16474</v>
      </c>
      <c r="B2698" s="50" t="s">
        <v>14434</v>
      </c>
      <c r="C2698" s="51" t="s">
        <v>16475</v>
      </c>
      <c r="D2698" s="51"/>
      <c r="E2698" s="51"/>
      <c r="F2698" s="51"/>
      <c r="G2698" s="50" t="s">
        <v>16476</v>
      </c>
      <c r="H2698" s="52">
        <v>44682.98337962963</v>
      </c>
      <c r="I2698" s="50"/>
      <c r="J2698" s="50"/>
      <c r="K2698" s="50" t="s">
        <v>8580</v>
      </c>
      <c r="L2698" s="50" t="s">
        <v>8581</v>
      </c>
      <c r="M2698" s="50" t="s">
        <v>14437</v>
      </c>
      <c r="N2698" s="50" t="s">
        <v>8583</v>
      </c>
      <c r="O2698" s="53" t="s">
        <v>70</v>
      </c>
      <c r="P2698" s="55" t="s">
        <v>14438</v>
      </c>
      <c r="Q2698" s="50">
        <v>3323.0</v>
      </c>
      <c r="R2698" s="50">
        <v>5000.0</v>
      </c>
      <c r="S2698" s="50" t="s">
        <v>14439</v>
      </c>
      <c r="T2698" s="56" t="s">
        <v>16477</v>
      </c>
      <c r="U2698" s="53" t="s">
        <v>16478</v>
      </c>
    </row>
    <row r="2699">
      <c r="A2699" s="54" t="s">
        <v>16479</v>
      </c>
      <c r="B2699" s="50" t="s">
        <v>16480</v>
      </c>
      <c r="C2699" s="51" t="s">
        <v>367</v>
      </c>
      <c r="D2699" s="51"/>
      <c r="E2699" s="51"/>
      <c r="F2699" s="51"/>
      <c r="G2699" s="50" t="s">
        <v>16476</v>
      </c>
      <c r="H2699" s="52">
        <v>44682.98337962963</v>
      </c>
      <c r="I2699" s="50"/>
      <c r="J2699" s="50"/>
      <c r="K2699" s="50"/>
      <c r="L2699" s="50"/>
      <c r="M2699" s="50" t="s">
        <v>16481</v>
      </c>
      <c r="N2699" s="50"/>
      <c r="O2699" s="53" t="s">
        <v>60</v>
      </c>
      <c r="P2699" s="55" t="s">
        <v>16482</v>
      </c>
      <c r="Q2699" s="50">
        <v>3985.0</v>
      </c>
      <c r="R2699" s="50">
        <v>5001.0</v>
      </c>
      <c r="S2699" s="50" t="s">
        <v>16483</v>
      </c>
      <c r="T2699" s="56" t="s">
        <v>16484</v>
      </c>
      <c r="U2699" s="53" t="s">
        <v>370</v>
      </c>
    </row>
    <row r="2700">
      <c r="A2700" s="54" t="s">
        <v>16485</v>
      </c>
      <c r="B2700" s="50" t="s">
        <v>16486</v>
      </c>
      <c r="C2700" s="51" t="s">
        <v>367</v>
      </c>
      <c r="D2700" s="51"/>
      <c r="E2700" s="51"/>
      <c r="F2700" s="51"/>
      <c r="G2700" s="50" t="s">
        <v>16487</v>
      </c>
      <c r="H2700" s="52">
        <v>44682.98327546296</v>
      </c>
      <c r="I2700" s="50"/>
      <c r="J2700" s="50"/>
      <c r="K2700" s="50"/>
      <c r="L2700" s="50"/>
      <c r="M2700" s="50" t="s">
        <v>16488</v>
      </c>
      <c r="N2700" s="50"/>
      <c r="O2700" s="53" t="s">
        <v>70</v>
      </c>
      <c r="P2700" s="55" t="s">
        <v>16489</v>
      </c>
      <c r="Q2700" s="50">
        <v>223.0</v>
      </c>
      <c r="R2700" s="50">
        <v>1048.0</v>
      </c>
      <c r="S2700" s="50"/>
      <c r="T2700" s="56" t="s">
        <v>16490</v>
      </c>
      <c r="U2700" s="53" t="s">
        <v>370</v>
      </c>
    </row>
    <row r="2701">
      <c r="A2701" s="54" t="s">
        <v>16491</v>
      </c>
      <c r="B2701" s="50" t="s">
        <v>16492</v>
      </c>
      <c r="C2701" s="51" t="s">
        <v>367</v>
      </c>
      <c r="D2701" s="51"/>
      <c r="E2701" s="51"/>
      <c r="F2701" s="51"/>
      <c r="G2701" s="50" t="s">
        <v>16493</v>
      </c>
      <c r="H2701" s="52">
        <v>44682.98298611111</v>
      </c>
      <c r="I2701" s="50"/>
      <c r="J2701" s="50"/>
      <c r="K2701" s="50"/>
      <c r="L2701" s="50"/>
      <c r="M2701" s="50" t="s">
        <v>16494</v>
      </c>
      <c r="N2701" s="50"/>
      <c r="O2701" s="53" t="s">
        <v>70</v>
      </c>
      <c r="P2701" s="55" t="s">
        <v>16495</v>
      </c>
      <c r="Q2701" s="50">
        <v>3927.0</v>
      </c>
      <c r="R2701" s="50">
        <v>5002.0</v>
      </c>
      <c r="S2701" s="50" t="s">
        <v>16496</v>
      </c>
      <c r="T2701" s="56" t="s">
        <v>16497</v>
      </c>
      <c r="U2701" s="53" t="s">
        <v>370</v>
      </c>
    </row>
    <row r="2702">
      <c r="A2702" s="54" t="s">
        <v>16498</v>
      </c>
      <c r="B2702" s="50" t="s">
        <v>16499</v>
      </c>
      <c r="C2702" s="51" t="s">
        <v>367</v>
      </c>
      <c r="D2702" s="51"/>
      <c r="E2702" s="51"/>
      <c r="F2702" s="51"/>
      <c r="G2702" s="50" t="s">
        <v>16500</v>
      </c>
      <c r="H2702" s="52">
        <v>44682.98287037037</v>
      </c>
      <c r="I2702" s="50"/>
      <c r="J2702" s="50"/>
      <c r="K2702" s="50"/>
      <c r="L2702" s="50"/>
      <c r="M2702" s="50" t="s">
        <v>16501</v>
      </c>
      <c r="N2702" s="50"/>
      <c r="O2702" s="53" t="s">
        <v>92</v>
      </c>
      <c r="P2702" s="55" t="s">
        <v>16502</v>
      </c>
      <c r="Q2702" s="50">
        <v>4093.0</v>
      </c>
      <c r="R2702" s="50">
        <v>4123.0</v>
      </c>
      <c r="S2702" s="50"/>
      <c r="T2702" s="56" t="s">
        <v>16503</v>
      </c>
      <c r="U2702" s="53" t="s">
        <v>370</v>
      </c>
    </row>
    <row r="2703">
      <c r="A2703" s="54" t="s">
        <v>16504</v>
      </c>
      <c r="B2703" s="50" t="s">
        <v>16505</v>
      </c>
      <c r="C2703" s="51" t="s">
        <v>367</v>
      </c>
      <c r="D2703" s="51"/>
      <c r="E2703" s="51"/>
      <c r="F2703" s="51"/>
      <c r="G2703" s="50" t="s">
        <v>16506</v>
      </c>
      <c r="H2703" s="52">
        <v>44682.98284722222</v>
      </c>
      <c r="I2703" s="50"/>
      <c r="J2703" s="50"/>
      <c r="K2703" s="50"/>
      <c r="L2703" s="50"/>
      <c r="M2703" s="50" t="s">
        <v>16507</v>
      </c>
      <c r="N2703" s="50"/>
      <c r="O2703" s="53" t="s">
        <v>70</v>
      </c>
      <c r="P2703" s="55" t="s">
        <v>16508</v>
      </c>
      <c r="Q2703" s="50">
        <v>35.0</v>
      </c>
      <c r="R2703" s="50">
        <v>100.0</v>
      </c>
      <c r="S2703" s="50" t="s">
        <v>219</v>
      </c>
      <c r="T2703" s="56" t="s">
        <v>16509</v>
      </c>
      <c r="U2703" s="53" t="s">
        <v>370</v>
      </c>
    </row>
    <row r="2704">
      <c r="A2704" s="54" t="s">
        <v>16510</v>
      </c>
      <c r="B2704" s="50" t="s">
        <v>16499</v>
      </c>
      <c r="C2704" s="51" t="s">
        <v>316</v>
      </c>
      <c r="D2704" s="51"/>
      <c r="E2704" s="51"/>
      <c r="F2704" s="51"/>
      <c r="G2704" s="50" t="s">
        <v>16511</v>
      </c>
      <c r="H2704" s="52">
        <v>44682.98280092592</v>
      </c>
      <c r="I2704" s="50"/>
      <c r="J2704" s="50"/>
      <c r="K2704" s="50"/>
      <c r="L2704" s="50"/>
      <c r="M2704" s="50" t="s">
        <v>16501</v>
      </c>
      <c r="N2704" s="50"/>
      <c r="O2704" s="53" t="s">
        <v>92</v>
      </c>
      <c r="P2704" s="55" t="s">
        <v>16502</v>
      </c>
      <c r="Q2704" s="50">
        <v>4093.0</v>
      </c>
      <c r="R2704" s="50">
        <v>4123.0</v>
      </c>
      <c r="S2704" s="50"/>
      <c r="T2704" s="56" t="s">
        <v>16512</v>
      </c>
      <c r="U2704" s="53" t="s">
        <v>322</v>
      </c>
    </row>
    <row r="2705">
      <c r="A2705" s="54" t="s">
        <v>16513</v>
      </c>
      <c r="B2705" s="50" t="s">
        <v>16432</v>
      </c>
      <c r="C2705" s="51" t="s">
        <v>4372</v>
      </c>
      <c r="D2705" s="51"/>
      <c r="E2705" s="51"/>
      <c r="F2705" s="51"/>
      <c r="G2705" s="50" t="s">
        <v>16514</v>
      </c>
      <c r="H2705" s="52">
        <v>44682.98275462963</v>
      </c>
      <c r="I2705" s="50"/>
      <c r="J2705" s="50"/>
      <c r="K2705" s="50"/>
      <c r="L2705" s="50"/>
      <c r="M2705" s="50" t="s">
        <v>16435</v>
      </c>
      <c r="N2705" s="50"/>
      <c r="O2705" s="53" t="s">
        <v>60</v>
      </c>
      <c r="P2705" s="55" t="s">
        <v>16436</v>
      </c>
      <c r="Q2705" s="50">
        <v>1165.0</v>
      </c>
      <c r="R2705" s="50">
        <v>1677.0</v>
      </c>
      <c r="S2705" s="50" t="s">
        <v>5009</v>
      </c>
      <c r="T2705" s="56" t="s">
        <v>16515</v>
      </c>
      <c r="U2705" s="53" t="s">
        <v>4378</v>
      </c>
    </row>
    <row r="2706">
      <c r="A2706" s="54" t="s">
        <v>16516</v>
      </c>
      <c r="B2706" s="50" t="s">
        <v>16517</v>
      </c>
      <c r="C2706" s="51" t="s">
        <v>367</v>
      </c>
      <c r="D2706" s="51"/>
      <c r="E2706" s="51"/>
      <c r="F2706" s="51"/>
      <c r="G2706" s="50" t="s">
        <v>16518</v>
      </c>
      <c r="H2706" s="52">
        <v>44682.98266203704</v>
      </c>
      <c r="I2706" s="50"/>
      <c r="J2706" s="50"/>
      <c r="K2706" s="50"/>
      <c r="L2706" s="50"/>
      <c r="M2706" s="50" t="s">
        <v>16519</v>
      </c>
      <c r="N2706" s="50"/>
      <c r="O2706" s="53" t="s">
        <v>70</v>
      </c>
      <c r="P2706" s="55" t="s">
        <v>16520</v>
      </c>
      <c r="Q2706" s="50">
        <v>3608.0</v>
      </c>
      <c r="R2706" s="50">
        <v>4805.0</v>
      </c>
      <c r="S2706" s="50"/>
      <c r="T2706" s="56" t="s">
        <v>16521</v>
      </c>
      <c r="U2706" s="53" t="s">
        <v>370</v>
      </c>
    </row>
    <row r="2707">
      <c r="A2707" s="54" t="s">
        <v>16522</v>
      </c>
      <c r="B2707" s="50" t="s">
        <v>16452</v>
      </c>
      <c r="C2707" s="51" t="s">
        <v>316</v>
      </c>
      <c r="D2707" s="51"/>
      <c r="E2707" s="51"/>
      <c r="F2707" s="51"/>
      <c r="G2707" s="50" t="s">
        <v>16523</v>
      </c>
      <c r="H2707" s="52">
        <v>44682.982581018514</v>
      </c>
      <c r="I2707" s="50"/>
      <c r="J2707" s="50"/>
      <c r="K2707" s="50"/>
      <c r="L2707" s="50"/>
      <c r="M2707" s="50" t="s">
        <v>16454</v>
      </c>
      <c r="N2707" s="50"/>
      <c r="O2707" s="53" t="s">
        <v>217</v>
      </c>
      <c r="P2707" s="55" t="s">
        <v>16455</v>
      </c>
      <c r="Q2707" s="50">
        <v>876.0</v>
      </c>
      <c r="R2707" s="50">
        <v>1557.0</v>
      </c>
      <c r="S2707" s="50" t="s">
        <v>16456</v>
      </c>
      <c r="T2707" s="56" t="s">
        <v>16524</v>
      </c>
      <c r="U2707" s="53" t="s">
        <v>322</v>
      </c>
    </row>
    <row r="2708">
      <c r="A2708" s="54" t="s">
        <v>16525</v>
      </c>
      <c r="B2708" s="50" t="s">
        <v>16526</v>
      </c>
      <c r="C2708" s="51" t="s">
        <v>316</v>
      </c>
      <c r="D2708" s="51"/>
      <c r="E2708" s="51"/>
      <c r="F2708" s="51"/>
      <c r="G2708" s="50" t="s">
        <v>16527</v>
      </c>
      <c r="H2708" s="52">
        <v>44682.982569444444</v>
      </c>
      <c r="I2708" s="50"/>
      <c r="J2708" s="50"/>
      <c r="K2708" s="50"/>
      <c r="L2708" s="50"/>
      <c r="M2708" s="50" t="s">
        <v>16528</v>
      </c>
      <c r="N2708" s="50"/>
      <c r="O2708" s="53" t="s">
        <v>92</v>
      </c>
      <c r="P2708" s="55" t="s">
        <v>16529</v>
      </c>
      <c r="Q2708" s="50">
        <v>3391.0</v>
      </c>
      <c r="R2708" s="50">
        <v>3564.0</v>
      </c>
      <c r="S2708" s="50" t="s">
        <v>16530</v>
      </c>
      <c r="T2708" s="56" t="s">
        <v>16531</v>
      </c>
      <c r="U2708" s="53" t="s">
        <v>322</v>
      </c>
    </row>
    <row r="2709">
      <c r="A2709" s="54" t="s">
        <v>16532</v>
      </c>
      <c r="B2709" s="50" t="s">
        <v>6603</v>
      </c>
      <c r="C2709" s="51" t="s">
        <v>16533</v>
      </c>
      <c r="D2709" s="51"/>
      <c r="E2709" s="51"/>
      <c r="F2709" s="51"/>
      <c r="G2709" s="50" t="s">
        <v>16534</v>
      </c>
      <c r="H2709" s="52">
        <v>44682.98233796297</v>
      </c>
      <c r="I2709" s="50"/>
      <c r="J2709" s="50"/>
      <c r="K2709" s="50"/>
      <c r="L2709" s="50"/>
      <c r="M2709" s="50" t="s">
        <v>6606</v>
      </c>
      <c r="N2709" s="50"/>
      <c r="O2709" s="53" t="s">
        <v>92</v>
      </c>
      <c r="P2709" s="55" t="s">
        <v>6607</v>
      </c>
      <c r="Q2709" s="50">
        <v>908.0</v>
      </c>
      <c r="R2709" s="50">
        <v>420.0</v>
      </c>
      <c r="S2709" s="50" t="s">
        <v>129</v>
      </c>
      <c r="T2709" s="56" t="s">
        <v>16535</v>
      </c>
      <c r="U2709" s="53" t="s">
        <v>16536</v>
      </c>
    </row>
    <row r="2710">
      <c r="A2710" s="54" t="s">
        <v>16537</v>
      </c>
      <c r="B2710" s="50" t="s">
        <v>13521</v>
      </c>
      <c r="C2710" s="51" t="s">
        <v>316</v>
      </c>
      <c r="D2710" s="51"/>
      <c r="E2710" s="51"/>
      <c r="F2710" s="51"/>
      <c r="G2710" s="50" t="s">
        <v>16538</v>
      </c>
      <c r="H2710" s="52">
        <v>44682.982199074075</v>
      </c>
      <c r="I2710" s="50"/>
      <c r="J2710" s="50"/>
      <c r="K2710" s="50"/>
      <c r="L2710" s="50"/>
      <c r="M2710" s="50" t="s">
        <v>13523</v>
      </c>
      <c r="N2710" s="50"/>
      <c r="O2710" s="53" t="s">
        <v>70</v>
      </c>
      <c r="P2710" s="55" t="s">
        <v>13524</v>
      </c>
      <c r="Q2710" s="50">
        <v>1755.0</v>
      </c>
      <c r="R2710" s="50">
        <v>2213.0</v>
      </c>
      <c r="S2710" s="50" t="s">
        <v>13525</v>
      </c>
      <c r="T2710" s="56" t="s">
        <v>16539</v>
      </c>
      <c r="U2710" s="53" t="s">
        <v>322</v>
      </c>
    </row>
    <row r="2711">
      <c r="A2711" s="54" t="s">
        <v>16540</v>
      </c>
      <c r="B2711" s="50" t="s">
        <v>16541</v>
      </c>
      <c r="C2711" s="51" t="s">
        <v>15219</v>
      </c>
      <c r="D2711" s="51"/>
      <c r="E2711" s="51"/>
      <c r="F2711" s="51"/>
      <c r="G2711" s="50" t="s">
        <v>16538</v>
      </c>
      <c r="H2711" s="52">
        <v>44682.982199074075</v>
      </c>
      <c r="I2711" s="50"/>
      <c r="J2711" s="50"/>
      <c r="K2711" s="50"/>
      <c r="L2711" s="50"/>
      <c r="M2711" s="50" t="s">
        <v>16542</v>
      </c>
      <c r="N2711" s="50"/>
      <c r="O2711" s="53" t="s">
        <v>92</v>
      </c>
      <c r="P2711" s="55" t="s">
        <v>354</v>
      </c>
      <c r="Q2711" s="50">
        <v>4.0</v>
      </c>
      <c r="R2711" s="50">
        <v>26.0</v>
      </c>
      <c r="S2711" s="50"/>
      <c r="T2711" s="56" t="s">
        <v>16543</v>
      </c>
      <c r="U2711" s="53" t="s">
        <v>15224</v>
      </c>
    </row>
    <row r="2712">
      <c r="A2712" s="54" t="s">
        <v>16544</v>
      </c>
      <c r="B2712" s="50" t="s">
        <v>16545</v>
      </c>
      <c r="C2712" s="51" t="s">
        <v>367</v>
      </c>
      <c r="D2712" s="51"/>
      <c r="E2712" s="51"/>
      <c r="F2712" s="51"/>
      <c r="G2712" s="50" t="s">
        <v>16546</v>
      </c>
      <c r="H2712" s="52">
        <v>44682.982037037036</v>
      </c>
      <c r="I2712" s="50"/>
      <c r="J2712" s="50"/>
      <c r="K2712" s="50"/>
      <c r="L2712" s="50"/>
      <c r="M2712" s="50" t="s">
        <v>16547</v>
      </c>
      <c r="N2712" s="50"/>
      <c r="O2712" s="53" t="s">
        <v>70</v>
      </c>
      <c r="P2712" s="55" t="s">
        <v>16548</v>
      </c>
      <c r="Q2712" s="50">
        <v>1871.0</v>
      </c>
      <c r="R2712" s="50">
        <v>3855.0</v>
      </c>
      <c r="S2712" s="50" t="s">
        <v>16549</v>
      </c>
      <c r="T2712" s="56" t="s">
        <v>16550</v>
      </c>
      <c r="U2712" s="53" t="s">
        <v>370</v>
      </c>
    </row>
    <row r="2713">
      <c r="A2713" s="54" t="s">
        <v>16551</v>
      </c>
      <c r="B2713" s="50" t="s">
        <v>16552</v>
      </c>
      <c r="C2713" s="51" t="s">
        <v>16553</v>
      </c>
      <c r="D2713" s="51"/>
      <c r="E2713" s="51"/>
      <c r="F2713" s="51"/>
      <c r="G2713" s="50" t="s">
        <v>16554</v>
      </c>
      <c r="H2713" s="52">
        <v>44682.98190972222</v>
      </c>
      <c r="I2713" s="50"/>
      <c r="J2713" s="50"/>
      <c r="K2713" s="50"/>
      <c r="L2713" s="50"/>
      <c r="M2713" s="50" t="s">
        <v>16555</v>
      </c>
      <c r="N2713" s="50"/>
      <c r="O2713" s="53" t="s">
        <v>60</v>
      </c>
      <c r="P2713" s="55" t="s">
        <v>16556</v>
      </c>
      <c r="Q2713" s="50">
        <v>815.0</v>
      </c>
      <c r="R2713" s="50">
        <v>804.0</v>
      </c>
      <c r="S2713" s="50" t="s">
        <v>1311</v>
      </c>
      <c r="T2713" s="56" t="s">
        <v>16557</v>
      </c>
      <c r="U2713" s="53" t="s">
        <v>16558</v>
      </c>
    </row>
    <row r="2714">
      <c r="A2714" s="54" t="s">
        <v>16559</v>
      </c>
      <c r="B2714" s="50" t="s">
        <v>16560</v>
      </c>
      <c r="C2714" s="51" t="s">
        <v>316</v>
      </c>
      <c r="D2714" s="51"/>
      <c r="E2714" s="51"/>
      <c r="F2714" s="51"/>
      <c r="G2714" s="50" t="s">
        <v>16561</v>
      </c>
      <c r="H2714" s="52">
        <v>44682.98114583333</v>
      </c>
      <c r="I2714" s="50"/>
      <c r="J2714" s="50"/>
      <c r="K2714" s="50"/>
      <c r="L2714" s="50"/>
      <c r="M2714" s="50" t="s">
        <v>16562</v>
      </c>
      <c r="N2714" s="50"/>
      <c r="O2714" s="53" t="s">
        <v>92</v>
      </c>
      <c r="P2714" s="55" t="s">
        <v>16563</v>
      </c>
      <c r="Q2714" s="50">
        <v>6776.0</v>
      </c>
      <c r="R2714" s="50">
        <v>7413.0</v>
      </c>
      <c r="S2714" s="50" t="s">
        <v>219</v>
      </c>
      <c r="T2714" s="56" t="s">
        <v>16564</v>
      </c>
      <c r="U2714" s="53" t="s">
        <v>322</v>
      </c>
    </row>
    <row r="2715">
      <c r="A2715" s="54" t="s">
        <v>16565</v>
      </c>
      <c r="B2715" s="50" t="s">
        <v>16566</v>
      </c>
      <c r="C2715" s="51" t="s">
        <v>367</v>
      </c>
      <c r="D2715" s="51"/>
      <c r="E2715" s="51"/>
      <c r="F2715" s="51"/>
      <c r="G2715" s="50" t="s">
        <v>16567</v>
      </c>
      <c r="H2715" s="52">
        <v>44682.98064814815</v>
      </c>
      <c r="I2715" s="50"/>
      <c r="J2715" s="50"/>
      <c r="K2715" s="50"/>
      <c r="L2715" s="50"/>
      <c r="M2715" s="50" t="s">
        <v>16568</v>
      </c>
      <c r="N2715" s="50"/>
      <c r="O2715" s="53" t="s">
        <v>92</v>
      </c>
      <c r="P2715" s="55" t="s">
        <v>354</v>
      </c>
      <c r="Q2715" s="50">
        <v>284.0</v>
      </c>
      <c r="R2715" s="50">
        <v>540.0</v>
      </c>
      <c r="S2715" s="50" t="s">
        <v>16569</v>
      </c>
      <c r="T2715" s="56" t="s">
        <v>16570</v>
      </c>
      <c r="U2715" s="53" t="s">
        <v>370</v>
      </c>
    </row>
    <row r="2716">
      <c r="A2716" s="54" t="s">
        <v>16571</v>
      </c>
      <c r="B2716" s="50" t="s">
        <v>16572</v>
      </c>
      <c r="C2716" s="51" t="s">
        <v>16290</v>
      </c>
      <c r="D2716" s="51"/>
      <c r="E2716" s="51"/>
      <c r="F2716" s="51"/>
      <c r="G2716" s="50" t="s">
        <v>16573</v>
      </c>
      <c r="H2716" s="52">
        <v>44682.980266203704</v>
      </c>
      <c r="I2716" s="50"/>
      <c r="J2716" s="50"/>
      <c r="K2716" s="50"/>
      <c r="L2716" s="50"/>
      <c r="M2716" s="50" t="s">
        <v>16574</v>
      </c>
      <c r="N2716" s="50"/>
      <c r="O2716" s="53" t="s">
        <v>217</v>
      </c>
      <c r="P2716" s="55" t="s">
        <v>16575</v>
      </c>
      <c r="Q2716" s="50">
        <v>1879.0</v>
      </c>
      <c r="R2716" s="50">
        <v>1914.0</v>
      </c>
      <c r="S2716" s="50" t="s">
        <v>246</v>
      </c>
      <c r="T2716" s="56" t="s">
        <v>16576</v>
      </c>
      <c r="U2716" s="53" t="s">
        <v>16295</v>
      </c>
    </row>
    <row r="2717">
      <c r="A2717" s="54" t="s">
        <v>16577</v>
      </c>
      <c r="B2717" s="50" t="s">
        <v>16578</v>
      </c>
      <c r="C2717" s="51" t="s">
        <v>367</v>
      </c>
      <c r="D2717" s="51"/>
      <c r="E2717" s="51"/>
      <c r="F2717" s="51"/>
      <c r="G2717" s="50" t="s">
        <v>16579</v>
      </c>
      <c r="H2717" s="52">
        <v>44682.98024305556</v>
      </c>
      <c r="I2717" s="50"/>
      <c r="J2717" s="50"/>
      <c r="K2717" s="50"/>
      <c r="L2717" s="50"/>
      <c r="M2717" s="50" t="s">
        <v>16580</v>
      </c>
      <c r="N2717" s="50"/>
      <c r="O2717" s="53" t="s">
        <v>92</v>
      </c>
      <c r="P2717" s="55" t="s">
        <v>16581</v>
      </c>
      <c r="Q2717" s="50">
        <v>67.0</v>
      </c>
      <c r="R2717" s="50">
        <v>246.0</v>
      </c>
      <c r="S2717" s="50" t="s">
        <v>16582</v>
      </c>
      <c r="T2717" s="56" t="s">
        <v>16583</v>
      </c>
      <c r="U2717" s="53" t="s">
        <v>370</v>
      </c>
    </row>
    <row r="2718">
      <c r="A2718" s="54" t="s">
        <v>16584</v>
      </c>
      <c r="B2718" s="50" t="s">
        <v>16585</v>
      </c>
      <c r="C2718" s="51" t="s">
        <v>367</v>
      </c>
      <c r="D2718" s="51"/>
      <c r="E2718" s="51"/>
      <c r="F2718" s="51"/>
      <c r="G2718" s="50" t="s">
        <v>16586</v>
      </c>
      <c r="H2718" s="52">
        <v>44682.980092592596</v>
      </c>
      <c r="I2718" s="50"/>
      <c r="J2718" s="50"/>
      <c r="K2718" s="50"/>
      <c r="L2718" s="50"/>
      <c r="M2718" s="50" t="s">
        <v>16587</v>
      </c>
      <c r="N2718" s="50"/>
      <c r="O2718" s="53" t="s">
        <v>217</v>
      </c>
      <c r="P2718" s="55" t="s">
        <v>354</v>
      </c>
      <c r="Q2718" s="50">
        <v>78.0</v>
      </c>
      <c r="R2718" s="50">
        <v>526.0</v>
      </c>
      <c r="S2718" s="50"/>
      <c r="T2718" s="56" t="s">
        <v>16588</v>
      </c>
      <c r="U2718" s="53" t="s">
        <v>370</v>
      </c>
    </row>
    <row r="2719">
      <c r="A2719" s="54" t="s">
        <v>16589</v>
      </c>
      <c r="B2719" s="50" t="s">
        <v>16590</v>
      </c>
      <c r="C2719" s="51" t="s">
        <v>14882</v>
      </c>
      <c r="D2719" s="51"/>
      <c r="E2719" s="51"/>
      <c r="F2719" s="51"/>
      <c r="G2719" s="50" t="s">
        <v>16591</v>
      </c>
      <c r="H2719" s="52">
        <v>44682.98005787037</v>
      </c>
      <c r="I2719" s="50"/>
      <c r="J2719" s="50"/>
      <c r="K2719" s="50"/>
      <c r="L2719" s="50"/>
      <c r="M2719" s="50" t="s">
        <v>16592</v>
      </c>
      <c r="N2719" s="50"/>
      <c r="O2719" s="53" t="s">
        <v>92</v>
      </c>
      <c r="P2719" s="55" t="s">
        <v>16593</v>
      </c>
      <c r="Q2719" s="50">
        <v>1297.0</v>
      </c>
      <c r="R2719" s="50">
        <v>2731.0</v>
      </c>
      <c r="S2719" s="50" t="s">
        <v>5254</v>
      </c>
      <c r="T2719" s="56" t="s">
        <v>16594</v>
      </c>
      <c r="U2719" s="53" t="s">
        <v>14888</v>
      </c>
    </row>
    <row r="2720">
      <c r="A2720" s="54" t="s">
        <v>16595</v>
      </c>
      <c r="B2720" s="50" t="s">
        <v>16596</v>
      </c>
      <c r="C2720" s="51" t="s">
        <v>16597</v>
      </c>
      <c r="D2720" s="51"/>
      <c r="E2720" s="51"/>
      <c r="F2720" s="51"/>
      <c r="G2720" s="50" t="s">
        <v>16598</v>
      </c>
      <c r="H2720" s="52">
        <v>44682.97961805556</v>
      </c>
      <c r="I2720" s="50"/>
      <c r="J2720" s="50"/>
      <c r="K2720" s="50"/>
      <c r="L2720" s="50"/>
      <c r="M2720" s="50" t="s">
        <v>16599</v>
      </c>
      <c r="N2720" s="50"/>
      <c r="O2720" s="53" t="s">
        <v>70</v>
      </c>
      <c r="P2720" s="55" t="s">
        <v>16600</v>
      </c>
      <c r="Q2720" s="50">
        <v>116.0</v>
      </c>
      <c r="R2720" s="50">
        <v>189.0</v>
      </c>
      <c r="S2720" s="50"/>
      <c r="T2720" s="56" t="s">
        <v>16601</v>
      </c>
      <c r="U2720" s="53" t="s">
        <v>16602</v>
      </c>
    </row>
    <row r="2721">
      <c r="A2721" s="54" t="s">
        <v>16603</v>
      </c>
      <c r="B2721" s="50" t="s">
        <v>16604</v>
      </c>
      <c r="C2721" s="51" t="s">
        <v>367</v>
      </c>
      <c r="D2721" s="51"/>
      <c r="E2721" s="51"/>
      <c r="F2721" s="51"/>
      <c r="G2721" s="50" t="s">
        <v>16605</v>
      </c>
      <c r="H2721" s="52">
        <v>44682.9795949074</v>
      </c>
      <c r="I2721" s="50"/>
      <c r="J2721" s="50"/>
      <c r="K2721" s="50"/>
      <c r="L2721" s="50"/>
      <c r="M2721" s="50" t="s">
        <v>16606</v>
      </c>
      <c r="N2721" s="50"/>
      <c r="O2721" s="53" t="s">
        <v>70</v>
      </c>
      <c r="P2721" s="55" t="s">
        <v>16607</v>
      </c>
      <c r="Q2721" s="50">
        <v>22.0</v>
      </c>
      <c r="R2721" s="50">
        <v>142.0</v>
      </c>
      <c r="S2721" s="50"/>
      <c r="T2721" s="56" t="s">
        <v>16608</v>
      </c>
      <c r="U2721" s="53" t="s">
        <v>370</v>
      </c>
    </row>
    <row r="2722">
      <c r="A2722" s="54" t="s">
        <v>16609</v>
      </c>
      <c r="B2722" s="50" t="s">
        <v>16610</v>
      </c>
      <c r="C2722" s="51" t="s">
        <v>329</v>
      </c>
      <c r="D2722" s="51"/>
      <c r="E2722" s="51"/>
      <c r="F2722" s="51"/>
      <c r="G2722" s="50" t="s">
        <v>16611</v>
      </c>
      <c r="H2722" s="52">
        <v>44682.97924768519</v>
      </c>
      <c r="I2722" s="50"/>
      <c r="J2722" s="50"/>
      <c r="K2722" s="50"/>
      <c r="L2722" s="50"/>
      <c r="M2722" s="50" t="s">
        <v>16612</v>
      </c>
      <c r="N2722" s="50"/>
      <c r="O2722" s="53" t="s">
        <v>217</v>
      </c>
      <c r="P2722" s="55" t="s">
        <v>16613</v>
      </c>
      <c r="Q2722" s="50">
        <v>1290.0</v>
      </c>
      <c r="R2722" s="50">
        <v>5000.0</v>
      </c>
      <c r="S2722" s="50" t="s">
        <v>16614</v>
      </c>
      <c r="T2722" s="56" t="s">
        <v>16615</v>
      </c>
      <c r="U2722" s="53" t="s">
        <v>332</v>
      </c>
    </row>
    <row r="2723">
      <c r="A2723" s="54" t="s">
        <v>16616</v>
      </c>
      <c r="B2723" s="50" t="s">
        <v>16617</v>
      </c>
      <c r="C2723" s="51" t="s">
        <v>367</v>
      </c>
      <c r="D2723" s="51"/>
      <c r="E2723" s="51"/>
      <c r="F2723" s="51"/>
      <c r="G2723" s="50" t="s">
        <v>16618</v>
      </c>
      <c r="H2723" s="52">
        <v>44682.97920138889</v>
      </c>
      <c r="I2723" s="50"/>
      <c r="J2723" s="50"/>
      <c r="K2723" s="50"/>
      <c r="L2723" s="50"/>
      <c r="M2723" s="50" t="s">
        <v>16619</v>
      </c>
      <c r="N2723" s="50"/>
      <c r="O2723" s="53" t="s">
        <v>92</v>
      </c>
      <c r="P2723" s="55" t="s">
        <v>16620</v>
      </c>
      <c r="Q2723" s="50">
        <v>3312.0</v>
      </c>
      <c r="R2723" s="50">
        <v>4537.0</v>
      </c>
      <c r="S2723" s="50" t="s">
        <v>16266</v>
      </c>
      <c r="T2723" s="56" t="s">
        <v>16621</v>
      </c>
      <c r="U2723" s="53" t="s">
        <v>370</v>
      </c>
    </row>
    <row r="2724">
      <c r="A2724" s="54" t="s">
        <v>16622</v>
      </c>
      <c r="B2724" s="50" t="s">
        <v>16623</v>
      </c>
      <c r="C2724" s="51" t="s">
        <v>16624</v>
      </c>
      <c r="D2724" s="51"/>
      <c r="E2724" s="51"/>
      <c r="F2724" s="51"/>
      <c r="G2724" s="50" t="s">
        <v>16625</v>
      </c>
      <c r="H2724" s="52">
        <v>44682.978680555556</v>
      </c>
      <c r="I2724" s="50"/>
      <c r="J2724" s="50"/>
      <c r="K2724" s="50"/>
      <c r="L2724" s="50"/>
      <c r="M2724" s="50" t="s">
        <v>16626</v>
      </c>
      <c r="N2724" s="50"/>
      <c r="O2724" s="53" t="s">
        <v>70</v>
      </c>
      <c r="P2724" s="55" t="s">
        <v>16627</v>
      </c>
      <c r="Q2724" s="50">
        <v>154.0</v>
      </c>
      <c r="R2724" s="50">
        <v>959.0</v>
      </c>
      <c r="S2724" s="50"/>
      <c r="T2724" s="56" t="s">
        <v>16628</v>
      </c>
      <c r="U2724" s="53" t="s">
        <v>16629</v>
      </c>
    </row>
    <row r="2725">
      <c r="A2725" s="54" t="s">
        <v>16630</v>
      </c>
      <c r="B2725" s="50" t="s">
        <v>16631</v>
      </c>
      <c r="C2725" s="51" t="s">
        <v>363</v>
      </c>
      <c r="D2725" s="51"/>
      <c r="E2725" s="51"/>
      <c r="F2725" s="51"/>
      <c r="G2725" s="50" t="s">
        <v>16632</v>
      </c>
      <c r="H2725" s="52">
        <v>44682.97865740741</v>
      </c>
      <c r="I2725" s="50"/>
      <c r="J2725" s="50"/>
      <c r="K2725" s="50"/>
      <c r="L2725" s="50"/>
      <c r="M2725" s="50" t="s">
        <v>16633</v>
      </c>
      <c r="N2725" s="50"/>
      <c r="O2725" s="53" t="s">
        <v>70</v>
      </c>
      <c r="P2725" s="55" t="s">
        <v>16634</v>
      </c>
      <c r="Q2725" s="50">
        <v>719.0</v>
      </c>
      <c r="R2725" s="50">
        <v>3282.0</v>
      </c>
      <c r="S2725" s="50" t="s">
        <v>129</v>
      </c>
      <c r="T2725" s="56" t="s">
        <v>16635</v>
      </c>
      <c r="U2725" s="53" t="s">
        <v>332</v>
      </c>
    </row>
    <row r="2726">
      <c r="A2726" s="54" t="s">
        <v>16636</v>
      </c>
      <c r="B2726" s="50" t="s">
        <v>16637</v>
      </c>
      <c r="C2726" s="51" t="s">
        <v>316</v>
      </c>
      <c r="D2726" s="51"/>
      <c r="E2726" s="51"/>
      <c r="F2726" s="51"/>
      <c r="G2726" s="50" t="s">
        <v>16638</v>
      </c>
      <c r="H2726" s="52">
        <v>44682.97858796296</v>
      </c>
      <c r="I2726" s="50"/>
      <c r="J2726" s="50"/>
      <c r="K2726" s="50"/>
      <c r="L2726" s="50"/>
      <c r="M2726" s="50" t="s">
        <v>16639</v>
      </c>
      <c r="N2726" s="50"/>
      <c r="O2726" s="53" t="s">
        <v>70</v>
      </c>
      <c r="P2726" s="55" t="s">
        <v>16640</v>
      </c>
      <c r="Q2726" s="50">
        <v>1177.0</v>
      </c>
      <c r="R2726" s="50">
        <v>2167.0</v>
      </c>
      <c r="S2726" s="50" t="s">
        <v>1311</v>
      </c>
      <c r="T2726" s="56" t="s">
        <v>16641</v>
      </c>
      <c r="U2726" s="53" t="s">
        <v>322</v>
      </c>
    </row>
    <row r="2727">
      <c r="A2727" s="54" t="s">
        <v>16642</v>
      </c>
      <c r="B2727" s="50" t="s">
        <v>16643</v>
      </c>
      <c r="C2727" s="51" t="s">
        <v>316</v>
      </c>
      <c r="D2727" s="51"/>
      <c r="E2727" s="51"/>
      <c r="F2727" s="51"/>
      <c r="G2727" s="50" t="s">
        <v>16644</v>
      </c>
      <c r="H2727" s="52">
        <v>44682.97856481481</v>
      </c>
      <c r="I2727" s="50"/>
      <c r="J2727" s="50"/>
      <c r="K2727" s="50"/>
      <c r="L2727" s="50"/>
      <c r="M2727" s="50" t="s">
        <v>16645</v>
      </c>
      <c r="N2727" s="50"/>
      <c r="O2727" s="53" t="s">
        <v>60</v>
      </c>
      <c r="P2727" s="55" t="s">
        <v>354</v>
      </c>
      <c r="Q2727" s="50">
        <v>17.0</v>
      </c>
      <c r="R2727" s="50">
        <v>514.0</v>
      </c>
      <c r="S2727" s="50"/>
      <c r="T2727" s="56" t="s">
        <v>16646</v>
      </c>
      <c r="U2727" s="53" t="s">
        <v>322</v>
      </c>
    </row>
    <row r="2728">
      <c r="A2728" s="54" t="s">
        <v>16647</v>
      </c>
      <c r="B2728" s="50" t="s">
        <v>16648</v>
      </c>
      <c r="C2728" s="51" t="s">
        <v>363</v>
      </c>
      <c r="D2728" s="51"/>
      <c r="E2728" s="51"/>
      <c r="F2728" s="51"/>
      <c r="G2728" s="50" t="s">
        <v>16649</v>
      </c>
      <c r="H2728" s="52">
        <v>44682.97846064815</v>
      </c>
      <c r="I2728" s="50"/>
      <c r="J2728" s="50"/>
      <c r="K2728" s="50"/>
      <c r="L2728" s="50"/>
      <c r="M2728" s="50" t="s">
        <v>16650</v>
      </c>
      <c r="N2728" s="50"/>
      <c r="O2728" s="53" t="s">
        <v>92</v>
      </c>
      <c r="P2728" s="55" t="s">
        <v>16651</v>
      </c>
      <c r="Q2728" s="50">
        <v>1568.0</v>
      </c>
      <c r="R2728" s="50">
        <v>1730.0</v>
      </c>
      <c r="S2728" s="50" t="s">
        <v>16652</v>
      </c>
      <c r="T2728" s="56" t="s">
        <v>16653</v>
      </c>
      <c r="U2728" s="53" t="s">
        <v>332</v>
      </c>
    </row>
    <row r="2729">
      <c r="A2729" s="54" t="s">
        <v>16654</v>
      </c>
      <c r="B2729" s="50" t="s">
        <v>16655</v>
      </c>
      <c r="C2729" s="51" t="s">
        <v>2973</v>
      </c>
      <c r="D2729" s="51"/>
      <c r="E2729" s="51"/>
      <c r="F2729" s="51"/>
      <c r="G2729" s="50" t="s">
        <v>16656</v>
      </c>
      <c r="H2729" s="52">
        <v>44682.97809027778</v>
      </c>
      <c r="I2729" s="50"/>
      <c r="J2729" s="50"/>
      <c r="K2729" s="50"/>
      <c r="L2729" s="50"/>
      <c r="M2729" s="50" t="s">
        <v>16657</v>
      </c>
      <c r="N2729" s="50"/>
      <c r="O2729" s="53" t="s">
        <v>60</v>
      </c>
      <c r="P2729" s="55" t="s">
        <v>16658</v>
      </c>
      <c r="Q2729" s="50">
        <v>6687.0</v>
      </c>
      <c r="R2729" s="50">
        <v>6549.0</v>
      </c>
      <c r="S2729" s="50" t="s">
        <v>16659</v>
      </c>
      <c r="T2729" s="56" t="s">
        <v>16660</v>
      </c>
      <c r="U2729" s="53" t="s">
        <v>2978</v>
      </c>
    </row>
    <row r="2730">
      <c r="A2730" s="54" t="s">
        <v>16661</v>
      </c>
      <c r="B2730" s="50" t="s">
        <v>16662</v>
      </c>
      <c r="C2730" s="51" t="s">
        <v>367</v>
      </c>
      <c r="D2730" s="51"/>
      <c r="E2730" s="51"/>
      <c r="F2730" s="51"/>
      <c r="G2730" s="50" t="s">
        <v>16663</v>
      </c>
      <c r="H2730" s="52">
        <v>44682.97795138889</v>
      </c>
      <c r="I2730" s="50"/>
      <c r="J2730" s="50"/>
      <c r="K2730" s="50"/>
      <c r="L2730" s="50"/>
      <c r="M2730" s="50" t="s">
        <v>16664</v>
      </c>
      <c r="N2730" s="50"/>
      <c r="O2730" s="53" t="s">
        <v>92</v>
      </c>
      <c r="P2730" s="55" t="s">
        <v>16665</v>
      </c>
      <c r="Q2730" s="50">
        <v>1261.0</v>
      </c>
      <c r="R2730" s="50">
        <v>1700.0</v>
      </c>
      <c r="S2730" s="50" t="s">
        <v>16666</v>
      </c>
      <c r="T2730" s="56" t="s">
        <v>16667</v>
      </c>
      <c r="U2730" s="53" t="s">
        <v>370</v>
      </c>
    </row>
    <row r="2731">
      <c r="A2731" s="54" t="s">
        <v>16668</v>
      </c>
      <c r="B2731" s="50" t="s">
        <v>16669</v>
      </c>
      <c r="C2731" s="51" t="s">
        <v>14882</v>
      </c>
      <c r="D2731" s="51"/>
      <c r="E2731" s="51"/>
      <c r="F2731" s="51"/>
      <c r="G2731" s="50" t="s">
        <v>16670</v>
      </c>
      <c r="H2731" s="52">
        <v>44682.97739583333</v>
      </c>
      <c r="I2731" s="50"/>
      <c r="J2731" s="50"/>
      <c r="K2731" s="50"/>
      <c r="L2731" s="50"/>
      <c r="M2731" s="50" t="s">
        <v>16671</v>
      </c>
      <c r="N2731" s="50"/>
      <c r="O2731" s="53" t="s">
        <v>70</v>
      </c>
      <c r="P2731" s="55" t="s">
        <v>16672</v>
      </c>
      <c r="Q2731" s="50">
        <v>21476.0</v>
      </c>
      <c r="R2731" s="50">
        <v>23403.0</v>
      </c>
      <c r="S2731" s="50" t="s">
        <v>8210</v>
      </c>
      <c r="T2731" s="56" t="s">
        <v>16673</v>
      </c>
      <c r="U2731" s="53" t="s">
        <v>14888</v>
      </c>
    </row>
    <row r="2732">
      <c r="A2732" s="54" t="s">
        <v>16674</v>
      </c>
      <c r="B2732" s="50" t="s">
        <v>16675</v>
      </c>
      <c r="C2732" s="51" t="s">
        <v>316</v>
      </c>
      <c r="D2732" s="51"/>
      <c r="E2732" s="51"/>
      <c r="F2732" s="51"/>
      <c r="G2732" s="50" t="s">
        <v>16676</v>
      </c>
      <c r="H2732" s="52">
        <v>44682.977372685185</v>
      </c>
      <c r="I2732" s="50"/>
      <c r="J2732" s="50"/>
      <c r="K2732" s="50"/>
      <c r="L2732" s="50"/>
      <c r="M2732" s="50" t="s">
        <v>16677</v>
      </c>
      <c r="N2732" s="50"/>
      <c r="O2732" s="53" t="s">
        <v>92</v>
      </c>
      <c r="P2732" s="55" t="s">
        <v>16678</v>
      </c>
      <c r="Q2732" s="50">
        <v>7824.0</v>
      </c>
      <c r="R2732" s="50">
        <v>6057.0</v>
      </c>
      <c r="S2732" s="50" t="s">
        <v>16679</v>
      </c>
      <c r="T2732" s="56" t="s">
        <v>16680</v>
      </c>
      <c r="U2732" s="53" t="s">
        <v>322</v>
      </c>
    </row>
    <row r="2733">
      <c r="A2733" s="54" t="s">
        <v>16681</v>
      </c>
      <c r="B2733" s="50" t="s">
        <v>16682</v>
      </c>
      <c r="C2733" s="51" t="s">
        <v>316</v>
      </c>
      <c r="D2733" s="51"/>
      <c r="E2733" s="51"/>
      <c r="F2733" s="51"/>
      <c r="G2733" s="50" t="s">
        <v>16683</v>
      </c>
      <c r="H2733" s="52">
        <v>44682.977060185185</v>
      </c>
      <c r="I2733" s="50"/>
      <c r="J2733" s="50"/>
      <c r="K2733" s="50"/>
      <c r="L2733" s="50"/>
      <c r="M2733" s="50" t="s">
        <v>16684</v>
      </c>
      <c r="N2733" s="50"/>
      <c r="O2733" s="53" t="s">
        <v>70</v>
      </c>
      <c r="P2733" s="55" t="s">
        <v>16685</v>
      </c>
      <c r="Q2733" s="50">
        <v>3215.0</v>
      </c>
      <c r="R2733" s="50">
        <v>3316.0</v>
      </c>
      <c r="S2733" s="50"/>
      <c r="T2733" s="56" t="s">
        <v>16686</v>
      </c>
      <c r="U2733" s="53" t="s">
        <v>322</v>
      </c>
    </row>
    <row r="2734">
      <c r="A2734" s="54" t="s">
        <v>16687</v>
      </c>
      <c r="B2734" s="50" t="s">
        <v>16688</v>
      </c>
      <c r="C2734" s="51" t="s">
        <v>855</v>
      </c>
      <c r="D2734" s="51"/>
      <c r="E2734" s="51"/>
      <c r="F2734" s="51"/>
      <c r="G2734" s="50" t="s">
        <v>16689</v>
      </c>
      <c r="H2734" s="52">
        <v>44682.977002314816</v>
      </c>
      <c r="I2734" s="50"/>
      <c r="J2734" s="50"/>
      <c r="K2734" s="50"/>
      <c r="L2734" s="50"/>
      <c r="M2734" s="50" t="s">
        <v>16690</v>
      </c>
      <c r="N2734" s="50"/>
      <c r="O2734" s="53" t="s">
        <v>92</v>
      </c>
      <c r="P2734" s="55" t="s">
        <v>16691</v>
      </c>
      <c r="Q2734" s="50">
        <v>477.0</v>
      </c>
      <c r="R2734" s="50">
        <v>905.0</v>
      </c>
      <c r="S2734" s="50" t="s">
        <v>16692</v>
      </c>
      <c r="T2734" s="56" t="s">
        <v>16693</v>
      </c>
      <c r="U2734" s="53" t="s">
        <v>861</v>
      </c>
    </row>
    <row r="2735">
      <c r="A2735" s="54" t="s">
        <v>16694</v>
      </c>
      <c r="B2735" s="50" t="s">
        <v>16695</v>
      </c>
      <c r="C2735" s="51" t="s">
        <v>329</v>
      </c>
      <c r="D2735" s="51"/>
      <c r="E2735" s="51"/>
      <c r="F2735" s="51"/>
      <c r="G2735" s="50" t="s">
        <v>16696</v>
      </c>
      <c r="H2735" s="52">
        <v>44682.97697916666</v>
      </c>
      <c r="I2735" s="50"/>
      <c r="J2735" s="50"/>
      <c r="K2735" s="50"/>
      <c r="L2735" s="50"/>
      <c r="M2735" s="50" t="s">
        <v>16697</v>
      </c>
      <c r="N2735" s="50"/>
      <c r="O2735" s="53" t="s">
        <v>92</v>
      </c>
      <c r="P2735" s="55" t="s">
        <v>16698</v>
      </c>
      <c r="Q2735" s="50">
        <v>1592.0</v>
      </c>
      <c r="R2735" s="50">
        <v>538.0</v>
      </c>
      <c r="S2735" s="50" t="s">
        <v>1311</v>
      </c>
      <c r="T2735" s="56" t="s">
        <v>16699</v>
      </c>
      <c r="U2735" s="53" t="s">
        <v>332</v>
      </c>
    </row>
    <row r="2736">
      <c r="A2736" s="54" t="s">
        <v>16700</v>
      </c>
      <c r="B2736" s="50" t="s">
        <v>16701</v>
      </c>
      <c r="C2736" s="51" t="s">
        <v>367</v>
      </c>
      <c r="D2736" s="51"/>
      <c r="E2736" s="51"/>
      <c r="F2736" s="51"/>
      <c r="G2736" s="50" t="s">
        <v>16702</v>
      </c>
      <c r="H2736" s="52">
        <v>44682.97650462963</v>
      </c>
      <c r="I2736" s="50"/>
      <c r="J2736" s="50"/>
      <c r="K2736" s="50"/>
      <c r="L2736" s="50"/>
      <c r="M2736" s="50" t="s">
        <v>16703</v>
      </c>
      <c r="N2736" s="50"/>
      <c r="O2736" s="53" t="s">
        <v>92</v>
      </c>
      <c r="P2736" s="55" t="s">
        <v>16704</v>
      </c>
      <c r="Q2736" s="50">
        <v>287.0</v>
      </c>
      <c r="R2736" s="50">
        <v>953.0</v>
      </c>
      <c r="S2736" s="50" t="s">
        <v>16705</v>
      </c>
      <c r="T2736" s="56" t="s">
        <v>16706</v>
      </c>
      <c r="U2736" s="53" t="s">
        <v>370</v>
      </c>
    </row>
    <row r="2737">
      <c r="A2737" s="54" t="s">
        <v>16707</v>
      </c>
      <c r="B2737" s="50" t="s">
        <v>16675</v>
      </c>
      <c r="C2737" s="51" t="s">
        <v>367</v>
      </c>
      <c r="D2737" s="51"/>
      <c r="E2737" s="51"/>
      <c r="F2737" s="51"/>
      <c r="G2737" s="50" t="s">
        <v>16708</v>
      </c>
      <c r="H2737" s="52">
        <v>44682.97642361111</v>
      </c>
      <c r="I2737" s="50"/>
      <c r="J2737" s="50"/>
      <c r="K2737" s="50"/>
      <c r="L2737" s="50"/>
      <c r="M2737" s="50" t="s">
        <v>16677</v>
      </c>
      <c r="N2737" s="50"/>
      <c r="O2737" s="53" t="s">
        <v>92</v>
      </c>
      <c r="P2737" s="55" t="s">
        <v>16678</v>
      </c>
      <c r="Q2737" s="50">
        <v>7824.0</v>
      </c>
      <c r="R2737" s="50">
        <v>6057.0</v>
      </c>
      <c r="S2737" s="50" t="s">
        <v>16679</v>
      </c>
      <c r="T2737" s="56" t="s">
        <v>16709</v>
      </c>
      <c r="U2737" s="53" t="s">
        <v>370</v>
      </c>
    </row>
    <row r="2738">
      <c r="A2738" s="54" t="s">
        <v>16710</v>
      </c>
      <c r="B2738" s="50" t="s">
        <v>16711</v>
      </c>
      <c r="C2738" s="51" t="s">
        <v>363</v>
      </c>
      <c r="D2738" s="51"/>
      <c r="E2738" s="51"/>
      <c r="F2738" s="51"/>
      <c r="G2738" s="50" t="s">
        <v>16712</v>
      </c>
      <c r="H2738" s="52">
        <v>44682.97640046296</v>
      </c>
      <c r="I2738" s="50"/>
      <c r="J2738" s="50"/>
      <c r="K2738" s="50"/>
      <c r="L2738" s="50"/>
      <c r="M2738" s="50" t="s">
        <v>16713</v>
      </c>
      <c r="N2738" s="50"/>
      <c r="O2738" s="53" t="s">
        <v>70</v>
      </c>
      <c r="P2738" s="55" t="s">
        <v>16714</v>
      </c>
      <c r="Q2738" s="50">
        <v>1847.0</v>
      </c>
      <c r="R2738" s="50">
        <v>2356.0</v>
      </c>
      <c r="S2738" s="50" t="s">
        <v>16715</v>
      </c>
      <c r="T2738" s="56" t="s">
        <v>16716</v>
      </c>
      <c r="U2738" s="53" t="s">
        <v>332</v>
      </c>
    </row>
    <row r="2739">
      <c r="A2739" s="54" t="s">
        <v>16717</v>
      </c>
      <c r="B2739" s="50" t="s">
        <v>16718</v>
      </c>
      <c r="C2739" s="51" t="s">
        <v>367</v>
      </c>
      <c r="D2739" s="51"/>
      <c r="E2739" s="51"/>
      <c r="F2739" s="51"/>
      <c r="G2739" s="50" t="s">
        <v>16719</v>
      </c>
      <c r="H2739" s="52">
        <v>44682.97634259259</v>
      </c>
      <c r="I2739" s="50"/>
      <c r="J2739" s="50"/>
      <c r="K2739" s="50"/>
      <c r="L2739" s="50"/>
      <c r="M2739" s="50" t="s">
        <v>16720</v>
      </c>
      <c r="N2739" s="50"/>
      <c r="O2739" s="53" t="s">
        <v>70</v>
      </c>
      <c r="P2739" s="55" t="s">
        <v>16721</v>
      </c>
      <c r="Q2739" s="50">
        <v>21.0</v>
      </c>
      <c r="R2739" s="50">
        <v>1368.0</v>
      </c>
      <c r="S2739" s="50"/>
      <c r="T2739" s="56" t="s">
        <v>16722</v>
      </c>
      <c r="U2739" s="53" t="s">
        <v>370</v>
      </c>
    </row>
    <row r="2740">
      <c r="A2740" s="54" t="s">
        <v>16723</v>
      </c>
      <c r="B2740" s="50" t="s">
        <v>16724</v>
      </c>
      <c r="C2740" s="51" t="s">
        <v>367</v>
      </c>
      <c r="D2740" s="51"/>
      <c r="E2740" s="51"/>
      <c r="F2740" s="51"/>
      <c r="G2740" s="50" t="s">
        <v>16725</v>
      </c>
      <c r="H2740" s="52">
        <v>44682.976273148146</v>
      </c>
      <c r="I2740" s="50"/>
      <c r="J2740" s="50"/>
      <c r="K2740" s="50"/>
      <c r="L2740" s="50"/>
      <c r="M2740" s="50" t="s">
        <v>16726</v>
      </c>
      <c r="N2740" s="50"/>
      <c r="O2740" s="53" t="s">
        <v>70</v>
      </c>
      <c r="P2740" s="55" t="s">
        <v>354</v>
      </c>
      <c r="Q2740" s="50">
        <v>80.0</v>
      </c>
      <c r="R2740" s="50">
        <v>199.0</v>
      </c>
      <c r="S2740" s="50"/>
      <c r="T2740" s="56" t="s">
        <v>16727</v>
      </c>
      <c r="U2740" s="53" t="s">
        <v>370</v>
      </c>
    </row>
    <row r="2741">
      <c r="A2741" s="54" t="s">
        <v>16728</v>
      </c>
      <c r="B2741" s="50" t="s">
        <v>5058</v>
      </c>
      <c r="C2741" s="51" t="s">
        <v>363</v>
      </c>
      <c r="D2741" s="51"/>
      <c r="E2741" s="51"/>
      <c r="F2741" s="51"/>
      <c r="G2741" s="50" t="s">
        <v>16729</v>
      </c>
      <c r="H2741" s="52">
        <v>44682.97626157408</v>
      </c>
      <c r="I2741" s="50"/>
      <c r="J2741" s="50"/>
      <c r="K2741" s="50"/>
      <c r="L2741" s="50"/>
      <c r="M2741" s="50" t="s">
        <v>5060</v>
      </c>
      <c r="N2741" s="50"/>
      <c r="O2741" s="53" t="s">
        <v>92</v>
      </c>
      <c r="P2741" s="55" t="s">
        <v>5061</v>
      </c>
      <c r="Q2741" s="50">
        <v>4561.0</v>
      </c>
      <c r="R2741" s="50">
        <v>5006.0</v>
      </c>
      <c r="S2741" s="50" t="s">
        <v>219</v>
      </c>
      <c r="T2741" s="56" t="s">
        <v>16730</v>
      </c>
      <c r="U2741" s="53" t="s">
        <v>332</v>
      </c>
    </row>
    <row r="2742">
      <c r="A2742" s="54" t="s">
        <v>16731</v>
      </c>
      <c r="B2742" s="50" t="s">
        <v>5058</v>
      </c>
      <c r="C2742" s="51" t="s">
        <v>316</v>
      </c>
      <c r="D2742" s="51"/>
      <c r="E2742" s="51"/>
      <c r="F2742" s="51"/>
      <c r="G2742" s="50" t="s">
        <v>16732</v>
      </c>
      <c r="H2742" s="52">
        <v>44682.97621527778</v>
      </c>
      <c r="I2742" s="50"/>
      <c r="J2742" s="50"/>
      <c r="K2742" s="50"/>
      <c r="L2742" s="50"/>
      <c r="M2742" s="50" t="s">
        <v>5060</v>
      </c>
      <c r="N2742" s="50"/>
      <c r="O2742" s="53" t="s">
        <v>92</v>
      </c>
      <c r="P2742" s="55" t="s">
        <v>5061</v>
      </c>
      <c r="Q2742" s="50">
        <v>4561.0</v>
      </c>
      <c r="R2742" s="50">
        <v>5006.0</v>
      </c>
      <c r="S2742" s="50" t="s">
        <v>219</v>
      </c>
      <c r="T2742" s="56" t="s">
        <v>16733</v>
      </c>
      <c r="U2742" s="53" t="s">
        <v>322</v>
      </c>
    </row>
    <row r="2743">
      <c r="A2743" s="54" t="s">
        <v>16734</v>
      </c>
      <c r="B2743" s="50" t="s">
        <v>16283</v>
      </c>
      <c r="C2743" s="51" t="s">
        <v>316</v>
      </c>
      <c r="D2743" s="51"/>
      <c r="E2743" s="51"/>
      <c r="F2743" s="51"/>
      <c r="G2743" s="50" t="s">
        <v>16735</v>
      </c>
      <c r="H2743" s="52">
        <v>44682.97616898148</v>
      </c>
      <c r="I2743" s="50"/>
      <c r="J2743" s="50"/>
      <c r="K2743" s="50"/>
      <c r="L2743" s="50"/>
      <c r="M2743" s="50" t="s">
        <v>16285</v>
      </c>
      <c r="N2743" s="50"/>
      <c r="O2743" s="53" t="s">
        <v>92</v>
      </c>
      <c r="P2743" s="55" t="s">
        <v>16286</v>
      </c>
      <c r="Q2743" s="50">
        <v>448.0</v>
      </c>
      <c r="R2743" s="50">
        <v>1636.0</v>
      </c>
      <c r="S2743" s="50"/>
      <c r="T2743" s="56" t="s">
        <v>16736</v>
      </c>
      <c r="U2743" s="53" t="s">
        <v>322</v>
      </c>
    </row>
    <row r="2744">
      <c r="A2744" s="54" t="s">
        <v>16737</v>
      </c>
      <c r="B2744" s="50" t="s">
        <v>15637</v>
      </c>
      <c r="C2744" s="51" t="s">
        <v>16738</v>
      </c>
      <c r="D2744" s="51"/>
      <c r="E2744" s="51"/>
      <c r="F2744" s="51"/>
      <c r="G2744" s="50" t="s">
        <v>16739</v>
      </c>
      <c r="H2744" s="52">
        <v>44682.976122685184</v>
      </c>
      <c r="I2744" s="50"/>
      <c r="J2744" s="50"/>
      <c r="K2744" s="50"/>
      <c r="L2744" s="50"/>
      <c r="M2744" s="50" t="s">
        <v>15640</v>
      </c>
      <c r="N2744" s="50"/>
      <c r="O2744" s="53" t="s">
        <v>60</v>
      </c>
      <c r="P2744" s="55" t="s">
        <v>15641</v>
      </c>
      <c r="Q2744" s="50">
        <v>3154.0</v>
      </c>
      <c r="R2744" s="50">
        <v>4957.0</v>
      </c>
      <c r="S2744" s="50" t="s">
        <v>15642</v>
      </c>
      <c r="T2744" s="56" t="s">
        <v>16740</v>
      </c>
      <c r="U2744" s="53" t="s">
        <v>16741</v>
      </c>
    </row>
    <row r="2745">
      <c r="A2745" s="54" t="s">
        <v>16742</v>
      </c>
      <c r="B2745" s="50" t="s">
        <v>12343</v>
      </c>
      <c r="C2745" s="51" t="s">
        <v>2730</v>
      </c>
      <c r="D2745" s="51"/>
      <c r="E2745" s="51"/>
      <c r="F2745" s="51"/>
      <c r="G2745" s="50" t="s">
        <v>16743</v>
      </c>
      <c r="H2745" s="52">
        <v>44682.97596064815</v>
      </c>
      <c r="I2745" s="50"/>
      <c r="J2745" s="50"/>
      <c r="K2745" s="50"/>
      <c r="L2745" s="50"/>
      <c r="M2745" s="50" t="s">
        <v>12348</v>
      </c>
      <c r="N2745" s="50"/>
      <c r="O2745" s="53" t="s">
        <v>92</v>
      </c>
      <c r="P2745" s="55" t="s">
        <v>12350</v>
      </c>
      <c r="Q2745" s="50">
        <v>1165.0</v>
      </c>
      <c r="R2745" s="50">
        <v>1664.0</v>
      </c>
      <c r="S2745" s="50"/>
      <c r="T2745" s="56" t="s">
        <v>16744</v>
      </c>
      <c r="U2745" s="53" t="s">
        <v>2736</v>
      </c>
    </row>
    <row r="2746">
      <c r="A2746" s="54" t="s">
        <v>16745</v>
      </c>
      <c r="B2746" s="50" t="s">
        <v>1135</v>
      </c>
      <c r="C2746" s="51" t="s">
        <v>363</v>
      </c>
      <c r="D2746" s="51"/>
      <c r="E2746" s="51"/>
      <c r="F2746" s="51"/>
      <c r="G2746" s="50" t="s">
        <v>16746</v>
      </c>
      <c r="H2746" s="52">
        <v>44682.97586805555</v>
      </c>
      <c r="I2746" s="50"/>
      <c r="J2746" s="50"/>
      <c r="K2746" s="50"/>
      <c r="L2746" s="50"/>
      <c r="M2746" s="50" t="s">
        <v>1137</v>
      </c>
      <c r="N2746" s="50"/>
      <c r="O2746" s="53" t="s">
        <v>60</v>
      </c>
      <c r="P2746" s="55" t="s">
        <v>1138</v>
      </c>
      <c r="Q2746" s="50">
        <v>28633.0</v>
      </c>
      <c r="R2746" s="50">
        <v>2747.0</v>
      </c>
      <c r="S2746" s="50" t="s">
        <v>1139</v>
      </c>
      <c r="T2746" s="56" t="s">
        <v>16747</v>
      </c>
      <c r="U2746" s="53" t="s">
        <v>332</v>
      </c>
    </row>
    <row r="2747">
      <c r="A2747" s="54" t="s">
        <v>16748</v>
      </c>
      <c r="B2747" s="50" t="s">
        <v>16749</v>
      </c>
      <c r="C2747" s="51" t="s">
        <v>316</v>
      </c>
      <c r="D2747" s="51"/>
      <c r="E2747" s="51"/>
      <c r="F2747" s="51"/>
      <c r="G2747" s="50" t="s">
        <v>16750</v>
      </c>
      <c r="H2747" s="52">
        <v>44682.975856481484</v>
      </c>
      <c r="I2747" s="50"/>
      <c r="J2747" s="50"/>
      <c r="K2747" s="50"/>
      <c r="L2747" s="50"/>
      <c r="M2747" s="50" t="s">
        <v>16751</v>
      </c>
      <c r="N2747" s="50"/>
      <c r="O2747" s="53" t="s">
        <v>217</v>
      </c>
      <c r="P2747" s="55" t="s">
        <v>16752</v>
      </c>
      <c r="Q2747" s="50">
        <v>79636.0</v>
      </c>
      <c r="R2747" s="50">
        <v>8047.0</v>
      </c>
      <c r="S2747" s="50" t="s">
        <v>805</v>
      </c>
      <c r="T2747" s="56" t="s">
        <v>16753</v>
      </c>
      <c r="U2747" s="53" t="s">
        <v>322</v>
      </c>
    </row>
    <row r="2748">
      <c r="A2748" s="54" t="s">
        <v>16754</v>
      </c>
      <c r="B2748" s="50" t="s">
        <v>2055</v>
      </c>
      <c r="C2748" s="51" t="s">
        <v>329</v>
      </c>
      <c r="D2748" s="51"/>
      <c r="E2748" s="51"/>
      <c r="F2748" s="51"/>
      <c r="G2748" s="50" t="s">
        <v>16755</v>
      </c>
      <c r="H2748" s="52">
        <v>44682.975752314815</v>
      </c>
      <c r="I2748" s="50"/>
      <c r="J2748" s="50"/>
      <c r="K2748" s="50"/>
      <c r="L2748" s="50"/>
      <c r="M2748" s="50" t="s">
        <v>2057</v>
      </c>
      <c r="N2748" s="50"/>
      <c r="O2748" s="53" t="s">
        <v>60</v>
      </c>
      <c r="P2748" s="55" t="s">
        <v>2058</v>
      </c>
      <c r="Q2748" s="50">
        <v>13489.0</v>
      </c>
      <c r="R2748" s="50">
        <v>12939.0</v>
      </c>
      <c r="S2748" s="50"/>
      <c r="T2748" s="56" t="s">
        <v>16756</v>
      </c>
      <c r="U2748" s="53" t="s">
        <v>332</v>
      </c>
    </row>
    <row r="2749">
      <c r="A2749" s="54" t="s">
        <v>16757</v>
      </c>
      <c r="B2749" s="50" t="s">
        <v>16749</v>
      </c>
      <c r="C2749" s="51" t="s">
        <v>363</v>
      </c>
      <c r="D2749" s="51"/>
      <c r="E2749" s="51"/>
      <c r="F2749" s="51"/>
      <c r="G2749" s="50" t="s">
        <v>16758</v>
      </c>
      <c r="H2749" s="52">
        <v>44682.975694444445</v>
      </c>
      <c r="I2749" s="50"/>
      <c r="J2749" s="50"/>
      <c r="K2749" s="50"/>
      <c r="L2749" s="50"/>
      <c r="M2749" s="50" t="s">
        <v>16751</v>
      </c>
      <c r="N2749" s="50"/>
      <c r="O2749" s="53" t="s">
        <v>217</v>
      </c>
      <c r="P2749" s="55" t="s">
        <v>16752</v>
      </c>
      <c r="Q2749" s="50">
        <v>79636.0</v>
      </c>
      <c r="R2749" s="50">
        <v>8047.0</v>
      </c>
      <c r="S2749" s="50" t="s">
        <v>805</v>
      </c>
      <c r="T2749" s="56" t="s">
        <v>16759</v>
      </c>
      <c r="U2749" s="53" t="s">
        <v>332</v>
      </c>
    </row>
    <row r="2750">
      <c r="A2750" s="54" t="s">
        <v>16760</v>
      </c>
      <c r="B2750" s="50" t="s">
        <v>16761</v>
      </c>
      <c r="C2750" s="51" t="s">
        <v>329</v>
      </c>
      <c r="D2750" s="51"/>
      <c r="E2750" s="51"/>
      <c r="F2750" s="51"/>
      <c r="G2750" s="50" t="s">
        <v>16762</v>
      </c>
      <c r="H2750" s="52">
        <v>44682.975636574076</v>
      </c>
      <c r="I2750" s="50"/>
      <c r="J2750" s="50"/>
      <c r="K2750" s="50"/>
      <c r="L2750" s="50"/>
      <c r="M2750" s="50" t="s">
        <v>16763</v>
      </c>
      <c r="N2750" s="50"/>
      <c r="O2750" s="53" t="s">
        <v>60</v>
      </c>
      <c r="P2750" s="55" t="s">
        <v>16764</v>
      </c>
      <c r="Q2750" s="50">
        <v>13.0</v>
      </c>
      <c r="R2750" s="50">
        <v>68.0</v>
      </c>
      <c r="S2750" s="50"/>
      <c r="T2750" s="56" t="s">
        <v>16765</v>
      </c>
      <c r="U2750" s="53" t="s">
        <v>332</v>
      </c>
    </row>
    <row r="2751">
      <c r="A2751" s="54" t="s">
        <v>16766</v>
      </c>
      <c r="B2751" s="50" t="s">
        <v>16767</v>
      </c>
      <c r="C2751" s="51" t="s">
        <v>16768</v>
      </c>
      <c r="D2751" s="51"/>
      <c r="E2751" s="51"/>
      <c r="F2751" s="51"/>
      <c r="G2751" s="50" t="s">
        <v>16769</v>
      </c>
      <c r="H2751" s="52">
        <v>44682.975625</v>
      </c>
      <c r="I2751" s="50"/>
      <c r="J2751" s="50"/>
      <c r="K2751" s="50"/>
      <c r="L2751" s="50"/>
      <c r="M2751" s="50" t="s">
        <v>16770</v>
      </c>
      <c r="N2751" s="50"/>
      <c r="O2751" s="53" t="s">
        <v>60</v>
      </c>
      <c r="P2751" s="55" t="s">
        <v>16771</v>
      </c>
      <c r="Q2751" s="50">
        <v>141.0</v>
      </c>
      <c r="R2751" s="50">
        <v>319.0</v>
      </c>
      <c r="S2751" s="50"/>
      <c r="T2751" s="56" t="s">
        <v>16772</v>
      </c>
      <c r="U2751" s="53" t="s">
        <v>16773</v>
      </c>
    </row>
    <row r="2752">
      <c r="A2752" s="54" t="s">
        <v>16774</v>
      </c>
      <c r="B2752" s="50" t="s">
        <v>16775</v>
      </c>
      <c r="C2752" s="51" t="s">
        <v>367</v>
      </c>
      <c r="D2752" s="51"/>
      <c r="E2752" s="51"/>
      <c r="F2752" s="51"/>
      <c r="G2752" s="50" t="s">
        <v>16776</v>
      </c>
      <c r="H2752" s="52">
        <v>44682.97556712963</v>
      </c>
      <c r="I2752" s="50"/>
      <c r="J2752" s="50"/>
      <c r="K2752" s="50"/>
      <c r="L2752" s="50"/>
      <c r="M2752" s="50" t="s">
        <v>16777</v>
      </c>
      <c r="N2752" s="50"/>
      <c r="O2752" s="53" t="s">
        <v>70</v>
      </c>
      <c r="P2752" s="55" t="s">
        <v>16778</v>
      </c>
      <c r="Q2752" s="50">
        <v>1905.0</v>
      </c>
      <c r="R2752" s="50">
        <v>3513.0</v>
      </c>
      <c r="S2752" s="50" t="s">
        <v>16779</v>
      </c>
      <c r="T2752" s="56" t="s">
        <v>16780</v>
      </c>
      <c r="U2752" s="53" t="s">
        <v>370</v>
      </c>
    </row>
    <row r="2753">
      <c r="A2753" s="54" t="s">
        <v>16781</v>
      </c>
      <c r="B2753" s="50" t="s">
        <v>16782</v>
      </c>
      <c r="C2753" s="51" t="s">
        <v>13405</v>
      </c>
      <c r="D2753" s="51"/>
      <c r="E2753" s="51"/>
      <c r="F2753" s="51"/>
      <c r="G2753" s="50" t="s">
        <v>16776</v>
      </c>
      <c r="H2753" s="52">
        <v>44682.97556712963</v>
      </c>
      <c r="I2753" s="50"/>
      <c r="J2753" s="50"/>
      <c r="K2753" s="50"/>
      <c r="L2753" s="50"/>
      <c r="M2753" s="50" t="s">
        <v>16783</v>
      </c>
      <c r="N2753" s="50"/>
      <c r="O2753" s="53" t="s">
        <v>60</v>
      </c>
      <c r="P2753" s="55" t="s">
        <v>16784</v>
      </c>
      <c r="Q2753" s="50">
        <v>2584.0</v>
      </c>
      <c r="R2753" s="50">
        <v>2236.0</v>
      </c>
      <c r="S2753" s="50" t="s">
        <v>3176</v>
      </c>
      <c r="T2753" s="56" t="s">
        <v>16785</v>
      </c>
      <c r="U2753" s="53" t="s">
        <v>13408</v>
      </c>
    </row>
    <row r="2754">
      <c r="A2754" s="54" t="s">
        <v>16786</v>
      </c>
      <c r="B2754" s="50" t="s">
        <v>16695</v>
      </c>
      <c r="C2754" s="51" t="s">
        <v>316</v>
      </c>
      <c r="D2754" s="51"/>
      <c r="E2754" s="51"/>
      <c r="F2754" s="51"/>
      <c r="G2754" s="50" t="s">
        <v>16787</v>
      </c>
      <c r="H2754" s="52">
        <v>44682.97493055556</v>
      </c>
      <c r="I2754" s="50"/>
      <c r="J2754" s="50"/>
      <c r="K2754" s="50"/>
      <c r="L2754" s="50"/>
      <c r="M2754" s="50" t="s">
        <v>16697</v>
      </c>
      <c r="N2754" s="50"/>
      <c r="O2754" s="53" t="s">
        <v>92</v>
      </c>
      <c r="P2754" s="55" t="s">
        <v>16698</v>
      </c>
      <c r="Q2754" s="50">
        <v>1592.0</v>
      </c>
      <c r="R2754" s="50">
        <v>538.0</v>
      </c>
      <c r="S2754" s="50" t="s">
        <v>1311</v>
      </c>
      <c r="T2754" s="56" t="s">
        <v>16788</v>
      </c>
      <c r="U2754" s="53" t="s">
        <v>322</v>
      </c>
    </row>
    <row r="2755">
      <c r="A2755" s="54" t="s">
        <v>16789</v>
      </c>
      <c r="B2755" s="50" t="s">
        <v>16790</v>
      </c>
      <c r="C2755" s="51" t="s">
        <v>9149</v>
      </c>
      <c r="D2755" s="51"/>
      <c r="E2755" s="51"/>
      <c r="F2755" s="51"/>
      <c r="G2755" s="50" t="s">
        <v>16791</v>
      </c>
      <c r="H2755" s="52">
        <v>44682.974444444444</v>
      </c>
      <c r="I2755" s="50"/>
      <c r="J2755" s="50"/>
      <c r="K2755" s="50"/>
      <c r="L2755" s="50"/>
      <c r="M2755" s="50" t="s">
        <v>16792</v>
      </c>
      <c r="N2755" s="50"/>
      <c r="O2755" s="53" t="s">
        <v>70</v>
      </c>
      <c r="P2755" s="55" t="s">
        <v>16793</v>
      </c>
      <c r="Q2755" s="50">
        <v>1044.0</v>
      </c>
      <c r="R2755" s="50">
        <v>1648.0</v>
      </c>
      <c r="S2755" s="50" t="s">
        <v>5407</v>
      </c>
      <c r="T2755" s="56" t="s">
        <v>16794</v>
      </c>
      <c r="U2755" s="53" t="s">
        <v>9154</v>
      </c>
    </row>
    <row r="2756">
      <c r="A2756" s="54" t="s">
        <v>16795</v>
      </c>
      <c r="B2756" s="50" t="s">
        <v>16796</v>
      </c>
      <c r="C2756" s="51" t="s">
        <v>16797</v>
      </c>
      <c r="D2756" s="51"/>
      <c r="E2756" s="51"/>
      <c r="F2756" s="51"/>
      <c r="G2756" s="50" t="s">
        <v>16798</v>
      </c>
      <c r="H2756" s="52">
        <v>44682.97436342592</v>
      </c>
      <c r="I2756" s="50"/>
      <c r="J2756" s="50"/>
      <c r="K2756" s="50"/>
      <c r="L2756" s="50"/>
      <c r="M2756" s="50" t="s">
        <v>16799</v>
      </c>
      <c r="N2756" s="50"/>
      <c r="O2756" s="53" t="s">
        <v>70</v>
      </c>
      <c r="P2756" s="55" t="s">
        <v>16800</v>
      </c>
      <c r="Q2756" s="50">
        <v>251.0</v>
      </c>
      <c r="R2756" s="50">
        <v>396.0</v>
      </c>
      <c r="S2756" s="50"/>
      <c r="T2756" s="56" t="s">
        <v>16801</v>
      </c>
      <c r="U2756" s="53" t="s">
        <v>16802</v>
      </c>
    </row>
    <row r="2757">
      <c r="A2757" s="54" t="s">
        <v>16803</v>
      </c>
      <c r="B2757" s="50" t="s">
        <v>16804</v>
      </c>
      <c r="C2757" s="51" t="s">
        <v>16805</v>
      </c>
      <c r="D2757" s="51"/>
      <c r="E2757" s="51"/>
      <c r="F2757" s="51"/>
      <c r="G2757" s="50" t="s">
        <v>16806</v>
      </c>
      <c r="H2757" s="52">
        <v>44682.97416666667</v>
      </c>
      <c r="I2757" s="50"/>
      <c r="J2757" s="50"/>
      <c r="K2757" s="50"/>
      <c r="L2757" s="50"/>
      <c r="M2757" s="50" t="s">
        <v>16807</v>
      </c>
      <c r="N2757" s="50"/>
      <c r="O2757" s="53" t="s">
        <v>7964</v>
      </c>
      <c r="P2757" s="55" t="s">
        <v>16808</v>
      </c>
      <c r="Q2757" s="50">
        <v>5104.0</v>
      </c>
      <c r="R2757" s="50">
        <v>5050.0</v>
      </c>
      <c r="S2757" s="50" t="s">
        <v>16809</v>
      </c>
      <c r="T2757" s="56" t="s">
        <v>16810</v>
      </c>
      <c r="U2757" s="53" t="s">
        <v>16811</v>
      </c>
    </row>
    <row r="2758">
      <c r="A2758" s="54" t="s">
        <v>16812</v>
      </c>
      <c r="B2758" s="50" t="s">
        <v>16813</v>
      </c>
      <c r="C2758" s="51" t="s">
        <v>367</v>
      </c>
      <c r="D2758" s="51"/>
      <c r="E2758" s="51"/>
      <c r="F2758" s="51"/>
      <c r="G2758" s="50" t="s">
        <v>16814</v>
      </c>
      <c r="H2758" s="52">
        <v>44682.974016203705</v>
      </c>
      <c r="I2758" s="50"/>
      <c r="J2758" s="50"/>
      <c r="K2758" s="50"/>
      <c r="L2758" s="50"/>
      <c r="M2758" s="50" t="s">
        <v>16815</v>
      </c>
      <c r="N2758" s="50"/>
      <c r="O2758" s="53" t="s">
        <v>92</v>
      </c>
      <c r="P2758" s="55" t="s">
        <v>16816</v>
      </c>
      <c r="Q2758" s="50">
        <v>61.0</v>
      </c>
      <c r="R2758" s="50">
        <v>504.0</v>
      </c>
      <c r="S2758" s="50"/>
      <c r="T2758" s="56" t="s">
        <v>16817</v>
      </c>
      <c r="U2758" s="53" t="s">
        <v>370</v>
      </c>
    </row>
    <row r="2759">
      <c r="A2759" s="54" t="s">
        <v>16818</v>
      </c>
      <c r="B2759" s="50" t="s">
        <v>16819</v>
      </c>
      <c r="C2759" s="51" t="s">
        <v>16820</v>
      </c>
      <c r="D2759" s="51"/>
      <c r="E2759" s="51"/>
      <c r="F2759" s="51"/>
      <c r="G2759" s="50" t="s">
        <v>16821</v>
      </c>
      <c r="H2759" s="52">
        <v>44682.97368055556</v>
      </c>
      <c r="I2759" s="50"/>
      <c r="J2759" s="50"/>
      <c r="K2759" s="50" t="s">
        <v>7394</v>
      </c>
      <c r="L2759" s="50" t="s">
        <v>7395</v>
      </c>
      <c r="M2759" s="50" t="s">
        <v>16822</v>
      </c>
      <c r="N2759" s="50" t="s">
        <v>7396</v>
      </c>
      <c r="O2759" s="53" t="s">
        <v>92</v>
      </c>
      <c r="P2759" s="55" t="s">
        <v>16823</v>
      </c>
      <c r="Q2759" s="50">
        <v>193.0</v>
      </c>
      <c r="R2759" s="50">
        <v>312.0</v>
      </c>
      <c r="S2759" s="50" t="s">
        <v>1153</v>
      </c>
      <c r="T2759" s="56" t="s">
        <v>16824</v>
      </c>
      <c r="U2759" s="53" t="s">
        <v>16825</v>
      </c>
    </row>
    <row r="2760">
      <c r="A2760" s="54" t="s">
        <v>16826</v>
      </c>
      <c r="B2760" s="50" t="s">
        <v>16827</v>
      </c>
      <c r="C2760" s="51" t="s">
        <v>363</v>
      </c>
      <c r="D2760" s="51"/>
      <c r="E2760" s="51"/>
      <c r="F2760" s="51"/>
      <c r="G2760" s="50" t="s">
        <v>16828</v>
      </c>
      <c r="H2760" s="52">
        <v>44682.97342592593</v>
      </c>
      <c r="I2760" s="50"/>
      <c r="J2760" s="50"/>
      <c r="K2760" s="50"/>
      <c r="L2760" s="50"/>
      <c r="M2760" s="50" t="s">
        <v>16829</v>
      </c>
      <c r="N2760" s="50"/>
      <c r="O2760" s="53" t="s">
        <v>92</v>
      </c>
      <c r="P2760" s="55" t="s">
        <v>16830</v>
      </c>
      <c r="Q2760" s="50">
        <v>44.0</v>
      </c>
      <c r="R2760" s="50">
        <v>202.0</v>
      </c>
      <c r="S2760" s="50"/>
      <c r="T2760" s="56" t="s">
        <v>16831</v>
      </c>
      <c r="U2760" s="53" t="s">
        <v>332</v>
      </c>
    </row>
    <row r="2761">
      <c r="A2761" s="54" t="s">
        <v>16832</v>
      </c>
      <c r="B2761" s="50" t="s">
        <v>16833</v>
      </c>
      <c r="C2761" s="51" t="s">
        <v>367</v>
      </c>
      <c r="D2761" s="51"/>
      <c r="E2761" s="51"/>
      <c r="F2761" s="51"/>
      <c r="G2761" s="50" t="s">
        <v>16834</v>
      </c>
      <c r="H2761" s="52">
        <v>44682.97341435185</v>
      </c>
      <c r="I2761" s="50"/>
      <c r="J2761" s="50"/>
      <c r="K2761" s="50"/>
      <c r="L2761" s="50"/>
      <c r="M2761" s="50" t="s">
        <v>16835</v>
      </c>
      <c r="N2761" s="50"/>
      <c r="O2761" s="53" t="s">
        <v>92</v>
      </c>
      <c r="P2761" s="55" t="s">
        <v>16836</v>
      </c>
      <c r="Q2761" s="50">
        <v>780.0</v>
      </c>
      <c r="R2761" s="50">
        <v>2145.0</v>
      </c>
      <c r="S2761" s="50" t="s">
        <v>16837</v>
      </c>
      <c r="T2761" s="56" t="s">
        <v>16838</v>
      </c>
      <c r="U2761" s="53" t="s">
        <v>370</v>
      </c>
    </row>
    <row r="2762">
      <c r="A2762" s="54" t="s">
        <v>16839</v>
      </c>
      <c r="B2762" s="50" t="s">
        <v>16827</v>
      </c>
      <c r="C2762" s="51" t="s">
        <v>367</v>
      </c>
      <c r="D2762" s="51"/>
      <c r="E2762" s="51"/>
      <c r="F2762" s="51"/>
      <c r="G2762" s="50" t="s">
        <v>16840</v>
      </c>
      <c r="H2762" s="52">
        <v>44682.973402777774</v>
      </c>
      <c r="I2762" s="50"/>
      <c r="J2762" s="50"/>
      <c r="K2762" s="50"/>
      <c r="L2762" s="50"/>
      <c r="M2762" s="50" t="s">
        <v>16829</v>
      </c>
      <c r="N2762" s="50"/>
      <c r="O2762" s="53" t="s">
        <v>92</v>
      </c>
      <c r="P2762" s="55" t="s">
        <v>16830</v>
      </c>
      <c r="Q2762" s="50">
        <v>44.0</v>
      </c>
      <c r="R2762" s="50">
        <v>202.0</v>
      </c>
      <c r="S2762" s="50"/>
      <c r="T2762" s="56" t="s">
        <v>16841</v>
      </c>
      <c r="U2762" s="53" t="s">
        <v>370</v>
      </c>
    </row>
    <row r="2763">
      <c r="A2763" s="54" t="s">
        <v>16842</v>
      </c>
      <c r="B2763" s="50" t="s">
        <v>16843</v>
      </c>
      <c r="C2763" s="51" t="s">
        <v>363</v>
      </c>
      <c r="D2763" s="51"/>
      <c r="E2763" s="51"/>
      <c r="F2763" s="51"/>
      <c r="G2763" s="50" t="s">
        <v>16844</v>
      </c>
      <c r="H2763" s="52">
        <v>44682.9731712963</v>
      </c>
      <c r="I2763" s="50"/>
      <c r="J2763" s="50"/>
      <c r="K2763" s="50"/>
      <c r="L2763" s="50"/>
      <c r="M2763" s="50" t="s">
        <v>16845</v>
      </c>
      <c r="N2763" s="50"/>
      <c r="O2763" s="53" t="s">
        <v>70</v>
      </c>
      <c r="P2763" s="55" t="s">
        <v>16846</v>
      </c>
      <c r="Q2763" s="50">
        <v>4657.0</v>
      </c>
      <c r="R2763" s="50">
        <v>4594.0</v>
      </c>
      <c r="S2763" s="50" t="s">
        <v>219</v>
      </c>
      <c r="T2763" s="56" t="s">
        <v>16847</v>
      </c>
      <c r="U2763" s="53" t="s">
        <v>332</v>
      </c>
    </row>
    <row r="2764">
      <c r="A2764" s="54" t="s">
        <v>16848</v>
      </c>
      <c r="B2764" s="50" t="s">
        <v>16849</v>
      </c>
      <c r="C2764" s="51" t="s">
        <v>316</v>
      </c>
      <c r="D2764" s="51"/>
      <c r="E2764" s="51"/>
      <c r="F2764" s="51"/>
      <c r="G2764" s="50" t="s">
        <v>16844</v>
      </c>
      <c r="H2764" s="52">
        <v>44682.9731712963</v>
      </c>
      <c r="I2764" s="50"/>
      <c r="J2764" s="50"/>
      <c r="K2764" s="50"/>
      <c r="L2764" s="50"/>
      <c r="M2764" s="50" t="s">
        <v>16850</v>
      </c>
      <c r="N2764" s="50"/>
      <c r="O2764" s="53" t="s">
        <v>70</v>
      </c>
      <c r="P2764" s="55" t="s">
        <v>16851</v>
      </c>
      <c r="Q2764" s="50">
        <v>4657.0</v>
      </c>
      <c r="R2764" s="50">
        <v>4902.0</v>
      </c>
      <c r="S2764" s="50" t="s">
        <v>729</v>
      </c>
      <c r="T2764" s="56" t="s">
        <v>16852</v>
      </c>
      <c r="U2764" s="53" t="s">
        <v>322</v>
      </c>
    </row>
    <row r="2765">
      <c r="A2765" s="54" t="s">
        <v>16853</v>
      </c>
      <c r="B2765" s="50" t="s">
        <v>16854</v>
      </c>
      <c r="C2765" s="51" t="s">
        <v>367</v>
      </c>
      <c r="D2765" s="51"/>
      <c r="E2765" s="51"/>
      <c r="F2765" s="51"/>
      <c r="G2765" s="50" t="s">
        <v>16855</v>
      </c>
      <c r="H2765" s="52">
        <v>44682.97280092593</v>
      </c>
      <c r="I2765" s="50"/>
      <c r="J2765" s="50"/>
      <c r="K2765" s="50"/>
      <c r="L2765" s="50"/>
      <c r="M2765" s="50" t="s">
        <v>16856</v>
      </c>
      <c r="N2765" s="50"/>
      <c r="O2765" s="53" t="s">
        <v>70</v>
      </c>
      <c r="P2765" s="55" t="s">
        <v>354</v>
      </c>
      <c r="Q2765" s="50">
        <v>768.0</v>
      </c>
      <c r="R2765" s="50">
        <v>1278.0</v>
      </c>
      <c r="S2765" s="50"/>
      <c r="T2765" s="56" t="s">
        <v>16857</v>
      </c>
      <c r="U2765" s="53" t="s">
        <v>370</v>
      </c>
    </row>
    <row r="2766">
      <c r="A2766" s="54" t="s">
        <v>16858</v>
      </c>
      <c r="B2766" s="50" t="s">
        <v>1156</v>
      </c>
      <c r="C2766" s="51" t="s">
        <v>335</v>
      </c>
      <c r="D2766" s="51"/>
      <c r="E2766" s="51"/>
      <c r="F2766" s="51"/>
      <c r="G2766" s="50" t="s">
        <v>16859</v>
      </c>
      <c r="H2766" s="52">
        <v>44682.97271990741</v>
      </c>
      <c r="I2766" s="50"/>
      <c r="J2766" s="50"/>
      <c r="K2766" s="50"/>
      <c r="L2766" s="50"/>
      <c r="M2766" s="50" t="s">
        <v>1158</v>
      </c>
      <c r="N2766" s="50"/>
      <c r="O2766" s="53" t="s">
        <v>70</v>
      </c>
      <c r="P2766" s="55" t="s">
        <v>354</v>
      </c>
      <c r="Q2766" s="50">
        <v>1780.0</v>
      </c>
      <c r="R2766" s="50">
        <v>4988.0</v>
      </c>
      <c r="S2766" s="50"/>
      <c r="T2766" s="56" t="s">
        <v>16860</v>
      </c>
      <c r="U2766" s="53" t="s">
        <v>339</v>
      </c>
    </row>
    <row r="2767">
      <c r="A2767" s="54" t="s">
        <v>16861</v>
      </c>
      <c r="B2767" s="50" t="s">
        <v>16526</v>
      </c>
      <c r="C2767" s="51" t="s">
        <v>363</v>
      </c>
      <c r="D2767" s="51"/>
      <c r="E2767" s="51"/>
      <c r="F2767" s="51"/>
      <c r="G2767" s="50" t="s">
        <v>16862</v>
      </c>
      <c r="H2767" s="52">
        <v>44682.97269675926</v>
      </c>
      <c r="I2767" s="50"/>
      <c r="J2767" s="50"/>
      <c r="K2767" s="50"/>
      <c r="L2767" s="50"/>
      <c r="M2767" s="50" t="s">
        <v>16528</v>
      </c>
      <c r="N2767" s="50"/>
      <c r="O2767" s="53" t="s">
        <v>92</v>
      </c>
      <c r="P2767" s="55" t="s">
        <v>16529</v>
      </c>
      <c r="Q2767" s="50">
        <v>3391.0</v>
      </c>
      <c r="R2767" s="50">
        <v>3564.0</v>
      </c>
      <c r="S2767" s="50" t="s">
        <v>16530</v>
      </c>
      <c r="T2767" s="56" t="s">
        <v>16863</v>
      </c>
      <c r="U2767" s="53" t="s">
        <v>332</v>
      </c>
    </row>
    <row r="2768">
      <c r="A2768" s="54" t="s">
        <v>16864</v>
      </c>
      <c r="B2768" s="50" t="s">
        <v>16865</v>
      </c>
      <c r="C2768" s="51" t="s">
        <v>16866</v>
      </c>
      <c r="D2768" s="51"/>
      <c r="E2768" s="51"/>
      <c r="F2768" s="51"/>
      <c r="G2768" s="50" t="s">
        <v>16867</v>
      </c>
      <c r="H2768" s="52">
        <v>44682.972662037035</v>
      </c>
      <c r="I2768" s="50"/>
      <c r="J2768" s="50"/>
      <c r="K2768" s="50" t="s">
        <v>16868</v>
      </c>
      <c r="L2768" s="50" t="s">
        <v>16869</v>
      </c>
      <c r="M2768" s="50" t="s">
        <v>16870</v>
      </c>
      <c r="N2768" s="50" t="s">
        <v>16871</v>
      </c>
      <c r="O2768" s="53" t="s">
        <v>217</v>
      </c>
      <c r="P2768" s="55" t="s">
        <v>16872</v>
      </c>
      <c r="Q2768" s="50">
        <v>958.0</v>
      </c>
      <c r="R2768" s="50">
        <v>47.0</v>
      </c>
      <c r="S2768" s="50" t="s">
        <v>8112</v>
      </c>
      <c r="T2768" s="56" t="s">
        <v>16873</v>
      </c>
      <c r="U2768" s="53" t="s">
        <v>16874</v>
      </c>
    </row>
    <row r="2769">
      <c r="A2769" s="54" t="s">
        <v>16875</v>
      </c>
      <c r="B2769" s="50" t="s">
        <v>1156</v>
      </c>
      <c r="C2769" s="51" t="s">
        <v>363</v>
      </c>
      <c r="D2769" s="51"/>
      <c r="E2769" s="51"/>
      <c r="F2769" s="51"/>
      <c r="G2769" s="50" t="s">
        <v>16876</v>
      </c>
      <c r="H2769" s="52">
        <v>44682.97263888889</v>
      </c>
      <c r="I2769" s="50"/>
      <c r="J2769" s="50"/>
      <c r="K2769" s="50"/>
      <c r="L2769" s="50"/>
      <c r="M2769" s="50" t="s">
        <v>1158</v>
      </c>
      <c r="N2769" s="50"/>
      <c r="O2769" s="53" t="s">
        <v>70</v>
      </c>
      <c r="P2769" s="55" t="s">
        <v>354</v>
      </c>
      <c r="Q2769" s="50">
        <v>1780.0</v>
      </c>
      <c r="R2769" s="50">
        <v>4988.0</v>
      </c>
      <c r="S2769" s="50"/>
      <c r="T2769" s="56" t="s">
        <v>16877</v>
      </c>
      <c r="U2769" s="53" t="s">
        <v>332</v>
      </c>
    </row>
    <row r="2770">
      <c r="A2770" s="54" t="s">
        <v>16878</v>
      </c>
      <c r="B2770" s="50" t="s">
        <v>16879</v>
      </c>
      <c r="C2770" s="51" t="s">
        <v>363</v>
      </c>
      <c r="D2770" s="51"/>
      <c r="E2770" s="51"/>
      <c r="F2770" s="51"/>
      <c r="G2770" s="50" t="s">
        <v>16880</v>
      </c>
      <c r="H2770" s="52">
        <v>44682.972291666665</v>
      </c>
      <c r="I2770" s="50"/>
      <c r="J2770" s="50"/>
      <c r="K2770" s="50"/>
      <c r="L2770" s="50"/>
      <c r="M2770" s="50" t="s">
        <v>16881</v>
      </c>
      <c r="N2770" s="50"/>
      <c r="O2770" s="53" t="s">
        <v>60</v>
      </c>
      <c r="P2770" s="55" t="s">
        <v>16882</v>
      </c>
      <c r="Q2770" s="50">
        <v>183.0</v>
      </c>
      <c r="R2770" s="50">
        <v>264.0</v>
      </c>
      <c r="S2770" s="50" t="s">
        <v>16883</v>
      </c>
      <c r="T2770" s="56" t="s">
        <v>16884</v>
      </c>
      <c r="U2770" s="53" t="s">
        <v>332</v>
      </c>
    </row>
    <row r="2771">
      <c r="A2771" s="54" t="s">
        <v>16885</v>
      </c>
      <c r="B2771" s="50" t="s">
        <v>16886</v>
      </c>
      <c r="C2771" s="51" t="s">
        <v>367</v>
      </c>
      <c r="D2771" s="51"/>
      <c r="E2771" s="51"/>
      <c r="F2771" s="51"/>
      <c r="G2771" s="50" t="s">
        <v>16887</v>
      </c>
      <c r="H2771" s="52">
        <v>44682.972129629634</v>
      </c>
      <c r="I2771" s="50"/>
      <c r="J2771" s="50"/>
      <c r="K2771" s="50"/>
      <c r="L2771" s="50"/>
      <c r="M2771" s="50" t="s">
        <v>16888</v>
      </c>
      <c r="N2771" s="50"/>
      <c r="O2771" s="53" t="s">
        <v>92</v>
      </c>
      <c r="P2771" s="55" t="s">
        <v>16889</v>
      </c>
      <c r="Q2771" s="50">
        <v>1135.0</v>
      </c>
      <c r="R2771" s="50">
        <v>1887.0</v>
      </c>
      <c r="S2771" s="50" t="s">
        <v>16890</v>
      </c>
      <c r="T2771" s="56" t="s">
        <v>16891</v>
      </c>
      <c r="U2771" s="53" t="s">
        <v>370</v>
      </c>
    </row>
    <row r="2772">
      <c r="A2772" s="54" t="s">
        <v>16892</v>
      </c>
      <c r="B2772" s="50" t="s">
        <v>16893</v>
      </c>
      <c r="C2772" s="51" t="s">
        <v>367</v>
      </c>
      <c r="D2772" s="51"/>
      <c r="E2772" s="51"/>
      <c r="F2772" s="51"/>
      <c r="G2772" s="50" t="s">
        <v>16894</v>
      </c>
      <c r="H2772" s="52">
        <v>44682.97206018519</v>
      </c>
      <c r="I2772" s="50"/>
      <c r="J2772" s="50"/>
      <c r="K2772" s="50"/>
      <c r="L2772" s="50"/>
      <c r="M2772" s="50" t="s">
        <v>16895</v>
      </c>
      <c r="N2772" s="50"/>
      <c r="O2772" s="53" t="s">
        <v>70</v>
      </c>
      <c r="P2772" s="55" t="s">
        <v>16896</v>
      </c>
      <c r="Q2772" s="50">
        <v>305.0</v>
      </c>
      <c r="R2772" s="50">
        <v>393.0</v>
      </c>
      <c r="S2772" s="50" t="s">
        <v>219</v>
      </c>
      <c r="T2772" s="56" t="s">
        <v>16897</v>
      </c>
      <c r="U2772" s="53" t="s">
        <v>370</v>
      </c>
    </row>
    <row r="2773">
      <c r="A2773" s="54" t="s">
        <v>16898</v>
      </c>
      <c r="B2773" s="50" t="s">
        <v>16899</v>
      </c>
      <c r="C2773" s="51" t="s">
        <v>16900</v>
      </c>
      <c r="D2773" s="51"/>
      <c r="E2773" s="51"/>
      <c r="F2773" s="51"/>
      <c r="G2773" s="50" t="s">
        <v>16901</v>
      </c>
      <c r="H2773" s="52">
        <v>44682.971608796295</v>
      </c>
      <c r="I2773" s="50"/>
      <c r="J2773" s="50"/>
      <c r="K2773" s="50"/>
      <c r="L2773" s="50"/>
      <c r="M2773" s="50" t="s">
        <v>16902</v>
      </c>
      <c r="N2773" s="50"/>
      <c r="O2773" s="53" t="s">
        <v>60</v>
      </c>
      <c r="P2773" s="55" t="s">
        <v>16903</v>
      </c>
      <c r="Q2773" s="50">
        <v>456.0</v>
      </c>
      <c r="R2773" s="50">
        <v>624.0</v>
      </c>
      <c r="S2773" s="50" t="s">
        <v>3176</v>
      </c>
      <c r="T2773" s="56" t="s">
        <v>16904</v>
      </c>
      <c r="U2773" s="53" t="s">
        <v>16905</v>
      </c>
    </row>
    <row r="2774">
      <c r="A2774" s="54" t="s">
        <v>16906</v>
      </c>
      <c r="B2774" s="50" t="s">
        <v>16907</v>
      </c>
      <c r="C2774" s="51" t="s">
        <v>363</v>
      </c>
      <c r="D2774" s="51"/>
      <c r="E2774" s="51"/>
      <c r="F2774" s="51"/>
      <c r="G2774" s="50" t="s">
        <v>16908</v>
      </c>
      <c r="H2774" s="52">
        <v>44682.97142361111</v>
      </c>
      <c r="I2774" s="50"/>
      <c r="J2774" s="50"/>
      <c r="K2774" s="50"/>
      <c r="L2774" s="50"/>
      <c r="M2774" s="50" t="s">
        <v>16909</v>
      </c>
      <c r="N2774" s="50"/>
      <c r="O2774" s="53" t="s">
        <v>92</v>
      </c>
      <c r="P2774" s="55" t="s">
        <v>16910</v>
      </c>
      <c r="Q2774" s="50">
        <v>4069.0</v>
      </c>
      <c r="R2774" s="50">
        <v>5000.0</v>
      </c>
      <c r="S2774" s="50" t="s">
        <v>16911</v>
      </c>
      <c r="T2774" s="56" t="s">
        <v>16912</v>
      </c>
      <c r="U2774" s="53" t="s">
        <v>332</v>
      </c>
    </row>
    <row r="2775">
      <c r="A2775" s="54" t="s">
        <v>16913</v>
      </c>
      <c r="B2775" s="50" t="s">
        <v>1156</v>
      </c>
      <c r="C2775" s="51" t="s">
        <v>316</v>
      </c>
      <c r="D2775" s="51"/>
      <c r="E2775" s="51"/>
      <c r="F2775" s="51"/>
      <c r="G2775" s="50" t="s">
        <v>16914</v>
      </c>
      <c r="H2775" s="52">
        <v>44682.97126157407</v>
      </c>
      <c r="I2775" s="50"/>
      <c r="J2775" s="50"/>
      <c r="K2775" s="50"/>
      <c r="L2775" s="50"/>
      <c r="M2775" s="50" t="s">
        <v>1158</v>
      </c>
      <c r="N2775" s="50"/>
      <c r="O2775" s="53" t="s">
        <v>70</v>
      </c>
      <c r="P2775" s="55" t="s">
        <v>354</v>
      </c>
      <c r="Q2775" s="50">
        <v>1780.0</v>
      </c>
      <c r="R2775" s="50">
        <v>4988.0</v>
      </c>
      <c r="S2775" s="50"/>
      <c r="T2775" s="56" t="s">
        <v>16915</v>
      </c>
      <c r="U2775" s="53" t="s">
        <v>322</v>
      </c>
    </row>
    <row r="2776">
      <c r="A2776" s="54" t="s">
        <v>16916</v>
      </c>
      <c r="B2776" s="50" t="s">
        <v>1156</v>
      </c>
      <c r="C2776" s="51" t="s">
        <v>329</v>
      </c>
      <c r="D2776" s="51"/>
      <c r="E2776" s="51"/>
      <c r="F2776" s="51"/>
      <c r="G2776" s="50" t="s">
        <v>16917</v>
      </c>
      <c r="H2776" s="52">
        <v>44682.97121527778</v>
      </c>
      <c r="I2776" s="50"/>
      <c r="J2776" s="50"/>
      <c r="K2776" s="50"/>
      <c r="L2776" s="50"/>
      <c r="M2776" s="50" t="s">
        <v>1158</v>
      </c>
      <c r="N2776" s="50"/>
      <c r="O2776" s="53" t="s">
        <v>70</v>
      </c>
      <c r="P2776" s="55" t="s">
        <v>354</v>
      </c>
      <c r="Q2776" s="50">
        <v>1780.0</v>
      </c>
      <c r="R2776" s="50">
        <v>4988.0</v>
      </c>
      <c r="S2776" s="50"/>
      <c r="T2776" s="56" t="s">
        <v>16918</v>
      </c>
      <c r="U2776" s="53" t="s">
        <v>332</v>
      </c>
    </row>
    <row r="2777">
      <c r="A2777" s="54" t="s">
        <v>16919</v>
      </c>
      <c r="B2777" s="50" t="s">
        <v>16907</v>
      </c>
      <c r="C2777" s="51" t="s">
        <v>367</v>
      </c>
      <c r="D2777" s="51"/>
      <c r="E2777" s="51"/>
      <c r="F2777" s="51"/>
      <c r="G2777" s="50" t="s">
        <v>16917</v>
      </c>
      <c r="H2777" s="52">
        <v>44682.97121527778</v>
      </c>
      <c r="I2777" s="50"/>
      <c r="J2777" s="50"/>
      <c r="K2777" s="50"/>
      <c r="L2777" s="50"/>
      <c r="M2777" s="50" t="s">
        <v>16909</v>
      </c>
      <c r="N2777" s="50"/>
      <c r="O2777" s="53" t="s">
        <v>92</v>
      </c>
      <c r="P2777" s="55" t="s">
        <v>16910</v>
      </c>
      <c r="Q2777" s="50">
        <v>4069.0</v>
      </c>
      <c r="R2777" s="50">
        <v>5000.0</v>
      </c>
      <c r="S2777" s="50" t="s">
        <v>16911</v>
      </c>
      <c r="T2777" s="56" t="s">
        <v>16920</v>
      </c>
      <c r="U2777" s="53" t="s">
        <v>370</v>
      </c>
    </row>
    <row r="2778">
      <c r="A2778" s="54" t="s">
        <v>16921</v>
      </c>
      <c r="B2778" s="50" t="s">
        <v>16922</v>
      </c>
      <c r="C2778" s="51" t="s">
        <v>855</v>
      </c>
      <c r="D2778" s="51"/>
      <c r="E2778" s="51"/>
      <c r="F2778" s="51"/>
      <c r="G2778" s="50" t="s">
        <v>16923</v>
      </c>
      <c r="H2778" s="52">
        <v>44682.97101851852</v>
      </c>
      <c r="I2778" s="50"/>
      <c r="J2778" s="50"/>
      <c r="K2778" s="50"/>
      <c r="L2778" s="50"/>
      <c r="M2778" s="50" t="s">
        <v>16924</v>
      </c>
      <c r="N2778" s="50"/>
      <c r="O2778" s="53" t="s">
        <v>70</v>
      </c>
      <c r="P2778" s="55" t="s">
        <v>16925</v>
      </c>
      <c r="Q2778" s="50">
        <v>5763.0</v>
      </c>
      <c r="R2778" s="50">
        <v>769.0</v>
      </c>
      <c r="S2778" s="50" t="s">
        <v>15796</v>
      </c>
      <c r="T2778" s="56" t="s">
        <v>16926</v>
      </c>
      <c r="U2778" s="53" t="s">
        <v>861</v>
      </c>
    </row>
    <row r="2779">
      <c r="A2779" s="54" t="s">
        <v>16927</v>
      </c>
      <c r="B2779" s="50" t="s">
        <v>16928</v>
      </c>
      <c r="C2779" s="51" t="s">
        <v>16929</v>
      </c>
      <c r="D2779" s="51"/>
      <c r="E2779" s="51"/>
      <c r="F2779" s="51"/>
      <c r="G2779" s="50" t="s">
        <v>16930</v>
      </c>
      <c r="H2779" s="52">
        <v>44682.97074074074</v>
      </c>
      <c r="I2779" s="50"/>
      <c r="J2779" s="50"/>
      <c r="K2779" s="50"/>
      <c r="L2779" s="50"/>
      <c r="M2779" s="50" t="s">
        <v>16931</v>
      </c>
      <c r="N2779" s="50"/>
      <c r="O2779" s="53" t="s">
        <v>70</v>
      </c>
      <c r="P2779" s="55" t="s">
        <v>16932</v>
      </c>
      <c r="Q2779" s="50">
        <v>7503.0</v>
      </c>
      <c r="R2779" s="50">
        <v>7336.0</v>
      </c>
      <c r="S2779" s="50" t="s">
        <v>1107</v>
      </c>
      <c r="T2779" s="56" t="s">
        <v>16933</v>
      </c>
      <c r="U2779" s="53" t="s">
        <v>16934</v>
      </c>
    </row>
    <row r="2780">
      <c r="A2780" s="54" t="s">
        <v>16935</v>
      </c>
      <c r="B2780" s="50" t="s">
        <v>16936</v>
      </c>
      <c r="C2780" s="51" t="s">
        <v>16937</v>
      </c>
      <c r="D2780" s="51"/>
      <c r="E2780" s="51"/>
      <c r="F2780" s="51"/>
      <c r="G2780" s="50" t="s">
        <v>16938</v>
      </c>
      <c r="H2780" s="52">
        <v>44682.97060185185</v>
      </c>
      <c r="I2780" s="50"/>
      <c r="J2780" s="50"/>
      <c r="K2780" s="50"/>
      <c r="L2780" s="50"/>
      <c r="M2780" s="50" t="s">
        <v>16939</v>
      </c>
      <c r="N2780" s="50"/>
      <c r="O2780" s="53" t="s">
        <v>70</v>
      </c>
      <c r="P2780" s="55" t="s">
        <v>16940</v>
      </c>
      <c r="Q2780" s="50">
        <v>1189.0</v>
      </c>
      <c r="R2780" s="50">
        <v>2901.0</v>
      </c>
      <c r="S2780" s="50"/>
      <c r="T2780" s="56" t="s">
        <v>16941</v>
      </c>
      <c r="U2780" s="53" t="s">
        <v>16942</v>
      </c>
    </row>
    <row r="2781">
      <c r="A2781" s="54" t="s">
        <v>16943</v>
      </c>
      <c r="B2781" s="50" t="s">
        <v>16944</v>
      </c>
      <c r="C2781" s="51" t="s">
        <v>367</v>
      </c>
      <c r="D2781" s="51"/>
      <c r="E2781" s="51"/>
      <c r="F2781" s="51"/>
      <c r="G2781" s="50" t="s">
        <v>16945</v>
      </c>
      <c r="H2781" s="52">
        <v>44682.9705787037</v>
      </c>
      <c r="I2781" s="50"/>
      <c r="J2781" s="50"/>
      <c r="K2781" s="50"/>
      <c r="L2781" s="50"/>
      <c r="M2781" s="50" t="s">
        <v>16946</v>
      </c>
      <c r="N2781" s="50"/>
      <c r="O2781" s="53" t="s">
        <v>92</v>
      </c>
      <c r="P2781" s="55" t="s">
        <v>16947</v>
      </c>
      <c r="Q2781" s="50">
        <v>125.0</v>
      </c>
      <c r="R2781" s="50">
        <v>266.0</v>
      </c>
      <c r="S2781" s="50" t="s">
        <v>16948</v>
      </c>
      <c r="T2781" s="56" t="s">
        <v>16949</v>
      </c>
      <c r="U2781" s="53" t="s">
        <v>370</v>
      </c>
    </row>
    <row r="2782">
      <c r="A2782" s="54" t="s">
        <v>16950</v>
      </c>
      <c r="B2782" s="50" t="s">
        <v>16951</v>
      </c>
      <c r="C2782" s="51" t="s">
        <v>16952</v>
      </c>
      <c r="D2782" s="51"/>
      <c r="E2782" s="51"/>
      <c r="F2782" s="51"/>
      <c r="G2782" s="50" t="s">
        <v>16953</v>
      </c>
      <c r="H2782" s="52">
        <v>44682.970543981486</v>
      </c>
      <c r="I2782" s="50"/>
      <c r="J2782" s="50"/>
      <c r="K2782" s="50"/>
      <c r="L2782" s="50"/>
      <c r="M2782" s="50" t="s">
        <v>16954</v>
      </c>
      <c r="N2782" s="50"/>
      <c r="O2782" s="53" t="s">
        <v>60</v>
      </c>
      <c r="P2782" s="55" t="s">
        <v>354</v>
      </c>
      <c r="Q2782" s="50">
        <v>7.0</v>
      </c>
      <c r="R2782" s="50">
        <v>4.0</v>
      </c>
      <c r="S2782" s="50"/>
      <c r="T2782" s="56" t="s">
        <v>16955</v>
      </c>
      <c r="U2782" s="53" t="s">
        <v>16956</v>
      </c>
    </row>
    <row r="2783">
      <c r="A2783" s="54" t="s">
        <v>16957</v>
      </c>
      <c r="B2783" s="50" t="s">
        <v>16958</v>
      </c>
      <c r="C2783" s="51" t="s">
        <v>16959</v>
      </c>
      <c r="D2783" s="51"/>
      <c r="E2783" s="51"/>
      <c r="F2783" s="51"/>
      <c r="G2783" s="50" t="s">
        <v>16960</v>
      </c>
      <c r="H2783" s="52">
        <v>44682.970497685186</v>
      </c>
      <c r="I2783" s="50"/>
      <c r="J2783" s="50"/>
      <c r="K2783" s="50" t="s">
        <v>3317</v>
      </c>
      <c r="L2783" s="50" t="s">
        <v>3318</v>
      </c>
      <c r="M2783" s="50" t="s">
        <v>16961</v>
      </c>
      <c r="N2783" s="50" t="s">
        <v>3426</v>
      </c>
      <c r="O2783" s="53" t="s">
        <v>92</v>
      </c>
      <c r="P2783" s="55" t="s">
        <v>16962</v>
      </c>
      <c r="Q2783" s="50">
        <v>1284.0</v>
      </c>
      <c r="R2783" s="50">
        <v>2452.0</v>
      </c>
      <c r="S2783" s="50" t="s">
        <v>16963</v>
      </c>
      <c r="T2783" s="56" t="s">
        <v>16964</v>
      </c>
      <c r="U2783" s="53" t="s">
        <v>16965</v>
      </c>
    </row>
    <row r="2784">
      <c r="A2784" s="54" t="s">
        <v>16966</v>
      </c>
      <c r="B2784" s="50" t="s">
        <v>16967</v>
      </c>
      <c r="C2784" s="51" t="s">
        <v>363</v>
      </c>
      <c r="D2784" s="51"/>
      <c r="E2784" s="51"/>
      <c r="F2784" s="51"/>
      <c r="G2784" s="50" t="s">
        <v>16968</v>
      </c>
      <c r="H2784" s="52">
        <v>44682.97047453704</v>
      </c>
      <c r="I2784" s="50"/>
      <c r="J2784" s="50"/>
      <c r="K2784" s="50"/>
      <c r="L2784" s="50"/>
      <c r="M2784" s="50" t="s">
        <v>16969</v>
      </c>
      <c r="N2784" s="50"/>
      <c r="O2784" s="53" t="s">
        <v>70</v>
      </c>
      <c r="P2784" s="55" t="s">
        <v>16970</v>
      </c>
      <c r="Q2784" s="50">
        <v>370.0</v>
      </c>
      <c r="R2784" s="50">
        <v>293.0</v>
      </c>
      <c r="S2784" s="50" t="s">
        <v>1607</v>
      </c>
      <c r="T2784" s="56" t="s">
        <v>16971</v>
      </c>
      <c r="U2784" s="53" t="s">
        <v>332</v>
      </c>
    </row>
    <row r="2785">
      <c r="A2785" s="54" t="s">
        <v>16972</v>
      </c>
      <c r="B2785" s="50" t="s">
        <v>16973</v>
      </c>
      <c r="C2785" s="51" t="s">
        <v>2973</v>
      </c>
      <c r="D2785" s="51"/>
      <c r="E2785" s="51"/>
      <c r="F2785" s="51"/>
      <c r="G2785" s="50" t="s">
        <v>16974</v>
      </c>
      <c r="H2785" s="52">
        <v>44682.97012731481</v>
      </c>
      <c r="I2785" s="50"/>
      <c r="J2785" s="50"/>
      <c r="K2785" s="50"/>
      <c r="L2785" s="50"/>
      <c r="M2785" s="50" t="s">
        <v>16975</v>
      </c>
      <c r="N2785" s="50"/>
      <c r="O2785" s="53" t="s">
        <v>70</v>
      </c>
      <c r="P2785" s="55" t="s">
        <v>16976</v>
      </c>
      <c r="Q2785" s="50">
        <v>7494.0</v>
      </c>
      <c r="R2785" s="50">
        <v>8209.0</v>
      </c>
      <c r="S2785" s="50" t="s">
        <v>16977</v>
      </c>
      <c r="T2785" s="56" t="s">
        <v>16978</v>
      </c>
      <c r="U2785" s="53" t="s">
        <v>2978</v>
      </c>
    </row>
    <row r="2786">
      <c r="A2786" s="54" t="s">
        <v>16979</v>
      </c>
      <c r="B2786" s="50" t="s">
        <v>16980</v>
      </c>
      <c r="C2786" s="51" t="s">
        <v>367</v>
      </c>
      <c r="D2786" s="51"/>
      <c r="E2786" s="51"/>
      <c r="F2786" s="51"/>
      <c r="G2786" s="50" t="s">
        <v>16981</v>
      </c>
      <c r="H2786" s="52">
        <v>44682.97001157407</v>
      </c>
      <c r="I2786" s="50"/>
      <c r="J2786" s="50"/>
      <c r="K2786" s="50"/>
      <c r="L2786" s="50"/>
      <c r="M2786" s="50" t="s">
        <v>16982</v>
      </c>
      <c r="N2786" s="50"/>
      <c r="O2786" s="53" t="s">
        <v>70</v>
      </c>
      <c r="P2786" s="55" t="s">
        <v>16983</v>
      </c>
      <c r="Q2786" s="50">
        <v>1871.0</v>
      </c>
      <c r="R2786" s="50">
        <v>5000.0</v>
      </c>
      <c r="S2786" s="50" t="s">
        <v>16984</v>
      </c>
      <c r="T2786" s="56" t="s">
        <v>16985</v>
      </c>
      <c r="U2786" s="53" t="s">
        <v>370</v>
      </c>
    </row>
    <row r="2787">
      <c r="A2787" s="54" t="s">
        <v>16986</v>
      </c>
      <c r="B2787" s="50" t="s">
        <v>16987</v>
      </c>
      <c r="C2787" s="51" t="s">
        <v>316</v>
      </c>
      <c r="D2787" s="51"/>
      <c r="E2787" s="51"/>
      <c r="F2787" s="51"/>
      <c r="G2787" s="50" t="s">
        <v>16988</v>
      </c>
      <c r="H2787" s="52">
        <v>44682.96996527778</v>
      </c>
      <c r="I2787" s="50"/>
      <c r="J2787" s="50"/>
      <c r="K2787" s="50"/>
      <c r="L2787" s="50"/>
      <c r="M2787" s="50" t="s">
        <v>16989</v>
      </c>
      <c r="N2787" s="50"/>
      <c r="O2787" s="53" t="s">
        <v>70</v>
      </c>
      <c r="P2787" s="55" t="s">
        <v>16990</v>
      </c>
      <c r="Q2787" s="50">
        <v>3426.0</v>
      </c>
      <c r="R2787" s="50">
        <v>2343.0</v>
      </c>
      <c r="S2787" s="50" t="s">
        <v>658</v>
      </c>
      <c r="T2787" s="56" t="s">
        <v>16991</v>
      </c>
      <c r="U2787" s="53" t="s">
        <v>322</v>
      </c>
    </row>
    <row r="2788">
      <c r="A2788" s="54" t="s">
        <v>16992</v>
      </c>
      <c r="B2788" s="50" t="s">
        <v>16993</v>
      </c>
      <c r="C2788" s="51" t="s">
        <v>367</v>
      </c>
      <c r="D2788" s="51"/>
      <c r="E2788" s="51"/>
      <c r="F2788" s="51"/>
      <c r="G2788" s="50" t="s">
        <v>16994</v>
      </c>
      <c r="H2788" s="52">
        <v>44682.969930555555</v>
      </c>
      <c r="I2788" s="50"/>
      <c r="J2788" s="50"/>
      <c r="K2788" s="50"/>
      <c r="L2788" s="50"/>
      <c r="M2788" s="50" t="s">
        <v>16995</v>
      </c>
      <c r="N2788" s="50"/>
      <c r="O2788" s="53" t="s">
        <v>70</v>
      </c>
      <c r="P2788" s="55" t="s">
        <v>16996</v>
      </c>
      <c r="Q2788" s="50">
        <v>2016.0</v>
      </c>
      <c r="R2788" s="50">
        <v>2741.0</v>
      </c>
      <c r="S2788" s="50"/>
      <c r="T2788" s="56" t="s">
        <v>16997</v>
      </c>
      <c r="U2788" s="53" t="s">
        <v>370</v>
      </c>
    </row>
    <row r="2789">
      <c r="A2789" s="54" t="s">
        <v>16998</v>
      </c>
      <c r="B2789" s="50" t="s">
        <v>16987</v>
      </c>
      <c r="C2789" s="51" t="s">
        <v>329</v>
      </c>
      <c r="D2789" s="51"/>
      <c r="E2789" s="51"/>
      <c r="F2789" s="51"/>
      <c r="G2789" s="50" t="s">
        <v>16999</v>
      </c>
      <c r="H2789" s="52">
        <v>44682.96979166666</v>
      </c>
      <c r="I2789" s="50"/>
      <c r="J2789" s="50"/>
      <c r="K2789" s="50"/>
      <c r="L2789" s="50"/>
      <c r="M2789" s="50" t="s">
        <v>16989</v>
      </c>
      <c r="N2789" s="50"/>
      <c r="O2789" s="53" t="s">
        <v>70</v>
      </c>
      <c r="P2789" s="55" t="s">
        <v>16990</v>
      </c>
      <c r="Q2789" s="50">
        <v>3426.0</v>
      </c>
      <c r="R2789" s="50">
        <v>2343.0</v>
      </c>
      <c r="S2789" s="50" t="s">
        <v>658</v>
      </c>
      <c r="T2789" s="56" t="s">
        <v>17000</v>
      </c>
      <c r="U2789" s="53" t="s">
        <v>332</v>
      </c>
    </row>
    <row r="2790">
      <c r="A2790" s="54" t="s">
        <v>17001</v>
      </c>
      <c r="B2790" s="50" t="s">
        <v>17002</v>
      </c>
      <c r="C2790" s="51" t="s">
        <v>367</v>
      </c>
      <c r="D2790" s="51"/>
      <c r="E2790" s="51"/>
      <c r="F2790" s="51"/>
      <c r="G2790" s="50" t="s">
        <v>17003</v>
      </c>
      <c r="H2790" s="52">
        <v>44682.969768518524</v>
      </c>
      <c r="I2790" s="50"/>
      <c r="J2790" s="50"/>
      <c r="K2790" s="50"/>
      <c r="L2790" s="50"/>
      <c r="M2790" s="50" t="s">
        <v>17004</v>
      </c>
      <c r="N2790" s="50"/>
      <c r="O2790" s="53" t="s">
        <v>92</v>
      </c>
      <c r="P2790" s="55" t="s">
        <v>17005</v>
      </c>
      <c r="Q2790" s="50">
        <v>1605.0</v>
      </c>
      <c r="R2790" s="50">
        <v>5001.0</v>
      </c>
      <c r="S2790" s="50"/>
      <c r="T2790" s="56" t="s">
        <v>17006</v>
      </c>
      <c r="U2790" s="53" t="s">
        <v>370</v>
      </c>
    </row>
    <row r="2791">
      <c r="A2791" s="54" t="s">
        <v>17007</v>
      </c>
      <c r="B2791" s="50" t="s">
        <v>17008</v>
      </c>
      <c r="C2791" s="51" t="s">
        <v>329</v>
      </c>
      <c r="D2791" s="51"/>
      <c r="E2791" s="51"/>
      <c r="F2791" s="51"/>
      <c r="G2791" s="50" t="s">
        <v>17009</v>
      </c>
      <c r="H2791" s="52">
        <v>44682.969722222224</v>
      </c>
      <c r="I2791" s="50"/>
      <c r="J2791" s="50"/>
      <c r="K2791" s="50"/>
      <c r="L2791" s="50"/>
      <c r="M2791" s="50" t="s">
        <v>17010</v>
      </c>
      <c r="N2791" s="50"/>
      <c r="O2791" s="53" t="s">
        <v>217</v>
      </c>
      <c r="P2791" s="55" t="s">
        <v>17011</v>
      </c>
      <c r="Q2791" s="50">
        <v>2992.0</v>
      </c>
      <c r="R2791" s="50">
        <v>2666.0</v>
      </c>
      <c r="S2791" s="50" t="s">
        <v>2306</v>
      </c>
      <c r="T2791" s="56" t="s">
        <v>17012</v>
      </c>
      <c r="U2791" s="53" t="s">
        <v>332</v>
      </c>
    </row>
    <row r="2792">
      <c r="A2792" s="54" t="s">
        <v>17013</v>
      </c>
      <c r="B2792" s="50" t="s">
        <v>17014</v>
      </c>
      <c r="C2792" s="51" t="s">
        <v>2730</v>
      </c>
      <c r="D2792" s="51"/>
      <c r="E2792" s="51"/>
      <c r="F2792" s="51"/>
      <c r="G2792" s="50" t="s">
        <v>17015</v>
      </c>
      <c r="H2792" s="52">
        <v>44682.96962962963</v>
      </c>
      <c r="I2792" s="50"/>
      <c r="J2792" s="50"/>
      <c r="K2792" s="50"/>
      <c r="L2792" s="50"/>
      <c r="M2792" s="50" t="s">
        <v>17016</v>
      </c>
      <c r="N2792" s="50"/>
      <c r="O2792" s="53" t="s">
        <v>92</v>
      </c>
      <c r="P2792" s="55" t="s">
        <v>17017</v>
      </c>
      <c r="Q2792" s="50">
        <v>1039.0</v>
      </c>
      <c r="R2792" s="50">
        <v>267.0</v>
      </c>
      <c r="S2792" s="50" t="s">
        <v>219</v>
      </c>
      <c r="T2792" s="56" t="s">
        <v>17018</v>
      </c>
      <c r="U2792" s="53" t="s">
        <v>2736</v>
      </c>
    </row>
    <row r="2793">
      <c r="A2793" s="54" t="s">
        <v>17019</v>
      </c>
      <c r="B2793" s="50" t="s">
        <v>16987</v>
      </c>
      <c r="C2793" s="51" t="s">
        <v>335</v>
      </c>
      <c r="D2793" s="51"/>
      <c r="E2793" s="51"/>
      <c r="F2793" s="51"/>
      <c r="G2793" s="50" t="s">
        <v>17015</v>
      </c>
      <c r="H2793" s="52">
        <v>44682.96962962963</v>
      </c>
      <c r="I2793" s="50"/>
      <c r="J2793" s="50"/>
      <c r="K2793" s="50"/>
      <c r="L2793" s="50"/>
      <c r="M2793" s="50" t="s">
        <v>16989</v>
      </c>
      <c r="N2793" s="50"/>
      <c r="O2793" s="53" t="s">
        <v>70</v>
      </c>
      <c r="P2793" s="55" t="s">
        <v>16990</v>
      </c>
      <c r="Q2793" s="50">
        <v>3426.0</v>
      </c>
      <c r="R2793" s="50">
        <v>2343.0</v>
      </c>
      <c r="S2793" s="50" t="s">
        <v>658</v>
      </c>
      <c r="T2793" s="56" t="s">
        <v>17020</v>
      </c>
      <c r="U2793" s="53" t="s">
        <v>339</v>
      </c>
    </row>
    <row r="2794">
      <c r="A2794" s="54" t="s">
        <v>17021</v>
      </c>
      <c r="B2794" s="50" t="s">
        <v>17022</v>
      </c>
      <c r="C2794" s="51" t="s">
        <v>17023</v>
      </c>
      <c r="D2794" s="51"/>
      <c r="E2794" s="51"/>
      <c r="F2794" s="51"/>
      <c r="G2794" s="50" t="s">
        <v>17024</v>
      </c>
      <c r="H2794" s="52">
        <v>44682.96951388889</v>
      </c>
      <c r="I2794" s="50"/>
      <c r="J2794" s="50"/>
      <c r="K2794" s="50"/>
      <c r="L2794" s="50"/>
      <c r="M2794" s="50" t="s">
        <v>17025</v>
      </c>
      <c r="N2794" s="50"/>
      <c r="O2794" s="53" t="s">
        <v>17026</v>
      </c>
      <c r="P2794" s="55" t="s">
        <v>17027</v>
      </c>
      <c r="Q2794" s="50">
        <v>1527.0</v>
      </c>
      <c r="R2794" s="50">
        <v>34.0</v>
      </c>
      <c r="S2794" s="50"/>
      <c r="T2794" s="56" t="s">
        <v>17028</v>
      </c>
      <c r="U2794" s="53" t="s">
        <v>17029</v>
      </c>
    </row>
    <row r="2795">
      <c r="A2795" s="54" t="s">
        <v>17030</v>
      </c>
      <c r="B2795" s="50" t="s">
        <v>17031</v>
      </c>
      <c r="C2795" s="51" t="s">
        <v>9487</v>
      </c>
      <c r="D2795" s="51"/>
      <c r="E2795" s="51"/>
      <c r="F2795" s="51"/>
      <c r="G2795" s="50" t="s">
        <v>17032</v>
      </c>
      <c r="H2795" s="52">
        <v>44682.96949074074</v>
      </c>
      <c r="I2795" s="50"/>
      <c r="J2795" s="50"/>
      <c r="K2795" s="50"/>
      <c r="L2795" s="50"/>
      <c r="M2795" s="50" t="s">
        <v>17033</v>
      </c>
      <c r="N2795" s="50"/>
      <c r="O2795" s="53" t="s">
        <v>60</v>
      </c>
      <c r="P2795" s="55" t="s">
        <v>17034</v>
      </c>
      <c r="Q2795" s="50">
        <v>2264.0</v>
      </c>
      <c r="R2795" s="50">
        <v>2716.0</v>
      </c>
      <c r="S2795" s="50"/>
      <c r="T2795" s="56" t="s">
        <v>17035</v>
      </c>
      <c r="U2795" s="53" t="s">
        <v>691</v>
      </c>
    </row>
    <row r="2796">
      <c r="A2796" s="54" t="s">
        <v>17036</v>
      </c>
      <c r="B2796" s="50" t="s">
        <v>16987</v>
      </c>
      <c r="C2796" s="51" t="s">
        <v>363</v>
      </c>
      <c r="D2796" s="51"/>
      <c r="E2796" s="51"/>
      <c r="F2796" s="51"/>
      <c r="G2796" s="50" t="s">
        <v>17037</v>
      </c>
      <c r="H2796" s="52">
        <v>44682.969456018516</v>
      </c>
      <c r="I2796" s="50"/>
      <c r="J2796" s="50"/>
      <c r="K2796" s="50"/>
      <c r="L2796" s="50"/>
      <c r="M2796" s="50" t="s">
        <v>16989</v>
      </c>
      <c r="N2796" s="50"/>
      <c r="O2796" s="53" t="s">
        <v>70</v>
      </c>
      <c r="P2796" s="55" t="s">
        <v>16990</v>
      </c>
      <c r="Q2796" s="50">
        <v>3426.0</v>
      </c>
      <c r="R2796" s="50">
        <v>2343.0</v>
      </c>
      <c r="S2796" s="50" t="s">
        <v>658</v>
      </c>
      <c r="T2796" s="56" t="s">
        <v>17038</v>
      </c>
      <c r="U2796" s="53" t="s">
        <v>332</v>
      </c>
    </row>
    <row r="2797">
      <c r="A2797" s="54" t="s">
        <v>17039</v>
      </c>
      <c r="B2797" s="50" t="s">
        <v>17040</v>
      </c>
      <c r="C2797" s="51" t="s">
        <v>367</v>
      </c>
      <c r="D2797" s="51"/>
      <c r="E2797" s="51"/>
      <c r="F2797" s="51"/>
      <c r="G2797" s="50" t="s">
        <v>17041</v>
      </c>
      <c r="H2797" s="52">
        <v>44682.96944444445</v>
      </c>
      <c r="I2797" s="50"/>
      <c r="J2797" s="50"/>
      <c r="K2797" s="50"/>
      <c r="L2797" s="50"/>
      <c r="M2797" s="50" t="s">
        <v>17042</v>
      </c>
      <c r="N2797" s="50"/>
      <c r="O2797" s="53" t="s">
        <v>70</v>
      </c>
      <c r="P2797" s="55" t="s">
        <v>17043</v>
      </c>
      <c r="Q2797" s="50">
        <v>1648.0</v>
      </c>
      <c r="R2797" s="50">
        <v>2282.0</v>
      </c>
      <c r="S2797" s="50"/>
      <c r="T2797" s="56" t="s">
        <v>17044</v>
      </c>
      <c r="U2797" s="53" t="s">
        <v>370</v>
      </c>
    </row>
    <row r="2798">
      <c r="A2798" s="54" t="s">
        <v>17045</v>
      </c>
      <c r="B2798" s="50" t="s">
        <v>16987</v>
      </c>
      <c r="C2798" s="51" t="s">
        <v>367</v>
      </c>
      <c r="D2798" s="51"/>
      <c r="E2798" s="51"/>
      <c r="F2798" s="51"/>
      <c r="G2798" s="50" t="s">
        <v>17046</v>
      </c>
      <c r="H2798" s="52">
        <v>44682.96928240741</v>
      </c>
      <c r="I2798" s="50"/>
      <c r="J2798" s="50"/>
      <c r="K2798" s="50"/>
      <c r="L2798" s="50"/>
      <c r="M2798" s="50" t="s">
        <v>16989</v>
      </c>
      <c r="N2798" s="50"/>
      <c r="O2798" s="53" t="s">
        <v>70</v>
      </c>
      <c r="P2798" s="55" t="s">
        <v>16990</v>
      </c>
      <c r="Q2798" s="50">
        <v>3426.0</v>
      </c>
      <c r="R2798" s="50">
        <v>2343.0</v>
      </c>
      <c r="S2798" s="50" t="s">
        <v>658</v>
      </c>
      <c r="T2798" s="56" t="s">
        <v>17047</v>
      </c>
      <c r="U2798" s="53" t="s">
        <v>370</v>
      </c>
    </row>
    <row r="2799">
      <c r="A2799" s="54" t="s">
        <v>17048</v>
      </c>
      <c r="B2799" s="50" t="s">
        <v>17049</v>
      </c>
      <c r="C2799" s="51" t="s">
        <v>367</v>
      </c>
      <c r="D2799" s="51"/>
      <c r="E2799" s="51"/>
      <c r="F2799" s="51"/>
      <c r="G2799" s="50" t="s">
        <v>17050</v>
      </c>
      <c r="H2799" s="52">
        <v>44682.96922453704</v>
      </c>
      <c r="I2799" s="50"/>
      <c r="J2799" s="50"/>
      <c r="K2799" s="50"/>
      <c r="L2799" s="50"/>
      <c r="M2799" s="50" t="s">
        <v>17051</v>
      </c>
      <c r="N2799" s="50"/>
      <c r="O2799" s="53" t="s">
        <v>217</v>
      </c>
      <c r="P2799" s="55" t="s">
        <v>17052</v>
      </c>
      <c r="Q2799" s="50">
        <v>467.0</v>
      </c>
      <c r="R2799" s="50">
        <v>1083.0</v>
      </c>
      <c r="S2799" s="50" t="s">
        <v>17053</v>
      </c>
      <c r="T2799" s="56" t="s">
        <v>17054</v>
      </c>
      <c r="U2799" s="53" t="s">
        <v>370</v>
      </c>
    </row>
    <row r="2800">
      <c r="A2800" s="54" t="s">
        <v>17055</v>
      </c>
      <c r="B2800" s="50" t="s">
        <v>17056</v>
      </c>
      <c r="C2800" s="51" t="s">
        <v>17057</v>
      </c>
      <c r="D2800" s="51"/>
      <c r="E2800" s="51"/>
      <c r="F2800" s="51"/>
      <c r="G2800" s="50" t="s">
        <v>17058</v>
      </c>
      <c r="H2800" s="52">
        <v>44682.96916666666</v>
      </c>
      <c r="I2800" s="50"/>
      <c r="J2800" s="50"/>
      <c r="K2800" s="50"/>
      <c r="L2800" s="50"/>
      <c r="M2800" s="50" t="s">
        <v>17059</v>
      </c>
      <c r="N2800" s="50"/>
      <c r="O2800" s="53" t="s">
        <v>92</v>
      </c>
      <c r="P2800" s="55" t="s">
        <v>354</v>
      </c>
      <c r="Q2800" s="50">
        <v>2195.0</v>
      </c>
      <c r="R2800" s="50">
        <v>2365.0</v>
      </c>
      <c r="S2800" s="50" t="s">
        <v>379</v>
      </c>
      <c r="T2800" s="56" t="s">
        <v>17060</v>
      </c>
      <c r="U2800" s="53" t="s">
        <v>17061</v>
      </c>
    </row>
    <row r="2801">
      <c r="A2801" s="54" t="s">
        <v>17062</v>
      </c>
      <c r="B2801" s="50" t="s">
        <v>17063</v>
      </c>
      <c r="C2801" s="51" t="s">
        <v>316</v>
      </c>
      <c r="D2801" s="51"/>
      <c r="E2801" s="51"/>
      <c r="F2801" s="51"/>
      <c r="G2801" s="50" t="s">
        <v>17064</v>
      </c>
      <c r="H2801" s="52">
        <v>44682.96913194444</v>
      </c>
      <c r="I2801" s="50"/>
      <c r="J2801" s="50"/>
      <c r="K2801" s="50"/>
      <c r="L2801" s="50"/>
      <c r="M2801" s="50" t="s">
        <v>17065</v>
      </c>
      <c r="N2801" s="50"/>
      <c r="O2801" s="53" t="s">
        <v>70</v>
      </c>
      <c r="P2801" s="55" t="s">
        <v>17066</v>
      </c>
      <c r="Q2801" s="50">
        <v>577.0</v>
      </c>
      <c r="R2801" s="50">
        <v>811.0</v>
      </c>
      <c r="S2801" s="50" t="s">
        <v>17067</v>
      </c>
      <c r="T2801" s="56" t="s">
        <v>17068</v>
      </c>
      <c r="U2801" s="53" t="s">
        <v>322</v>
      </c>
    </row>
    <row r="2802">
      <c r="A2802" s="54" t="s">
        <v>17069</v>
      </c>
      <c r="B2802" s="50" t="s">
        <v>17070</v>
      </c>
      <c r="C2802" s="51" t="s">
        <v>316</v>
      </c>
      <c r="D2802" s="51"/>
      <c r="E2802" s="51"/>
      <c r="F2802" s="51"/>
      <c r="G2802" s="50" t="s">
        <v>17071</v>
      </c>
      <c r="H2802" s="52">
        <v>44682.9691087963</v>
      </c>
      <c r="I2802" s="50"/>
      <c r="J2802" s="50"/>
      <c r="K2802" s="50"/>
      <c r="L2802" s="50"/>
      <c r="M2802" s="50" t="s">
        <v>17072</v>
      </c>
      <c r="N2802" s="50"/>
      <c r="O2802" s="53" t="s">
        <v>92</v>
      </c>
      <c r="P2802" s="55" t="s">
        <v>17073</v>
      </c>
      <c r="Q2802" s="50">
        <v>304.0</v>
      </c>
      <c r="R2802" s="50">
        <v>555.0</v>
      </c>
      <c r="S2802" s="50"/>
      <c r="T2802" s="56" t="s">
        <v>17074</v>
      </c>
      <c r="U2802" s="53" t="s">
        <v>322</v>
      </c>
    </row>
    <row r="2803">
      <c r="A2803" s="54" t="s">
        <v>17075</v>
      </c>
      <c r="B2803" s="50" t="s">
        <v>8481</v>
      </c>
      <c r="C2803" s="51" t="s">
        <v>6828</v>
      </c>
      <c r="D2803" s="51"/>
      <c r="E2803" s="51"/>
      <c r="F2803" s="51"/>
      <c r="G2803" s="50" t="s">
        <v>17076</v>
      </c>
      <c r="H2803" s="52">
        <v>44682.968923611115</v>
      </c>
      <c r="I2803" s="50"/>
      <c r="J2803" s="50"/>
      <c r="K2803" s="50"/>
      <c r="L2803" s="50"/>
      <c r="M2803" s="50" t="s">
        <v>8483</v>
      </c>
      <c r="N2803" s="50"/>
      <c r="O2803" s="53" t="s">
        <v>92</v>
      </c>
      <c r="P2803" s="55" t="s">
        <v>8484</v>
      </c>
      <c r="Q2803" s="50">
        <v>4239.0</v>
      </c>
      <c r="R2803" s="50">
        <v>4398.0</v>
      </c>
      <c r="S2803" s="50"/>
      <c r="T2803" s="56" t="s">
        <v>17077</v>
      </c>
      <c r="U2803" s="53" t="s">
        <v>6833</v>
      </c>
    </row>
    <row r="2804">
      <c r="A2804" s="54" t="s">
        <v>17078</v>
      </c>
      <c r="B2804" s="50" t="s">
        <v>17079</v>
      </c>
      <c r="C2804" s="51" t="s">
        <v>329</v>
      </c>
      <c r="D2804" s="51"/>
      <c r="E2804" s="51"/>
      <c r="F2804" s="51"/>
      <c r="G2804" s="50" t="s">
        <v>17080</v>
      </c>
      <c r="H2804" s="52">
        <v>44682.96884259259</v>
      </c>
      <c r="I2804" s="50"/>
      <c r="J2804" s="50"/>
      <c r="K2804" s="50"/>
      <c r="L2804" s="50"/>
      <c r="M2804" s="50" t="s">
        <v>17081</v>
      </c>
      <c r="N2804" s="50"/>
      <c r="O2804" s="53" t="s">
        <v>70</v>
      </c>
      <c r="P2804" s="55" t="s">
        <v>17082</v>
      </c>
      <c r="Q2804" s="50">
        <v>1676.0</v>
      </c>
      <c r="R2804" s="50">
        <v>3925.0</v>
      </c>
      <c r="S2804" s="50" t="s">
        <v>219</v>
      </c>
      <c r="T2804" s="56" t="s">
        <v>17083</v>
      </c>
      <c r="U2804" s="53" t="s">
        <v>332</v>
      </c>
    </row>
    <row r="2805">
      <c r="A2805" s="54" t="s">
        <v>17084</v>
      </c>
      <c r="B2805" s="50" t="s">
        <v>17085</v>
      </c>
      <c r="C2805" s="51" t="s">
        <v>2973</v>
      </c>
      <c r="D2805" s="51"/>
      <c r="E2805" s="51"/>
      <c r="F2805" s="51"/>
      <c r="G2805" s="50" t="s">
        <v>17086</v>
      </c>
      <c r="H2805" s="52">
        <v>44682.968819444446</v>
      </c>
      <c r="I2805" s="50"/>
      <c r="J2805" s="50"/>
      <c r="K2805" s="50"/>
      <c r="L2805" s="50"/>
      <c r="M2805" s="50" t="s">
        <v>17087</v>
      </c>
      <c r="N2805" s="50"/>
      <c r="O2805" s="53" t="s">
        <v>60</v>
      </c>
      <c r="P2805" s="55" t="s">
        <v>17088</v>
      </c>
      <c r="Q2805" s="50">
        <v>2119.0</v>
      </c>
      <c r="R2805" s="50">
        <v>2916.0</v>
      </c>
      <c r="S2805" s="50" t="s">
        <v>17089</v>
      </c>
      <c r="T2805" s="56" t="s">
        <v>17090</v>
      </c>
      <c r="U2805" s="53" t="s">
        <v>2978</v>
      </c>
    </row>
    <row r="2806">
      <c r="A2806" s="54" t="s">
        <v>17091</v>
      </c>
      <c r="B2806" s="50" t="s">
        <v>17092</v>
      </c>
      <c r="C2806" s="51" t="s">
        <v>2730</v>
      </c>
      <c r="D2806" s="51"/>
      <c r="E2806" s="51"/>
      <c r="F2806" s="51"/>
      <c r="G2806" s="50" t="s">
        <v>17093</v>
      </c>
      <c r="H2806" s="52">
        <v>44682.96879629629</v>
      </c>
      <c r="I2806" s="50"/>
      <c r="J2806" s="50"/>
      <c r="K2806" s="50"/>
      <c r="L2806" s="50"/>
      <c r="M2806" s="50" t="s">
        <v>17094</v>
      </c>
      <c r="N2806" s="50"/>
      <c r="O2806" s="53" t="s">
        <v>92</v>
      </c>
      <c r="P2806" s="55" t="s">
        <v>17095</v>
      </c>
      <c r="Q2806" s="50">
        <v>7855.0</v>
      </c>
      <c r="R2806" s="50">
        <v>7606.0</v>
      </c>
      <c r="S2806" s="50" t="s">
        <v>219</v>
      </c>
      <c r="T2806" s="56" t="s">
        <v>17096</v>
      </c>
      <c r="U2806" s="53" t="s">
        <v>2736</v>
      </c>
    </row>
    <row r="2807">
      <c r="A2807" s="54" t="s">
        <v>17097</v>
      </c>
      <c r="B2807" s="50" t="s">
        <v>17098</v>
      </c>
      <c r="C2807" s="51" t="s">
        <v>855</v>
      </c>
      <c r="D2807" s="51"/>
      <c r="E2807" s="51"/>
      <c r="F2807" s="51"/>
      <c r="G2807" s="50" t="s">
        <v>17099</v>
      </c>
      <c r="H2807" s="52">
        <v>44682.96833333334</v>
      </c>
      <c r="I2807" s="50"/>
      <c r="J2807" s="50"/>
      <c r="K2807" s="50"/>
      <c r="L2807" s="50"/>
      <c r="M2807" s="50" t="s">
        <v>17100</v>
      </c>
      <c r="N2807" s="50"/>
      <c r="O2807" s="53" t="s">
        <v>70</v>
      </c>
      <c r="P2807" s="55" t="s">
        <v>354</v>
      </c>
      <c r="Q2807" s="50">
        <v>65.0</v>
      </c>
      <c r="R2807" s="50">
        <v>164.0</v>
      </c>
      <c r="S2807" s="50"/>
      <c r="T2807" s="56" t="s">
        <v>17101</v>
      </c>
      <c r="U2807" s="53" t="s">
        <v>861</v>
      </c>
    </row>
    <row r="2808">
      <c r="A2808" s="54" t="s">
        <v>17102</v>
      </c>
      <c r="B2808" s="50" t="s">
        <v>17103</v>
      </c>
      <c r="C2808" s="51" t="s">
        <v>329</v>
      </c>
      <c r="D2808" s="51"/>
      <c r="E2808" s="51"/>
      <c r="F2808" s="51"/>
      <c r="G2808" s="50" t="s">
        <v>17104</v>
      </c>
      <c r="H2808" s="52">
        <v>44682.96800925926</v>
      </c>
      <c r="I2808" s="50"/>
      <c r="J2808" s="50"/>
      <c r="K2808" s="50"/>
      <c r="L2808" s="50"/>
      <c r="M2808" s="50" t="s">
        <v>17105</v>
      </c>
      <c r="N2808" s="50"/>
      <c r="O2808" s="53" t="s">
        <v>70</v>
      </c>
      <c r="P2808" s="55" t="s">
        <v>17106</v>
      </c>
      <c r="Q2808" s="50">
        <v>271.0</v>
      </c>
      <c r="R2808" s="50">
        <v>499.0</v>
      </c>
      <c r="S2808" s="50" t="s">
        <v>219</v>
      </c>
      <c r="T2808" s="56" t="s">
        <v>17107</v>
      </c>
      <c r="U2808" s="53" t="s">
        <v>332</v>
      </c>
    </row>
    <row r="2809">
      <c r="A2809" s="54" t="s">
        <v>17108</v>
      </c>
      <c r="B2809" s="50" t="s">
        <v>17103</v>
      </c>
      <c r="C2809" s="51" t="s">
        <v>363</v>
      </c>
      <c r="D2809" s="51"/>
      <c r="E2809" s="51"/>
      <c r="F2809" s="51"/>
      <c r="G2809" s="50" t="s">
        <v>17109</v>
      </c>
      <c r="H2809" s="52">
        <v>44682.967835648145</v>
      </c>
      <c r="I2809" s="50"/>
      <c r="J2809" s="50"/>
      <c r="K2809" s="50"/>
      <c r="L2809" s="50"/>
      <c r="M2809" s="50" t="s">
        <v>17105</v>
      </c>
      <c r="N2809" s="50"/>
      <c r="O2809" s="53" t="s">
        <v>70</v>
      </c>
      <c r="P2809" s="55" t="s">
        <v>17106</v>
      </c>
      <c r="Q2809" s="50">
        <v>271.0</v>
      </c>
      <c r="R2809" s="50">
        <v>499.0</v>
      </c>
      <c r="S2809" s="50" t="s">
        <v>219</v>
      </c>
      <c r="T2809" s="56" t="s">
        <v>17110</v>
      </c>
      <c r="U2809" s="53" t="s">
        <v>332</v>
      </c>
    </row>
    <row r="2810">
      <c r="A2810" s="54" t="s">
        <v>17111</v>
      </c>
      <c r="B2810" s="50" t="s">
        <v>17103</v>
      </c>
      <c r="C2810" s="51" t="s">
        <v>367</v>
      </c>
      <c r="D2810" s="51"/>
      <c r="E2810" s="51"/>
      <c r="F2810" s="51"/>
      <c r="G2810" s="50" t="s">
        <v>17112</v>
      </c>
      <c r="H2810" s="52">
        <v>44682.9677662037</v>
      </c>
      <c r="I2810" s="50"/>
      <c r="J2810" s="50"/>
      <c r="K2810" s="50"/>
      <c r="L2810" s="50"/>
      <c r="M2810" s="50" t="s">
        <v>17105</v>
      </c>
      <c r="N2810" s="50"/>
      <c r="O2810" s="53" t="s">
        <v>70</v>
      </c>
      <c r="P2810" s="55" t="s">
        <v>17106</v>
      </c>
      <c r="Q2810" s="50">
        <v>271.0</v>
      </c>
      <c r="R2810" s="50">
        <v>499.0</v>
      </c>
      <c r="S2810" s="50" t="s">
        <v>219</v>
      </c>
      <c r="T2810" s="56" t="s">
        <v>17113</v>
      </c>
      <c r="U2810" s="53" t="s">
        <v>370</v>
      </c>
    </row>
    <row r="2811">
      <c r="A2811" s="54" t="s">
        <v>17114</v>
      </c>
      <c r="B2811" s="50" t="s">
        <v>17070</v>
      </c>
      <c r="C2811" s="51" t="s">
        <v>342</v>
      </c>
      <c r="D2811" s="51"/>
      <c r="E2811" s="51"/>
      <c r="F2811" s="51"/>
      <c r="G2811" s="50" t="s">
        <v>17115</v>
      </c>
      <c r="H2811" s="52">
        <v>44682.96775462963</v>
      </c>
      <c r="I2811" s="50"/>
      <c r="J2811" s="50"/>
      <c r="K2811" s="50"/>
      <c r="L2811" s="50"/>
      <c r="M2811" s="50" t="s">
        <v>17072</v>
      </c>
      <c r="N2811" s="50"/>
      <c r="O2811" s="53" t="s">
        <v>92</v>
      </c>
      <c r="P2811" s="55" t="s">
        <v>17073</v>
      </c>
      <c r="Q2811" s="50">
        <v>304.0</v>
      </c>
      <c r="R2811" s="50">
        <v>555.0</v>
      </c>
      <c r="S2811" s="50"/>
      <c r="T2811" s="56" t="s">
        <v>17116</v>
      </c>
      <c r="U2811" s="53" t="s">
        <v>348</v>
      </c>
    </row>
    <row r="2812">
      <c r="A2812" s="54" t="s">
        <v>17117</v>
      </c>
      <c r="B2812" s="50" t="s">
        <v>17118</v>
      </c>
      <c r="C2812" s="51" t="s">
        <v>367</v>
      </c>
      <c r="D2812" s="51"/>
      <c r="E2812" s="51"/>
      <c r="F2812" s="51"/>
      <c r="G2812" s="50" t="s">
        <v>17119</v>
      </c>
      <c r="H2812" s="52">
        <v>44682.967673611114</v>
      </c>
      <c r="I2812" s="50"/>
      <c r="J2812" s="50"/>
      <c r="K2812" s="50"/>
      <c r="L2812" s="50"/>
      <c r="M2812" s="50" t="s">
        <v>17120</v>
      </c>
      <c r="N2812" s="50"/>
      <c r="O2812" s="53" t="s">
        <v>92</v>
      </c>
      <c r="P2812" s="55" t="s">
        <v>17121</v>
      </c>
      <c r="Q2812" s="50">
        <v>4145.0</v>
      </c>
      <c r="R2812" s="50">
        <v>4947.0</v>
      </c>
      <c r="S2812" s="50" t="s">
        <v>5819</v>
      </c>
      <c r="T2812" s="56" t="s">
        <v>17122</v>
      </c>
      <c r="U2812" s="53" t="s">
        <v>370</v>
      </c>
    </row>
    <row r="2813">
      <c r="A2813" s="54" t="s">
        <v>17123</v>
      </c>
      <c r="B2813" s="50" t="s">
        <v>17124</v>
      </c>
      <c r="C2813" s="51" t="s">
        <v>367</v>
      </c>
      <c r="D2813" s="51"/>
      <c r="E2813" s="51"/>
      <c r="F2813" s="51"/>
      <c r="G2813" s="50" t="s">
        <v>17125</v>
      </c>
      <c r="H2813" s="52">
        <v>44682.96761574074</v>
      </c>
      <c r="I2813" s="50"/>
      <c r="J2813" s="50"/>
      <c r="K2813" s="50"/>
      <c r="L2813" s="50"/>
      <c r="M2813" s="50" t="s">
        <v>17126</v>
      </c>
      <c r="N2813" s="50"/>
      <c r="O2813" s="53" t="s">
        <v>70</v>
      </c>
      <c r="P2813" s="55" t="s">
        <v>17127</v>
      </c>
      <c r="Q2813" s="50">
        <v>4.0</v>
      </c>
      <c r="R2813" s="50">
        <v>37.0</v>
      </c>
      <c r="S2813" s="50"/>
      <c r="T2813" s="56" t="s">
        <v>17128</v>
      </c>
      <c r="U2813" s="53" t="s">
        <v>370</v>
      </c>
    </row>
    <row r="2814">
      <c r="A2814" s="54" t="s">
        <v>17129</v>
      </c>
      <c r="B2814" s="50" t="s">
        <v>17130</v>
      </c>
      <c r="C2814" s="51" t="s">
        <v>316</v>
      </c>
      <c r="D2814" s="51"/>
      <c r="E2814" s="51"/>
      <c r="F2814" s="51"/>
      <c r="G2814" s="50" t="s">
        <v>17125</v>
      </c>
      <c r="H2814" s="52">
        <v>44682.96761574074</v>
      </c>
      <c r="I2814" s="50"/>
      <c r="J2814" s="50"/>
      <c r="K2814" s="50"/>
      <c r="L2814" s="50"/>
      <c r="M2814" s="50" t="s">
        <v>17131</v>
      </c>
      <c r="N2814" s="50"/>
      <c r="O2814" s="53" t="s">
        <v>70</v>
      </c>
      <c r="P2814" s="55" t="s">
        <v>17132</v>
      </c>
      <c r="Q2814" s="50">
        <v>3601.0</v>
      </c>
      <c r="R2814" s="50">
        <v>4976.0</v>
      </c>
      <c r="S2814" s="50" t="s">
        <v>17133</v>
      </c>
      <c r="T2814" s="56" t="s">
        <v>17134</v>
      </c>
      <c r="U2814" s="53" t="s">
        <v>322</v>
      </c>
    </row>
    <row r="2815">
      <c r="A2815" s="54" t="s">
        <v>17135</v>
      </c>
      <c r="B2815" s="50" t="s">
        <v>17070</v>
      </c>
      <c r="C2815" s="51" t="s">
        <v>16597</v>
      </c>
      <c r="D2815" s="51"/>
      <c r="E2815" s="51"/>
      <c r="F2815" s="51"/>
      <c r="G2815" s="50" t="s">
        <v>17136</v>
      </c>
      <c r="H2815" s="52">
        <v>44682.967557870375</v>
      </c>
      <c r="I2815" s="50"/>
      <c r="J2815" s="50"/>
      <c r="K2815" s="50"/>
      <c r="L2815" s="50"/>
      <c r="M2815" s="50" t="s">
        <v>17072</v>
      </c>
      <c r="N2815" s="50"/>
      <c r="O2815" s="53" t="s">
        <v>92</v>
      </c>
      <c r="P2815" s="55" t="s">
        <v>17073</v>
      </c>
      <c r="Q2815" s="50">
        <v>304.0</v>
      </c>
      <c r="R2815" s="50">
        <v>555.0</v>
      </c>
      <c r="S2815" s="50"/>
      <c r="T2815" s="56" t="s">
        <v>17137</v>
      </c>
      <c r="U2815" s="53" t="s">
        <v>16602</v>
      </c>
    </row>
    <row r="2816">
      <c r="A2816" s="54" t="s">
        <v>17138</v>
      </c>
      <c r="B2816" s="50" t="s">
        <v>17139</v>
      </c>
      <c r="C2816" s="51" t="s">
        <v>367</v>
      </c>
      <c r="D2816" s="51"/>
      <c r="E2816" s="51"/>
      <c r="F2816" s="51"/>
      <c r="G2816" s="50" t="s">
        <v>17140</v>
      </c>
      <c r="H2816" s="52">
        <v>44682.96747685185</v>
      </c>
      <c r="I2816" s="50"/>
      <c r="J2816" s="50"/>
      <c r="K2816" s="50"/>
      <c r="L2816" s="50"/>
      <c r="M2816" s="50" t="s">
        <v>17141</v>
      </c>
      <c r="N2816" s="50"/>
      <c r="O2816" s="53" t="s">
        <v>70</v>
      </c>
      <c r="P2816" s="55" t="s">
        <v>17142</v>
      </c>
      <c r="Q2816" s="50">
        <v>337.0</v>
      </c>
      <c r="R2816" s="50">
        <v>254.0</v>
      </c>
      <c r="S2816" s="50" t="s">
        <v>5009</v>
      </c>
      <c r="T2816" s="56" t="s">
        <v>17143</v>
      </c>
      <c r="U2816" s="53" t="s">
        <v>370</v>
      </c>
    </row>
    <row r="2817">
      <c r="A2817" s="54" t="s">
        <v>17144</v>
      </c>
      <c r="B2817" s="50" t="s">
        <v>17145</v>
      </c>
      <c r="C2817" s="51" t="s">
        <v>367</v>
      </c>
      <c r="D2817" s="51"/>
      <c r="E2817" s="51"/>
      <c r="F2817" s="51"/>
      <c r="G2817" s="50" t="s">
        <v>17146</v>
      </c>
      <c r="H2817" s="52">
        <v>44682.96741898148</v>
      </c>
      <c r="I2817" s="50"/>
      <c r="J2817" s="50"/>
      <c r="K2817" s="50"/>
      <c r="L2817" s="50"/>
      <c r="M2817" s="50" t="s">
        <v>17147</v>
      </c>
      <c r="N2817" s="50"/>
      <c r="O2817" s="53" t="s">
        <v>92</v>
      </c>
      <c r="P2817" s="55" t="s">
        <v>17148</v>
      </c>
      <c r="Q2817" s="50">
        <v>285.0</v>
      </c>
      <c r="R2817" s="50">
        <v>477.0</v>
      </c>
      <c r="S2817" s="50" t="s">
        <v>17149</v>
      </c>
      <c r="T2817" s="56" t="s">
        <v>17150</v>
      </c>
      <c r="U2817" s="53" t="s">
        <v>370</v>
      </c>
    </row>
    <row r="2818">
      <c r="A2818" s="54" t="s">
        <v>17151</v>
      </c>
      <c r="B2818" s="50" t="s">
        <v>17152</v>
      </c>
      <c r="C2818" s="51" t="s">
        <v>367</v>
      </c>
      <c r="D2818" s="51"/>
      <c r="E2818" s="51"/>
      <c r="F2818" s="51"/>
      <c r="G2818" s="50" t="s">
        <v>17153</v>
      </c>
      <c r="H2818" s="52">
        <v>44682.96703703704</v>
      </c>
      <c r="I2818" s="50"/>
      <c r="J2818" s="50"/>
      <c r="K2818" s="50"/>
      <c r="L2818" s="50"/>
      <c r="M2818" s="50" t="s">
        <v>17154</v>
      </c>
      <c r="N2818" s="50"/>
      <c r="O2818" s="53" t="s">
        <v>70</v>
      </c>
      <c r="P2818" s="55" t="s">
        <v>17155</v>
      </c>
      <c r="Q2818" s="50">
        <v>496.0</v>
      </c>
      <c r="R2818" s="50">
        <v>4995.0</v>
      </c>
      <c r="S2818" s="50"/>
      <c r="T2818" s="56" t="s">
        <v>17156</v>
      </c>
      <c r="U2818" s="53" t="s">
        <v>370</v>
      </c>
    </row>
    <row r="2819">
      <c r="A2819" s="54" t="s">
        <v>17157</v>
      </c>
      <c r="B2819" s="50" t="s">
        <v>17158</v>
      </c>
      <c r="C2819" s="51" t="s">
        <v>17023</v>
      </c>
      <c r="D2819" s="51"/>
      <c r="E2819" s="51"/>
      <c r="F2819" s="51"/>
      <c r="G2819" s="50" t="s">
        <v>17159</v>
      </c>
      <c r="H2819" s="52">
        <v>44682.96680555555</v>
      </c>
      <c r="I2819" s="50"/>
      <c r="J2819" s="50"/>
      <c r="K2819" s="50"/>
      <c r="L2819" s="50"/>
      <c r="M2819" s="50" t="s">
        <v>17160</v>
      </c>
      <c r="N2819" s="50"/>
      <c r="O2819" s="53" t="s">
        <v>17161</v>
      </c>
      <c r="P2819" s="55" t="s">
        <v>17162</v>
      </c>
      <c r="Q2819" s="50">
        <v>7376.0</v>
      </c>
      <c r="R2819" s="50">
        <v>6585.0</v>
      </c>
      <c r="S2819" s="50" t="s">
        <v>17163</v>
      </c>
      <c r="T2819" s="56" t="s">
        <v>17164</v>
      </c>
      <c r="U2819" s="53" t="s">
        <v>17029</v>
      </c>
    </row>
    <row r="2820">
      <c r="A2820" s="54" t="s">
        <v>17165</v>
      </c>
      <c r="B2820" s="50" t="s">
        <v>17166</v>
      </c>
      <c r="C2820" s="51" t="s">
        <v>329</v>
      </c>
      <c r="D2820" s="51"/>
      <c r="E2820" s="51"/>
      <c r="F2820" s="51"/>
      <c r="G2820" s="50" t="s">
        <v>17167</v>
      </c>
      <c r="H2820" s="52">
        <v>44682.96611111111</v>
      </c>
      <c r="I2820" s="50"/>
      <c r="J2820" s="50"/>
      <c r="K2820" s="50"/>
      <c r="L2820" s="50"/>
      <c r="M2820" s="50" t="s">
        <v>17168</v>
      </c>
      <c r="N2820" s="50"/>
      <c r="O2820" s="53" t="s">
        <v>70</v>
      </c>
      <c r="P2820" s="55" t="s">
        <v>17169</v>
      </c>
      <c r="Q2820" s="50">
        <v>3660.0</v>
      </c>
      <c r="R2820" s="50">
        <v>4351.0</v>
      </c>
      <c r="S2820" s="50" t="s">
        <v>17170</v>
      </c>
      <c r="T2820" s="56" t="s">
        <v>17171</v>
      </c>
      <c r="U2820" s="53" t="s">
        <v>332</v>
      </c>
    </row>
    <row r="2821">
      <c r="A2821" s="54" t="s">
        <v>17172</v>
      </c>
      <c r="B2821" s="50" t="s">
        <v>16146</v>
      </c>
      <c r="C2821" s="51" t="s">
        <v>367</v>
      </c>
      <c r="D2821" s="51"/>
      <c r="E2821" s="51"/>
      <c r="F2821" s="51"/>
      <c r="G2821" s="50" t="s">
        <v>17173</v>
      </c>
      <c r="H2821" s="52">
        <v>44682.96587962963</v>
      </c>
      <c r="I2821" s="50"/>
      <c r="J2821" s="50"/>
      <c r="K2821" s="50"/>
      <c r="L2821" s="50"/>
      <c r="M2821" s="50" t="s">
        <v>16147</v>
      </c>
      <c r="N2821" s="50"/>
      <c r="O2821" s="53" t="s">
        <v>92</v>
      </c>
      <c r="P2821" s="55" t="s">
        <v>16148</v>
      </c>
      <c r="Q2821" s="50">
        <v>822.0</v>
      </c>
      <c r="R2821" s="50">
        <v>755.0</v>
      </c>
      <c r="S2821" s="50" t="s">
        <v>16149</v>
      </c>
      <c r="T2821" s="56" t="s">
        <v>17174</v>
      </c>
      <c r="U2821" s="53" t="s">
        <v>370</v>
      </c>
    </row>
    <row r="2822">
      <c r="A2822" s="54" t="s">
        <v>17175</v>
      </c>
      <c r="B2822" s="50" t="s">
        <v>17176</v>
      </c>
      <c r="C2822" s="51" t="s">
        <v>367</v>
      </c>
      <c r="D2822" s="51"/>
      <c r="E2822" s="51"/>
      <c r="F2822" s="51"/>
      <c r="G2822" s="50" t="s">
        <v>17177</v>
      </c>
      <c r="H2822" s="52">
        <v>44682.96585648148</v>
      </c>
      <c r="I2822" s="50"/>
      <c r="J2822" s="50"/>
      <c r="K2822" s="50"/>
      <c r="L2822" s="50"/>
      <c r="M2822" s="50" t="s">
        <v>17178</v>
      </c>
      <c r="N2822" s="50"/>
      <c r="O2822" s="53" t="s">
        <v>60</v>
      </c>
      <c r="P2822" s="55" t="s">
        <v>17179</v>
      </c>
      <c r="Q2822" s="50">
        <v>3977.0</v>
      </c>
      <c r="R2822" s="50">
        <v>3236.0</v>
      </c>
      <c r="S2822" s="50" t="s">
        <v>17180</v>
      </c>
      <c r="T2822" s="56" t="s">
        <v>17181</v>
      </c>
      <c r="U2822" s="53" t="s">
        <v>370</v>
      </c>
    </row>
    <row r="2823">
      <c r="A2823" s="54" t="s">
        <v>17182</v>
      </c>
      <c r="B2823" s="50" t="s">
        <v>17183</v>
      </c>
      <c r="C2823" s="51" t="s">
        <v>17184</v>
      </c>
      <c r="D2823" s="51"/>
      <c r="E2823" s="51"/>
      <c r="F2823" s="51"/>
      <c r="G2823" s="50" t="s">
        <v>17185</v>
      </c>
      <c r="H2823" s="52">
        <v>44682.96561342593</v>
      </c>
      <c r="I2823" s="50"/>
      <c r="J2823" s="50"/>
      <c r="K2823" s="50" t="s">
        <v>17186</v>
      </c>
      <c r="L2823" s="50" t="s">
        <v>17187</v>
      </c>
      <c r="M2823" s="50" t="s">
        <v>17188</v>
      </c>
      <c r="N2823" s="50"/>
      <c r="O2823" s="53" t="s">
        <v>92</v>
      </c>
      <c r="P2823" s="55" t="s">
        <v>17189</v>
      </c>
      <c r="Q2823" s="50">
        <v>180.0</v>
      </c>
      <c r="R2823" s="50">
        <v>328.0</v>
      </c>
      <c r="S2823" s="50" t="s">
        <v>4335</v>
      </c>
      <c r="T2823" s="56" t="s">
        <v>17190</v>
      </c>
      <c r="U2823" s="53" t="s">
        <v>17191</v>
      </c>
    </row>
    <row r="2824">
      <c r="A2824" s="54" t="s">
        <v>17192</v>
      </c>
      <c r="B2824" s="50" t="s">
        <v>17193</v>
      </c>
      <c r="C2824" s="51" t="s">
        <v>367</v>
      </c>
      <c r="D2824" s="51"/>
      <c r="E2824" s="51"/>
      <c r="F2824" s="51"/>
      <c r="G2824" s="50" t="s">
        <v>17194</v>
      </c>
      <c r="H2824" s="52">
        <v>44682.96554398148</v>
      </c>
      <c r="I2824" s="50"/>
      <c r="J2824" s="50"/>
      <c r="K2824" s="50"/>
      <c r="L2824" s="50"/>
      <c r="M2824" s="50" t="s">
        <v>17195</v>
      </c>
      <c r="N2824" s="50"/>
      <c r="O2824" s="53" t="s">
        <v>92</v>
      </c>
      <c r="P2824" s="55" t="s">
        <v>17196</v>
      </c>
      <c r="Q2824" s="50">
        <v>4522.0</v>
      </c>
      <c r="R2824" s="50">
        <v>4883.0</v>
      </c>
      <c r="S2824" s="50" t="s">
        <v>219</v>
      </c>
      <c r="T2824" s="56" t="s">
        <v>17197</v>
      </c>
      <c r="U2824" s="53" t="s">
        <v>370</v>
      </c>
    </row>
    <row r="2825">
      <c r="A2825" s="54" t="s">
        <v>17198</v>
      </c>
      <c r="B2825" s="50" t="s">
        <v>17199</v>
      </c>
      <c r="C2825" s="51" t="s">
        <v>367</v>
      </c>
      <c r="D2825" s="51"/>
      <c r="E2825" s="51"/>
      <c r="F2825" s="51"/>
      <c r="G2825" s="50" t="s">
        <v>17200</v>
      </c>
      <c r="H2825" s="52">
        <v>44682.96550925926</v>
      </c>
      <c r="I2825" s="50"/>
      <c r="J2825" s="50"/>
      <c r="K2825" s="50"/>
      <c r="L2825" s="50"/>
      <c r="M2825" s="50" t="s">
        <v>17201</v>
      </c>
      <c r="N2825" s="50"/>
      <c r="O2825" s="53" t="s">
        <v>70</v>
      </c>
      <c r="P2825" s="55" t="s">
        <v>17202</v>
      </c>
      <c r="Q2825" s="50">
        <v>518.0</v>
      </c>
      <c r="R2825" s="50">
        <v>423.0</v>
      </c>
      <c r="S2825" s="50" t="s">
        <v>17203</v>
      </c>
      <c r="T2825" s="56" t="s">
        <v>17204</v>
      </c>
      <c r="U2825" s="53" t="s">
        <v>370</v>
      </c>
    </row>
    <row r="2826">
      <c r="A2826" s="54" t="s">
        <v>17205</v>
      </c>
      <c r="B2826" s="50" t="s">
        <v>17206</v>
      </c>
      <c r="C2826" s="51" t="s">
        <v>17023</v>
      </c>
      <c r="D2826" s="51"/>
      <c r="E2826" s="51"/>
      <c r="F2826" s="51"/>
      <c r="G2826" s="50" t="s">
        <v>17200</v>
      </c>
      <c r="H2826" s="52">
        <v>44682.96550925926</v>
      </c>
      <c r="I2826" s="50"/>
      <c r="J2826" s="50"/>
      <c r="K2826" s="50"/>
      <c r="L2826" s="50"/>
      <c r="M2826" s="50" t="s">
        <v>17207</v>
      </c>
      <c r="N2826" s="50"/>
      <c r="O2826" s="53" t="s">
        <v>60</v>
      </c>
      <c r="P2826" s="55" t="s">
        <v>17208</v>
      </c>
      <c r="Q2826" s="50">
        <v>424.0</v>
      </c>
      <c r="R2826" s="50">
        <v>1903.0</v>
      </c>
      <c r="S2826" s="50" t="s">
        <v>13970</v>
      </c>
      <c r="T2826" s="56" t="s">
        <v>17209</v>
      </c>
      <c r="U2826" s="53" t="s">
        <v>17029</v>
      </c>
    </row>
    <row r="2827">
      <c r="A2827" s="54" t="s">
        <v>17210</v>
      </c>
      <c r="B2827" s="50" t="s">
        <v>17211</v>
      </c>
      <c r="C2827" s="51" t="s">
        <v>6828</v>
      </c>
      <c r="D2827" s="51"/>
      <c r="E2827" s="51"/>
      <c r="F2827" s="51"/>
      <c r="G2827" s="50" t="s">
        <v>17212</v>
      </c>
      <c r="H2827" s="52">
        <v>44682.96532407407</v>
      </c>
      <c r="I2827" s="50"/>
      <c r="J2827" s="50"/>
      <c r="K2827" s="50"/>
      <c r="L2827" s="50"/>
      <c r="M2827" s="50" t="s">
        <v>17213</v>
      </c>
      <c r="N2827" s="50"/>
      <c r="O2827" s="53" t="s">
        <v>60</v>
      </c>
      <c r="P2827" s="55" t="s">
        <v>17214</v>
      </c>
      <c r="Q2827" s="50">
        <v>2804.0</v>
      </c>
      <c r="R2827" s="50">
        <v>4965.0</v>
      </c>
      <c r="S2827" s="50" t="s">
        <v>246</v>
      </c>
      <c r="T2827" s="56" t="s">
        <v>17215</v>
      </c>
      <c r="U2827" s="53" t="s">
        <v>6833</v>
      </c>
    </row>
    <row r="2828">
      <c r="A2828" s="54" t="s">
        <v>17216</v>
      </c>
      <c r="B2828" s="50" t="s">
        <v>1587</v>
      </c>
      <c r="C2828" s="51" t="s">
        <v>367</v>
      </c>
      <c r="D2828" s="51"/>
      <c r="E2828" s="51"/>
      <c r="F2828" s="51"/>
      <c r="G2828" s="50" t="s">
        <v>17217</v>
      </c>
      <c r="H2828" s="52">
        <v>44682.965312500004</v>
      </c>
      <c r="I2828" s="50"/>
      <c r="J2828" s="50"/>
      <c r="K2828" s="50"/>
      <c r="L2828" s="50"/>
      <c r="M2828" s="50" t="s">
        <v>1589</v>
      </c>
      <c r="N2828" s="50"/>
      <c r="O2828" s="53" t="s">
        <v>60</v>
      </c>
      <c r="P2828" s="55" t="s">
        <v>1590</v>
      </c>
      <c r="Q2828" s="50">
        <v>3478.0</v>
      </c>
      <c r="R2828" s="50">
        <v>4979.0</v>
      </c>
      <c r="S2828" s="50" t="s">
        <v>1591</v>
      </c>
      <c r="T2828" s="56" t="s">
        <v>17218</v>
      </c>
      <c r="U2828" s="53" t="s">
        <v>370</v>
      </c>
    </row>
    <row r="2829">
      <c r="A2829" s="54" t="s">
        <v>17219</v>
      </c>
      <c r="B2829" s="50" t="s">
        <v>17220</v>
      </c>
      <c r="C2829" s="51" t="s">
        <v>367</v>
      </c>
      <c r="D2829" s="51"/>
      <c r="E2829" s="51"/>
      <c r="F2829" s="51"/>
      <c r="G2829" s="50" t="s">
        <v>17221</v>
      </c>
      <c r="H2829" s="52">
        <v>44682.96497685185</v>
      </c>
      <c r="I2829" s="50"/>
      <c r="J2829" s="50"/>
      <c r="K2829" s="50"/>
      <c r="L2829" s="50"/>
      <c r="M2829" s="50" t="s">
        <v>17222</v>
      </c>
      <c r="N2829" s="50"/>
      <c r="O2829" s="53" t="s">
        <v>70</v>
      </c>
      <c r="P2829" s="55" t="s">
        <v>17223</v>
      </c>
      <c r="Q2829" s="50">
        <v>157.0</v>
      </c>
      <c r="R2829" s="50">
        <v>651.0</v>
      </c>
      <c r="S2829" s="50" t="s">
        <v>17224</v>
      </c>
      <c r="T2829" s="56" t="s">
        <v>17225</v>
      </c>
      <c r="U2829" s="53" t="s">
        <v>370</v>
      </c>
    </row>
    <row r="2830">
      <c r="A2830" s="54" t="s">
        <v>17226</v>
      </c>
      <c r="B2830" s="50" t="s">
        <v>17227</v>
      </c>
      <c r="C2830" s="51" t="s">
        <v>17228</v>
      </c>
      <c r="D2830" s="51"/>
      <c r="E2830" s="51"/>
      <c r="F2830" s="51"/>
      <c r="G2830" s="50" t="s">
        <v>17229</v>
      </c>
      <c r="H2830" s="52">
        <v>44682.96487268519</v>
      </c>
      <c r="I2830" s="50"/>
      <c r="J2830" s="50"/>
      <c r="K2830" s="50" t="s">
        <v>17230</v>
      </c>
      <c r="L2830" s="50" t="s">
        <v>17231</v>
      </c>
      <c r="M2830" s="50" t="s">
        <v>17232</v>
      </c>
      <c r="N2830" s="50" t="s">
        <v>17233</v>
      </c>
      <c r="O2830" s="53" t="s">
        <v>70</v>
      </c>
      <c r="P2830" s="55" t="s">
        <v>17234</v>
      </c>
      <c r="Q2830" s="50">
        <v>962.0</v>
      </c>
      <c r="R2830" s="50">
        <v>1479.0</v>
      </c>
      <c r="S2830" s="50" t="s">
        <v>17235</v>
      </c>
      <c r="T2830" s="56" t="s">
        <v>17236</v>
      </c>
      <c r="U2830" s="53" t="s">
        <v>17237</v>
      </c>
    </row>
    <row r="2831">
      <c r="A2831" s="54" t="s">
        <v>17238</v>
      </c>
      <c r="B2831" s="50" t="s">
        <v>17239</v>
      </c>
      <c r="C2831" s="51" t="s">
        <v>367</v>
      </c>
      <c r="D2831" s="51"/>
      <c r="E2831" s="51"/>
      <c r="F2831" s="51"/>
      <c r="G2831" s="50" t="s">
        <v>17240</v>
      </c>
      <c r="H2831" s="52">
        <v>44682.96482638889</v>
      </c>
      <c r="I2831" s="50"/>
      <c r="J2831" s="50"/>
      <c r="K2831" s="50"/>
      <c r="L2831" s="50"/>
      <c r="M2831" s="50" t="s">
        <v>17241</v>
      </c>
      <c r="N2831" s="50"/>
      <c r="O2831" s="53" t="s">
        <v>70</v>
      </c>
      <c r="P2831" s="55" t="s">
        <v>17242</v>
      </c>
      <c r="Q2831" s="50">
        <v>5134.0</v>
      </c>
      <c r="R2831" s="50">
        <v>5643.0</v>
      </c>
      <c r="S2831" s="50" t="s">
        <v>17243</v>
      </c>
      <c r="T2831" s="56" t="s">
        <v>17244</v>
      </c>
      <c r="U2831" s="53" t="s">
        <v>370</v>
      </c>
    </row>
    <row r="2832">
      <c r="A2832" s="54" t="s">
        <v>17245</v>
      </c>
      <c r="B2832" s="50" t="s">
        <v>17246</v>
      </c>
      <c r="C2832" s="51" t="s">
        <v>17247</v>
      </c>
      <c r="D2832" s="51"/>
      <c r="E2832" s="51"/>
      <c r="F2832" s="51"/>
      <c r="G2832" s="50" t="s">
        <v>17248</v>
      </c>
      <c r="H2832" s="52">
        <v>44682.964733796296</v>
      </c>
      <c r="I2832" s="50"/>
      <c r="J2832" s="50"/>
      <c r="K2832" s="50"/>
      <c r="L2832" s="50"/>
      <c r="M2832" s="50" t="s">
        <v>17249</v>
      </c>
      <c r="N2832" s="50"/>
      <c r="O2832" s="53" t="s">
        <v>60</v>
      </c>
      <c r="P2832" s="55" t="s">
        <v>17250</v>
      </c>
      <c r="Q2832" s="50">
        <v>2010.0</v>
      </c>
      <c r="R2832" s="50">
        <v>1468.0</v>
      </c>
      <c r="S2832" s="50"/>
      <c r="T2832" s="56" t="s">
        <v>17251</v>
      </c>
      <c r="U2832" s="53" t="s">
        <v>17252</v>
      </c>
    </row>
    <row r="2833">
      <c r="A2833" s="54" t="s">
        <v>17253</v>
      </c>
      <c r="B2833" s="50" t="s">
        <v>17254</v>
      </c>
      <c r="C2833" s="51" t="s">
        <v>13405</v>
      </c>
      <c r="D2833" s="51"/>
      <c r="E2833" s="51"/>
      <c r="F2833" s="51"/>
      <c r="G2833" s="50" t="s">
        <v>17255</v>
      </c>
      <c r="H2833" s="52">
        <v>44682.9646875</v>
      </c>
      <c r="I2833" s="50"/>
      <c r="J2833" s="50"/>
      <c r="K2833" s="50"/>
      <c r="L2833" s="50"/>
      <c r="M2833" s="50" t="s">
        <v>17256</v>
      </c>
      <c r="N2833" s="50"/>
      <c r="O2833" s="53" t="s">
        <v>70</v>
      </c>
      <c r="P2833" s="55" t="s">
        <v>17257</v>
      </c>
      <c r="Q2833" s="50">
        <v>12.0</v>
      </c>
      <c r="R2833" s="50">
        <v>198.0</v>
      </c>
      <c r="S2833" s="50" t="s">
        <v>17258</v>
      </c>
      <c r="T2833" s="56" t="s">
        <v>17259</v>
      </c>
      <c r="U2833" s="53" t="s">
        <v>13408</v>
      </c>
    </row>
    <row r="2834">
      <c r="A2834" s="54" t="s">
        <v>17260</v>
      </c>
      <c r="B2834" s="50" t="s">
        <v>17261</v>
      </c>
      <c r="C2834" s="51" t="s">
        <v>367</v>
      </c>
      <c r="D2834" s="51"/>
      <c r="E2834" s="51"/>
      <c r="F2834" s="51"/>
      <c r="G2834" s="50" t="s">
        <v>17262</v>
      </c>
      <c r="H2834" s="52">
        <v>44682.964479166665</v>
      </c>
      <c r="I2834" s="50"/>
      <c r="J2834" s="50"/>
      <c r="K2834" s="50"/>
      <c r="L2834" s="50"/>
      <c r="M2834" s="50" t="s">
        <v>17263</v>
      </c>
      <c r="N2834" s="50"/>
      <c r="O2834" s="53" t="s">
        <v>70</v>
      </c>
      <c r="P2834" s="55" t="s">
        <v>17264</v>
      </c>
      <c r="Q2834" s="50">
        <v>488.0</v>
      </c>
      <c r="R2834" s="50">
        <v>1303.0</v>
      </c>
      <c r="S2834" s="50" t="s">
        <v>17265</v>
      </c>
      <c r="T2834" s="56" t="s">
        <v>17266</v>
      </c>
      <c r="U2834" s="53" t="s">
        <v>370</v>
      </c>
    </row>
    <row r="2835">
      <c r="A2835" s="54" t="s">
        <v>17267</v>
      </c>
      <c r="B2835" s="50" t="s">
        <v>17268</v>
      </c>
      <c r="C2835" s="51" t="s">
        <v>17269</v>
      </c>
      <c r="D2835" s="51"/>
      <c r="E2835" s="51"/>
      <c r="F2835" s="51"/>
      <c r="G2835" s="50" t="s">
        <v>17270</v>
      </c>
      <c r="H2835" s="52">
        <v>44682.96440972222</v>
      </c>
      <c r="I2835" s="50"/>
      <c r="J2835" s="50"/>
      <c r="K2835" s="50"/>
      <c r="L2835" s="50"/>
      <c r="M2835" s="50" t="s">
        <v>17271</v>
      </c>
      <c r="N2835" s="50"/>
      <c r="O2835" s="53" t="s">
        <v>70</v>
      </c>
      <c r="P2835" s="55" t="s">
        <v>17272</v>
      </c>
      <c r="Q2835" s="50">
        <v>18.0</v>
      </c>
      <c r="R2835" s="50">
        <v>327.0</v>
      </c>
      <c r="S2835" s="50"/>
      <c r="T2835" s="56" t="s">
        <v>17273</v>
      </c>
      <c r="U2835" s="53" t="s">
        <v>17274</v>
      </c>
    </row>
    <row r="2836">
      <c r="A2836" s="54" t="s">
        <v>17275</v>
      </c>
      <c r="B2836" s="50" t="s">
        <v>17276</v>
      </c>
      <c r="C2836" s="51" t="s">
        <v>367</v>
      </c>
      <c r="D2836" s="51"/>
      <c r="E2836" s="51"/>
      <c r="F2836" s="51"/>
      <c r="G2836" s="50" t="s">
        <v>17277</v>
      </c>
      <c r="H2836" s="52">
        <v>44682.964270833334</v>
      </c>
      <c r="I2836" s="50"/>
      <c r="J2836" s="50"/>
      <c r="K2836" s="50"/>
      <c r="L2836" s="50"/>
      <c r="M2836" s="50" t="s">
        <v>17278</v>
      </c>
      <c r="N2836" s="50"/>
      <c r="O2836" s="53" t="s">
        <v>60</v>
      </c>
      <c r="P2836" s="55" t="s">
        <v>17279</v>
      </c>
      <c r="Q2836" s="50">
        <v>133.0</v>
      </c>
      <c r="R2836" s="50">
        <v>780.0</v>
      </c>
      <c r="S2836" s="50"/>
      <c r="T2836" s="56" t="s">
        <v>17280</v>
      </c>
      <c r="U2836" s="53" t="s">
        <v>370</v>
      </c>
    </row>
    <row r="2837">
      <c r="A2837" s="54" t="s">
        <v>17281</v>
      </c>
      <c r="B2837" s="50" t="s">
        <v>17211</v>
      </c>
      <c r="C2837" s="51" t="s">
        <v>4762</v>
      </c>
      <c r="D2837" s="51"/>
      <c r="E2837" s="51"/>
      <c r="F2837" s="51"/>
      <c r="G2837" s="50" t="s">
        <v>17282</v>
      </c>
      <c r="H2837" s="52">
        <v>44682.96393518518</v>
      </c>
      <c r="I2837" s="50"/>
      <c r="J2837" s="50"/>
      <c r="K2837" s="50"/>
      <c r="L2837" s="50"/>
      <c r="M2837" s="50" t="s">
        <v>17213</v>
      </c>
      <c r="N2837" s="50"/>
      <c r="O2837" s="53" t="s">
        <v>60</v>
      </c>
      <c r="P2837" s="55" t="s">
        <v>17214</v>
      </c>
      <c r="Q2837" s="50">
        <v>2804.0</v>
      </c>
      <c r="R2837" s="50">
        <v>4965.0</v>
      </c>
      <c r="S2837" s="50" t="s">
        <v>246</v>
      </c>
      <c r="T2837" s="56" t="s">
        <v>17283</v>
      </c>
      <c r="U2837" s="53" t="s">
        <v>4768</v>
      </c>
    </row>
    <row r="2838">
      <c r="A2838" s="54" t="s">
        <v>17284</v>
      </c>
      <c r="B2838" s="50" t="s">
        <v>17118</v>
      </c>
      <c r="C2838" s="51" t="s">
        <v>329</v>
      </c>
      <c r="D2838" s="51"/>
      <c r="E2838" s="51"/>
      <c r="F2838" s="51"/>
      <c r="G2838" s="50" t="s">
        <v>17285</v>
      </c>
      <c r="H2838" s="52">
        <v>44682.963749999995</v>
      </c>
      <c r="I2838" s="50"/>
      <c r="J2838" s="50"/>
      <c r="K2838" s="50"/>
      <c r="L2838" s="50"/>
      <c r="M2838" s="50" t="s">
        <v>17120</v>
      </c>
      <c r="N2838" s="50"/>
      <c r="O2838" s="53" t="s">
        <v>92</v>
      </c>
      <c r="P2838" s="55" t="s">
        <v>17121</v>
      </c>
      <c r="Q2838" s="50">
        <v>4145.0</v>
      </c>
      <c r="R2838" s="50">
        <v>4947.0</v>
      </c>
      <c r="S2838" s="50" t="s">
        <v>5819</v>
      </c>
      <c r="T2838" s="56" t="s">
        <v>17286</v>
      </c>
      <c r="U2838" s="53" t="s">
        <v>332</v>
      </c>
    </row>
    <row r="2839">
      <c r="A2839" s="54" t="s">
        <v>17287</v>
      </c>
      <c r="B2839" s="50" t="s">
        <v>17276</v>
      </c>
      <c r="C2839" s="51" t="s">
        <v>363</v>
      </c>
      <c r="D2839" s="51"/>
      <c r="E2839" s="51"/>
      <c r="F2839" s="51"/>
      <c r="G2839" s="50" t="s">
        <v>17288</v>
      </c>
      <c r="H2839" s="52">
        <v>44682.96366898148</v>
      </c>
      <c r="I2839" s="50"/>
      <c r="J2839" s="50"/>
      <c r="K2839" s="50"/>
      <c r="L2839" s="50"/>
      <c r="M2839" s="50" t="s">
        <v>17278</v>
      </c>
      <c r="N2839" s="50"/>
      <c r="O2839" s="53" t="s">
        <v>60</v>
      </c>
      <c r="P2839" s="55" t="s">
        <v>17279</v>
      </c>
      <c r="Q2839" s="50">
        <v>133.0</v>
      </c>
      <c r="R2839" s="50">
        <v>780.0</v>
      </c>
      <c r="S2839" s="50"/>
      <c r="T2839" s="56" t="s">
        <v>17289</v>
      </c>
      <c r="U2839" s="53" t="s">
        <v>332</v>
      </c>
    </row>
    <row r="2840">
      <c r="A2840" s="54" t="s">
        <v>17290</v>
      </c>
      <c r="B2840" s="50" t="s">
        <v>17291</v>
      </c>
      <c r="C2840" s="51" t="s">
        <v>367</v>
      </c>
      <c r="D2840" s="51"/>
      <c r="E2840" s="51"/>
      <c r="F2840" s="51"/>
      <c r="G2840" s="50" t="s">
        <v>17292</v>
      </c>
      <c r="H2840" s="52">
        <v>44682.96340277778</v>
      </c>
      <c r="I2840" s="50"/>
      <c r="J2840" s="50"/>
      <c r="K2840" s="50"/>
      <c r="L2840" s="50"/>
      <c r="M2840" s="50" t="s">
        <v>17293</v>
      </c>
      <c r="N2840" s="50"/>
      <c r="O2840" s="53" t="s">
        <v>92</v>
      </c>
      <c r="P2840" s="55" t="s">
        <v>17294</v>
      </c>
      <c r="Q2840" s="50">
        <v>95.0</v>
      </c>
      <c r="R2840" s="50">
        <v>958.0</v>
      </c>
      <c r="S2840" s="50" t="s">
        <v>17295</v>
      </c>
      <c r="T2840" s="56" t="s">
        <v>17296</v>
      </c>
      <c r="U2840" s="53" t="s">
        <v>370</v>
      </c>
    </row>
    <row r="2841">
      <c r="A2841" s="54" t="s">
        <v>17297</v>
      </c>
      <c r="B2841" s="50" t="s">
        <v>17298</v>
      </c>
      <c r="C2841" s="51" t="s">
        <v>367</v>
      </c>
      <c r="D2841" s="51"/>
      <c r="E2841" s="51"/>
      <c r="F2841" s="51"/>
      <c r="G2841" s="50" t="s">
        <v>17299</v>
      </c>
      <c r="H2841" s="52">
        <v>44682.963379629626</v>
      </c>
      <c r="I2841" s="50"/>
      <c r="J2841" s="50"/>
      <c r="K2841" s="50"/>
      <c r="L2841" s="50"/>
      <c r="M2841" s="50" t="s">
        <v>17300</v>
      </c>
      <c r="N2841" s="50"/>
      <c r="O2841" s="53" t="s">
        <v>70</v>
      </c>
      <c r="P2841" s="55" t="s">
        <v>17301</v>
      </c>
      <c r="Q2841" s="50">
        <v>5131.0</v>
      </c>
      <c r="R2841" s="50">
        <v>5163.0</v>
      </c>
      <c r="S2841" s="50" t="s">
        <v>1473</v>
      </c>
      <c r="T2841" s="56" t="s">
        <v>17302</v>
      </c>
      <c r="U2841" s="53" t="s">
        <v>370</v>
      </c>
    </row>
    <row r="2842">
      <c r="A2842" s="54" t="s">
        <v>17303</v>
      </c>
      <c r="B2842" s="50" t="s">
        <v>17304</v>
      </c>
      <c r="C2842" s="51" t="s">
        <v>9149</v>
      </c>
      <c r="D2842" s="51"/>
      <c r="E2842" s="51"/>
      <c r="F2842" s="51"/>
      <c r="G2842" s="50" t="s">
        <v>17305</v>
      </c>
      <c r="H2842" s="52">
        <v>44682.96320601852</v>
      </c>
      <c r="I2842" s="50"/>
      <c r="J2842" s="50"/>
      <c r="K2842" s="50"/>
      <c r="L2842" s="50"/>
      <c r="M2842" s="50" t="s">
        <v>17306</v>
      </c>
      <c r="N2842" s="50"/>
      <c r="O2842" s="53" t="s">
        <v>60</v>
      </c>
      <c r="P2842" s="55" t="s">
        <v>17307</v>
      </c>
      <c r="Q2842" s="50">
        <v>5546.0</v>
      </c>
      <c r="R2842" s="50">
        <v>6038.0</v>
      </c>
      <c r="S2842" s="50" t="s">
        <v>17308</v>
      </c>
      <c r="T2842" s="56" t="s">
        <v>17309</v>
      </c>
      <c r="U2842" s="53" t="s">
        <v>9154</v>
      </c>
    </row>
    <row r="2843">
      <c r="A2843" s="54" t="s">
        <v>17310</v>
      </c>
      <c r="B2843" s="50" t="s">
        <v>17311</v>
      </c>
      <c r="C2843" s="51" t="s">
        <v>9149</v>
      </c>
      <c r="D2843" s="51"/>
      <c r="E2843" s="51"/>
      <c r="F2843" s="51"/>
      <c r="G2843" s="50" t="s">
        <v>17305</v>
      </c>
      <c r="H2843" s="52">
        <v>44682.96320601852</v>
      </c>
      <c r="I2843" s="50"/>
      <c r="J2843" s="50"/>
      <c r="K2843" s="50"/>
      <c r="L2843" s="50"/>
      <c r="M2843" s="50" t="s">
        <v>17312</v>
      </c>
      <c r="N2843" s="50"/>
      <c r="O2843" s="53" t="s">
        <v>92</v>
      </c>
      <c r="P2843" s="55" t="s">
        <v>17313</v>
      </c>
      <c r="Q2843" s="50">
        <v>2868.0</v>
      </c>
      <c r="R2843" s="50">
        <v>3435.0</v>
      </c>
      <c r="S2843" s="50" t="s">
        <v>129</v>
      </c>
      <c r="T2843" s="56" t="s">
        <v>17314</v>
      </c>
      <c r="U2843" s="53" t="s">
        <v>9154</v>
      </c>
    </row>
    <row r="2844">
      <c r="A2844" s="54" t="s">
        <v>17315</v>
      </c>
      <c r="B2844" s="50" t="s">
        <v>17316</v>
      </c>
      <c r="C2844" s="51" t="s">
        <v>9149</v>
      </c>
      <c r="D2844" s="51"/>
      <c r="E2844" s="51"/>
      <c r="F2844" s="51"/>
      <c r="G2844" s="50" t="s">
        <v>17317</v>
      </c>
      <c r="H2844" s="52">
        <v>44682.9630787037</v>
      </c>
      <c r="I2844" s="50"/>
      <c r="J2844" s="50"/>
      <c r="K2844" s="50"/>
      <c r="L2844" s="50"/>
      <c r="M2844" s="50" t="s">
        <v>17318</v>
      </c>
      <c r="N2844" s="50"/>
      <c r="O2844" s="53" t="s">
        <v>60</v>
      </c>
      <c r="P2844" s="55" t="s">
        <v>17319</v>
      </c>
      <c r="Q2844" s="50">
        <v>19829.0</v>
      </c>
      <c r="R2844" s="50">
        <v>20027.0</v>
      </c>
      <c r="S2844" s="50" t="s">
        <v>17320</v>
      </c>
      <c r="T2844" s="56" t="s">
        <v>17321</v>
      </c>
      <c r="U2844" s="53" t="s">
        <v>9154</v>
      </c>
    </row>
    <row r="2845">
      <c r="A2845" s="54" t="s">
        <v>17322</v>
      </c>
      <c r="B2845" s="50" t="s">
        <v>17323</v>
      </c>
      <c r="C2845" s="51" t="s">
        <v>367</v>
      </c>
      <c r="D2845" s="51"/>
      <c r="E2845" s="51"/>
      <c r="F2845" s="51"/>
      <c r="G2845" s="50" t="s">
        <v>17324</v>
      </c>
      <c r="H2845" s="52">
        <v>44682.963055555556</v>
      </c>
      <c r="I2845" s="50"/>
      <c r="J2845" s="50"/>
      <c r="K2845" s="50"/>
      <c r="L2845" s="50"/>
      <c r="M2845" s="50" t="s">
        <v>17325</v>
      </c>
      <c r="N2845" s="50"/>
      <c r="O2845" s="53" t="s">
        <v>92</v>
      </c>
      <c r="P2845" s="55" t="s">
        <v>17326</v>
      </c>
      <c r="Q2845" s="50">
        <v>739.0</v>
      </c>
      <c r="R2845" s="50">
        <v>1063.0</v>
      </c>
      <c r="S2845" s="50"/>
      <c r="T2845" s="56" t="s">
        <v>17327</v>
      </c>
      <c r="U2845" s="53" t="s">
        <v>370</v>
      </c>
    </row>
    <row r="2846">
      <c r="A2846" s="54" t="s">
        <v>17328</v>
      </c>
      <c r="B2846" s="50" t="s">
        <v>17329</v>
      </c>
      <c r="C2846" s="51" t="s">
        <v>316</v>
      </c>
      <c r="D2846" s="51"/>
      <c r="E2846" s="51"/>
      <c r="F2846" s="51"/>
      <c r="G2846" s="50" t="s">
        <v>17330</v>
      </c>
      <c r="H2846" s="52">
        <v>44682.963009259256</v>
      </c>
      <c r="I2846" s="50"/>
      <c r="J2846" s="50"/>
      <c r="K2846" s="50"/>
      <c r="L2846" s="50"/>
      <c r="M2846" s="50" t="s">
        <v>17331</v>
      </c>
      <c r="N2846" s="50"/>
      <c r="O2846" s="53" t="s">
        <v>92</v>
      </c>
      <c r="P2846" s="55" t="s">
        <v>17332</v>
      </c>
      <c r="Q2846" s="50">
        <v>7347.0</v>
      </c>
      <c r="R2846" s="50">
        <v>5774.0</v>
      </c>
      <c r="S2846" s="50" t="s">
        <v>17333</v>
      </c>
      <c r="T2846" s="56" t="s">
        <v>17334</v>
      </c>
      <c r="U2846" s="53" t="s">
        <v>322</v>
      </c>
    </row>
    <row r="2847">
      <c r="A2847" s="54" t="s">
        <v>17335</v>
      </c>
      <c r="B2847" s="50" t="s">
        <v>17336</v>
      </c>
      <c r="C2847" s="51" t="s">
        <v>367</v>
      </c>
      <c r="D2847" s="51"/>
      <c r="E2847" s="51"/>
      <c r="F2847" s="51"/>
      <c r="G2847" s="50" t="s">
        <v>17337</v>
      </c>
      <c r="H2847" s="52">
        <v>44682.96261574074</v>
      </c>
      <c r="I2847" s="50"/>
      <c r="J2847" s="50"/>
      <c r="K2847" s="50"/>
      <c r="L2847" s="50"/>
      <c r="M2847" s="50" t="s">
        <v>17338</v>
      </c>
      <c r="N2847" s="50"/>
      <c r="O2847" s="53" t="s">
        <v>70</v>
      </c>
      <c r="P2847" s="55" t="s">
        <v>17339</v>
      </c>
      <c r="Q2847" s="50">
        <v>481.0</v>
      </c>
      <c r="R2847" s="50">
        <v>1033.0</v>
      </c>
      <c r="S2847" s="50" t="s">
        <v>17340</v>
      </c>
      <c r="T2847" s="56" t="s">
        <v>17341</v>
      </c>
      <c r="U2847" s="53" t="s">
        <v>370</v>
      </c>
    </row>
    <row r="2848">
      <c r="A2848" s="54" t="s">
        <v>17342</v>
      </c>
      <c r="B2848" s="50" t="s">
        <v>17343</v>
      </c>
      <c r="C2848" s="51" t="s">
        <v>367</v>
      </c>
      <c r="D2848" s="51"/>
      <c r="E2848" s="51"/>
      <c r="F2848" s="51"/>
      <c r="G2848" s="50" t="s">
        <v>17344</v>
      </c>
      <c r="H2848" s="52">
        <v>44682.962592592594</v>
      </c>
      <c r="I2848" s="50"/>
      <c r="J2848" s="50"/>
      <c r="K2848" s="50"/>
      <c r="L2848" s="50"/>
      <c r="M2848" s="50" t="s">
        <v>17345</v>
      </c>
      <c r="N2848" s="50"/>
      <c r="O2848" s="53" t="s">
        <v>60</v>
      </c>
      <c r="P2848" s="55" t="s">
        <v>17346</v>
      </c>
      <c r="Q2848" s="50">
        <v>8839.0</v>
      </c>
      <c r="R2848" s="50">
        <v>9440.0</v>
      </c>
      <c r="S2848" s="50" t="s">
        <v>17347</v>
      </c>
      <c r="T2848" s="56" t="s">
        <v>17348</v>
      </c>
      <c r="U2848" s="53" t="s">
        <v>370</v>
      </c>
    </row>
    <row r="2849">
      <c r="A2849" s="54" t="s">
        <v>17349</v>
      </c>
      <c r="B2849" s="50" t="s">
        <v>17211</v>
      </c>
      <c r="C2849" s="51" t="s">
        <v>1209</v>
      </c>
      <c r="D2849" s="51"/>
      <c r="E2849" s="51"/>
      <c r="F2849" s="51"/>
      <c r="G2849" s="50" t="s">
        <v>17350</v>
      </c>
      <c r="H2849" s="52">
        <v>44682.96258101852</v>
      </c>
      <c r="I2849" s="50"/>
      <c r="J2849" s="50"/>
      <c r="K2849" s="50"/>
      <c r="L2849" s="50"/>
      <c r="M2849" s="50" t="s">
        <v>17213</v>
      </c>
      <c r="N2849" s="50"/>
      <c r="O2849" s="53" t="s">
        <v>60</v>
      </c>
      <c r="P2849" s="55" t="s">
        <v>17214</v>
      </c>
      <c r="Q2849" s="50">
        <v>2804.0</v>
      </c>
      <c r="R2849" s="50">
        <v>4965.0</v>
      </c>
      <c r="S2849" s="50" t="s">
        <v>246</v>
      </c>
      <c r="T2849" s="56" t="s">
        <v>17351</v>
      </c>
      <c r="U2849" s="53" t="s">
        <v>1214</v>
      </c>
    </row>
    <row r="2850">
      <c r="A2850" s="54" t="s">
        <v>17352</v>
      </c>
      <c r="B2850" s="50" t="s">
        <v>17343</v>
      </c>
      <c r="C2850" s="51" t="s">
        <v>363</v>
      </c>
      <c r="D2850" s="51"/>
      <c r="E2850" s="51"/>
      <c r="F2850" s="51"/>
      <c r="G2850" s="50" t="s">
        <v>17353</v>
      </c>
      <c r="H2850" s="52">
        <v>44682.9625462963</v>
      </c>
      <c r="I2850" s="50"/>
      <c r="J2850" s="50"/>
      <c r="K2850" s="50"/>
      <c r="L2850" s="50"/>
      <c r="M2850" s="50" t="s">
        <v>17345</v>
      </c>
      <c r="N2850" s="50"/>
      <c r="O2850" s="53" t="s">
        <v>60</v>
      </c>
      <c r="P2850" s="55" t="s">
        <v>17346</v>
      </c>
      <c r="Q2850" s="50">
        <v>8839.0</v>
      </c>
      <c r="R2850" s="50">
        <v>9440.0</v>
      </c>
      <c r="S2850" s="50" t="s">
        <v>17347</v>
      </c>
      <c r="T2850" s="56" t="s">
        <v>17354</v>
      </c>
      <c r="U2850" s="53" t="s">
        <v>332</v>
      </c>
    </row>
    <row r="2851">
      <c r="A2851" s="54" t="s">
        <v>17355</v>
      </c>
      <c r="B2851" s="50" t="s">
        <v>17343</v>
      </c>
      <c r="C2851" s="51" t="s">
        <v>335</v>
      </c>
      <c r="D2851" s="51"/>
      <c r="E2851" s="51"/>
      <c r="F2851" s="51"/>
      <c r="G2851" s="50" t="s">
        <v>17356</v>
      </c>
      <c r="H2851" s="52">
        <v>44682.9625</v>
      </c>
      <c r="I2851" s="50"/>
      <c r="J2851" s="50"/>
      <c r="K2851" s="50"/>
      <c r="L2851" s="50"/>
      <c r="M2851" s="50" t="s">
        <v>17345</v>
      </c>
      <c r="N2851" s="50"/>
      <c r="O2851" s="53" t="s">
        <v>60</v>
      </c>
      <c r="P2851" s="55" t="s">
        <v>17346</v>
      </c>
      <c r="Q2851" s="50">
        <v>8839.0</v>
      </c>
      <c r="R2851" s="50">
        <v>9440.0</v>
      </c>
      <c r="S2851" s="50" t="s">
        <v>17347</v>
      </c>
      <c r="T2851" s="56" t="s">
        <v>17357</v>
      </c>
      <c r="U2851" s="53" t="s">
        <v>339</v>
      </c>
    </row>
    <row r="2852">
      <c r="A2852" s="54" t="s">
        <v>17358</v>
      </c>
      <c r="B2852" s="50" t="s">
        <v>17359</v>
      </c>
      <c r="C2852" s="51" t="s">
        <v>367</v>
      </c>
      <c r="D2852" s="51"/>
      <c r="E2852" s="51"/>
      <c r="F2852" s="51"/>
      <c r="G2852" s="50" t="s">
        <v>17360</v>
      </c>
      <c r="H2852" s="52">
        <v>44682.962476851855</v>
      </c>
      <c r="I2852" s="50"/>
      <c r="J2852" s="50"/>
      <c r="K2852" s="50"/>
      <c r="L2852" s="50"/>
      <c r="M2852" s="50" t="s">
        <v>17361</v>
      </c>
      <c r="N2852" s="50"/>
      <c r="O2852" s="53" t="s">
        <v>70</v>
      </c>
      <c r="P2852" s="55" t="s">
        <v>17362</v>
      </c>
      <c r="Q2852" s="50">
        <v>1401.0</v>
      </c>
      <c r="R2852" s="50">
        <v>522.0</v>
      </c>
      <c r="S2852" s="50" t="s">
        <v>129</v>
      </c>
      <c r="T2852" s="56" t="s">
        <v>17363</v>
      </c>
      <c r="U2852" s="53" t="s">
        <v>370</v>
      </c>
    </row>
    <row r="2853">
      <c r="A2853" s="54" t="s">
        <v>17364</v>
      </c>
      <c r="B2853" s="50" t="s">
        <v>17343</v>
      </c>
      <c r="C2853" s="51" t="s">
        <v>329</v>
      </c>
      <c r="D2853" s="51"/>
      <c r="E2853" s="51"/>
      <c r="F2853" s="51"/>
      <c r="G2853" s="50" t="s">
        <v>17365</v>
      </c>
      <c r="H2853" s="52">
        <v>44682.96244212963</v>
      </c>
      <c r="I2853" s="50"/>
      <c r="J2853" s="50"/>
      <c r="K2853" s="50"/>
      <c r="L2853" s="50"/>
      <c r="M2853" s="50" t="s">
        <v>17345</v>
      </c>
      <c r="N2853" s="50"/>
      <c r="O2853" s="53" t="s">
        <v>60</v>
      </c>
      <c r="P2853" s="55" t="s">
        <v>17346</v>
      </c>
      <c r="Q2853" s="50">
        <v>8839.0</v>
      </c>
      <c r="R2853" s="50">
        <v>9440.0</v>
      </c>
      <c r="S2853" s="50" t="s">
        <v>17347</v>
      </c>
      <c r="T2853" s="56" t="s">
        <v>17366</v>
      </c>
      <c r="U2853" s="53" t="s">
        <v>332</v>
      </c>
    </row>
    <row r="2854">
      <c r="A2854" s="54" t="s">
        <v>17367</v>
      </c>
      <c r="B2854" s="50" t="s">
        <v>17368</v>
      </c>
      <c r="C2854" s="51" t="s">
        <v>14495</v>
      </c>
      <c r="D2854" s="51"/>
      <c r="E2854" s="51"/>
      <c r="F2854" s="51"/>
      <c r="G2854" s="50" t="s">
        <v>17369</v>
      </c>
      <c r="H2854" s="52">
        <v>44682.962430555555</v>
      </c>
      <c r="I2854" s="50"/>
      <c r="J2854" s="50"/>
      <c r="K2854" s="50"/>
      <c r="L2854" s="50"/>
      <c r="M2854" s="50" t="s">
        <v>17370</v>
      </c>
      <c r="N2854" s="50"/>
      <c r="O2854" s="53" t="s">
        <v>60</v>
      </c>
      <c r="P2854" s="55" t="s">
        <v>17371</v>
      </c>
      <c r="Q2854" s="50">
        <v>79.0</v>
      </c>
      <c r="R2854" s="50">
        <v>384.0</v>
      </c>
      <c r="S2854" s="50" t="s">
        <v>3098</v>
      </c>
      <c r="T2854" s="56" t="s">
        <v>17372</v>
      </c>
      <c r="U2854" s="53" t="s">
        <v>14500</v>
      </c>
    </row>
    <row r="2855">
      <c r="A2855" s="54" t="s">
        <v>17373</v>
      </c>
      <c r="B2855" s="50" t="s">
        <v>17343</v>
      </c>
      <c r="C2855" s="51" t="s">
        <v>316</v>
      </c>
      <c r="D2855" s="51"/>
      <c r="E2855" s="51"/>
      <c r="F2855" s="51"/>
      <c r="G2855" s="50" t="s">
        <v>17374</v>
      </c>
      <c r="H2855" s="52">
        <v>44682.96240740741</v>
      </c>
      <c r="I2855" s="50"/>
      <c r="J2855" s="50"/>
      <c r="K2855" s="50"/>
      <c r="L2855" s="50"/>
      <c r="M2855" s="50" t="s">
        <v>17345</v>
      </c>
      <c r="N2855" s="50"/>
      <c r="O2855" s="53" t="s">
        <v>60</v>
      </c>
      <c r="P2855" s="55" t="s">
        <v>17346</v>
      </c>
      <c r="Q2855" s="50">
        <v>8839.0</v>
      </c>
      <c r="R2855" s="50">
        <v>9440.0</v>
      </c>
      <c r="S2855" s="50" t="s">
        <v>17347</v>
      </c>
      <c r="T2855" s="56" t="s">
        <v>17375</v>
      </c>
      <c r="U2855" s="53" t="s">
        <v>322</v>
      </c>
    </row>
    <row r="2856">
      <c r="A2856" s="54" t="s">
        <v>17376</v>
      </c>
      <c r="B2856" s="50" t="s">
        <v>17377</v>
      </c>
      <c r="C2856" s="51" t="s">
        <v>363</v>
      </c>
      <c r="D2856" s="51"/>
      <c r="E2856" s="51"/>
      <c r="F2856" s="51"/>
      <c r="G2856" s="50" t="s">
        <v>17378</v>
      </c>
      <c r="H2856" s="52">
        <v>44682.96239583333</v>
      </c>
      <c r="I2856" s="50"/>
      <c r="J2856" s="50"/>
      <c r="K2856" s="50"/>
      <c r="L2856" s="50"/>
      <c r="M2856" s="50" t="s">
        <v>17379</v>
      </c>
      <c r="N2856" s="50"/>
      <c r="O2856" s="53" t="s">
        <v>70</v>
      </c>
      <c r="P2856" s="55" t="s">
        <v>17380</v>
      </c>
      <c r="Q2856" s="50">
        <v>548.0</v>
      </c>
      <c r="R2856" s="50">
        <v>548.0</v>
      </c>
      <c r="S2856" s="50" t="s">
        <v>17381</v>
      </c>
      <c r="T2856" s="56" t="s">
        <v>17382</v>
      </c>
      <c r="U2856" s="53" t="s">
        <v>332</v>
      </c>
    </row>
    <row r="2857">
      <c r="A2857" s="54" t="s">
        <v>17383</v>
      </c>
      <c r="B2857" s="50" t="s">
        <v>17384</v>
      </c>
      <c r="C2857" s="51" t="s">
        <v>12814</v>
      </c>
      <c r="D2857" s="51"/>
      <c r="E2857" s="51"/>
      <c r="F2857" s="51"/>
      <c r="G2857" s="50" t="s">
        <v>17385</v>
      </c>
      <c r="H2857" s="52">
        <v>44682.96230324074</v>
      </c>
      <c r="I2857" s="50"/>
      <c r="J2857" s="50"/>
      <c r="K2857" s="50"/>
      <c r="L2857" s="50"/>
      <c r="M2857" s="50" t="s">
        <v>17386</v>
      </c>
      <c r="N2857" s="50"/>
      <c r="O2857" s="53" t="s">
        <v>60</v>
      </c>
      <c r="P2857" s="55" t="s">
        <v>354</v>
      </c>
      <c r="Q2857" s="50">
        <v>13.0</v>
      </c>
      <c r="R2857" s="50">
        <v>320.0</v>
      </c>
      <c r="S2857" s="50"/>
      <c r="T2857" s="56" t="s">
        <v>17387</v>
      </c>
      <c r="U2857" s="53" t="s">
        <v>12820</v>
      </c>
    </row>
    <row r="2858">
      <c r="A2858" s="54" t="s">
        <v>17388</v>
      </c>
      <c r="B2858" s="50" t="s">
        <v>17389</v>
      </c>
      <c r="C2858" s="51" t="s">
        <v>367</v>
      </c>
      <c r="D2858" s="51"/>
      <c r="E2858" s="51"/>
      <c r="F2858" s="51"/>
      <c r="G2858" s="50" t="s">
        <v>17390</v>
      </c>
      <c r="H2858" s="52">
        <v>44682.962222222224</v>
      </c>
      <c r="I2858" s="50"/>
      <c r="J2858" s="50"/>
      <c r="K2858" s="50"/>
      <c r="L2858" s="50"/>
      <c r="M2858" s="50" t="s">
        <v>17391</v>
      </c>
      <c r="N2858" s="50"/>
      <c r="O2858" s="53" t="s">
        <v>70</v>
      </c>
      <c r="P2858" s="55" t="s">
        <v>17392</v>
      </c>
      <c r="Q2858" s="50">
        <v>692.0</v>
      </c>
      <c r="R2858" s="50">
        <v>1469.0</v>
      </c>
      <c r="S2858" s="50" t="s">
        <v>805</v>
      </c>
      <c r="T2858" s="56" t="s">
        <v>17393</v>
      </c>
      <c r="U2858" s="53" t="s">
        <v>370</v>
      </c>
    </row>
    <row r="2859">
      <c r="A2859" s="54" t="s">
        <v>17394</v>
      </c>
      <c r="B2859" s="50" t="s">
        <v>17395</v>
      </c>
      <c r="C2859" s="51" t="s">
        <v>316</v>
      </c>
      <c r="D2859" s="51"/>
      <c r="E2859" s="51"/>
      <c r="F2859" s="51"/>
      <c r="G2859" s="50" t="s">
        <v>17396</v>
      </c>
      <c r="H2859" s="52">
        <v>44682.962118055555</v>
      </c>
      <c r="I2859" s="50"/>
      <c r="J2859" s="50"/>
      <c r="K2859" s="50"/>
      <c r="L2859" s="50"/>
      <c r="M2859" s="50" t="s">
        <v>17397</v>
      </c>
      <c r="N2859" s="50"/>
      <c r="O2859" s="53" t="s">
        <v>60</v>
      </c>
      <c r="P2859" s="55" t="s">
        <v>17398</v>
      </c>
      <c r="Q2859" s="50">
        <v>181.0</v>
      </c>
      <c r="R2859" s="50">
        <v>684.0</v>
      </c>
      <c r="S2859" s="50"/>
      <c r="T2859" s="56" t="s">
        <v>17399</v>
      </c>
      <c r="U2859" s="53" t="s">
        <v>322</v>
      </c>
    </row>
    <row r="2860">
      <c r="A2860" s="54" t="s">
        <v>17400</v>
      </c>
      <c r="B2860" s="50" t="s">
        <v>17401</v>
      </c>
      <c r="C2860" s="51" t="s">
        <v>16597</v>
      </c>
      <c r="D2860" s="51"/>
      <c r="E2860" s="51"/>
      <c r="F2860" s="51"/>
      <c r="G2860" s="50" t="s">
        <v>17402</v>
      </c>
      <c r="H2860" s="52">
        <v>44682.96181712963</v>
      </c>
      <c r="I2860" s="50"/>
      <c r="J2860" s="50"/>
      <c r="K2860" s="50"/>
      <c r="L2860" s="50"/>
      <c r="M2860" s="50" t="s">
        <v>17403</v>
      </c>
      <c r="N2860" s="50"/>
      <c r="O2860" s="53" t="s">
        <v>92</v>
      </c>
      <c r="P2860" s="55" t="s">
        <v>17404</v>
      </c>
      <c r="Q2860" s="50">
        <v>4437.0</v>
      </c>
      <c r="R2860" s="50">
        <v>5001.0</v>
      </c>
      <c r="S2860" s="50"/>
      <c r="T2860" s="56" t="s">
        <v>17405</v>
      </c>
      <c r="U2860" s="53" t="s">
        <v>16602</v>
      </c>
    </row>
    <row r="2861">
      <c r="A2861" s="54" t="s">
        <v>17406</v>
      </c>
      <c r="B2861" s="50" t="s">
        <v>17211</v>
      </c>
      <c r="C2861" s="51" t="s">
        <v>316</v>
      </c>
      <c r="D2861" s="51"/>
      <c r="E2861" s="51"/>
      <c r="F2861" s="51"/>
      <c r="G2861" s="50" t="s">
        <v>17407</v>
      </c>
      <c r="H2861" s="52">
        <v>44682.96178240741</v>
      </c>
      <c r="I2861" s="50"/>
      <c r="J2861" s="50"/>
      <c r="K2861" s="50"/>
      <c r="L2861" s="50"/>
      <c r="M2861" s="50" t="s">
        <v>17213</v>
      </c>
      <c r="N2861" s="50"/>
      <c r="O2861" s="53" t="s">
        <v>60</v>
      </c>
      <c r="P2861" s="55" t="s">
        <v>17214</v>
      </c>
      <c r="Q2861" s="50">
        <v>2804.0</v>
      </c>
      <c r="R2861" s="50">
        <v>4965.0</v>
      </c>
      <c r="S2861" s="50" t="s">
        <v>246</v>
      </c>
      <c r="T2861" s="56" t="s">
        <v>17408</v>
      </c>
      <c r="U2861" s="53" t="s">
        <v>322</v>
      </c>
    </row>
    <row r="2862">
      <c r="A2862" s="54" t="s">
        <v>17409</v>
      </c>
      <c r="B2862" s="50" t="s">
        <v>17211</v>
      </c>
      <c r="C2862" s="51" t="s">
        <v>329</v>
      </c>
      <c r="D2862" s="51"/>
      <c r="E2862" s="51"/>
      <c r="F2862" s="51"/>
      <c r="G2862" s="50" t="s">
        <v>17410</v>
      </c>
      <c r="H2862" s="52">
        <v>44682.96170138889</v>
      </c>
      <c r="I2862" s="50"/>
      <c r="J2862" s="50"/>
      <c r="K2862" s="50"/>
      <c r="L2862" s="50"/>
      <c r="M2862" s="50" t="s">
        <v>17213</v>
      </c>
      <c r="N2862" s="50"/>
      <c r="O2862" s="53" t="s">
        <v>60</v>
      </c>
      <c r="P2862" s="55" t="s">
        <v>17214</v>
      </c>
      <c r="Q2862" s="50">
        <v>2804.0</v>
      </c>
      <c r="R2862" s="50">
        <v>4965.0</v>
      </c>
      <c r="S2862" s="50" t="s">
        <v>246</v>
      </c>
      <c r="T2862" s="56" t="s">
        <v>17411</v>
      </c>
      <c r="U2862" s="53" t="s">
        <v>332</v>
      </c>
    </row>
    <row r="2863">
      <c r="A2863" s="54" t="s">
        <v>17412</v>
      </c>
      <c r="B2863" s="50" t="s">
        <v>17211</v>
      </c>
      <c r="C2863" s="51" t="s">
        <v>335</v>
      </c>
      <c r="D2863" s="51"/>
      <c r="E2863" s="51"/>
      <c r="F2863" s="51"/>
      <c r="G2863" s="50" t="s">
        <v>17413</v>
      </c>
      <c r="H2863" s="52">
        <v>44682.961597222224</v>
      </c>
      <c r="I2863" s="50"/>
      <c r="J2863" s="50"/>
      <c r="K2863" s="50"/>
      <c r="L2863" s="50"/>
      <c r="M2863" s="50" t="s">
        <v>17213</v>
      </c>
      <c r="N2863" s="50"/>
      <c r="O2863" s="53" t="s">
        <v>60</v>
      </c>
      <c r="P2863" s="55" t="s">
        <v>17214</v>
      </c>
      <c r="Q2863" s="50">
        <v>2804.0</v>
      </c>
      <c r="R2863" s="50">
        <v>4965.0</v>
      </c>
      <c r="S2863" s="50" t="s">
        <v>246</v>
      </c>
      <c r="T2863" s="56" t="s">
        <v>17414</v>
      </c>
      <c r="U2863" s="53" t="s">
        <v>339</v>
      </c>
    </row>
    <row r="2864">
      <c r="A2864" s="54" t="s">
        <v>17415</v>
      </c>
      <c r="B2864" s="50" t="s">
        <v>17211</v>
      </c>
      <c r="C2864" s="51" t="s">
        <v>363</v>
      </c>
      <c r="D2864" s="51"/>
      <c r="E2864" s="51"/>
      <c r="F2864" s="51"/>
      <c r="G2864" s="50" t="s">
        <v>17416</v>
      </c>
      <c r="H2864" s="52">
        <v>44682.961481481485</v>
      </c>
      <c r="I2864" s="50"/>
      <c r="J2864" s="50"/>
      <c r="K2864" s="50"/>
      <c r="L2864" s="50"/>
      <c r="M2864" s="50" t="s">
        <v>17213</v>
      </c>
      <c r="N2864" s="50"/>
      <c r="O2864" s="53" t="s">
        <v>60</v>
      </c>
      <c r="P2864" s="55" t="s">
        <v>17214</v>
      </c>
      <c r="Q2864" s="50">
        <v>2804.0</v>
      </c>
      <c r="R2864" s="50">
        <v>4965.0</v>
      </c>
      <c r="S2864" s="50" t="s">
        <v>246</v>
      </c>
      <c r="T2864" s="56" t="s">
        <v>17417</v>
      </c>
      <c r="U2864" s="53" t="s">
        <v>332</v>
      </c>
    </row>
    <row r="2865">
      <c r="A2865" s="54" t="s">
        <v>17418</v>
      </c>
      <c r="B2865" s="50" t="s">
        <v>17419</v>
      </c>
      <c r="C2865" s="51" t="s">
        <v>329</v>
      </c>
      <c r="D2865" s="51"/>
      <c r="E2865" s="51"/>
      <c r="F2865" s="51"/>
      <c r="G2865" s="50" t="s">
        <v>17420</v>
      </c>
      <c r="H2865" s="52">
        <v>44682.96146990741</v>
      </c>
      <c r="I2865" s="50"/>
      <c r="J2865" s="50"/>
      <c r="K2865" s="50"/>
      <c r="L2865" s="50"/>
      <c r="M2865" s="50" t="s">
        <v>17421</v>
      </c>
      <c r="N2865" s="50"/>
      <c r="O2865" s="53" t="s">
        <v>60</v>
      </c>
      <c r="P2865" s="55" t="s">
        <v>17422</v>
      </c>
      <c r="Q2865" s="50">
        <v>1076.0</v>
      </c>
      <c r="R2865" s="50">
        <v>4215.0</v>
      </c>
      <c r="S2865" s="50" t="s">
        <v>17423</v>
      </c>
      <c r="T2865" s="56" t="s">
        <v>17424</v>
      </c>
      <c r="U2865" s="53" t="s">
        <v>332</v>
      </c>
    </row>
    <row r="2866">
      <c r="A2866" s="54" t="s">
        <v>17425</v>
      </c>
      <c r="B2866" s="50" t="s">
        <v>17426</v>
      </c>
      <c r="C2866" s="51" t="s">
        <v>367</v>
      </c>
      <c r="D2866" s="51"/>
      <c r="E2866" s="51"/>
      <c r="F2866" s="51"/>
      <c r="G2866" s="50" t="s">
        <v>17427</v>
      </c>
      <c r="H2866" s="52">
        <v>44682.96115740741</v>
      </c>
      <c r="I2866" s="50"/>
      <c r="J2866" s="50"/>
      <c r="K2866" s="50"/>
      <c r="L2866" s="50"/>
      <c r="M2866" s="50" t="s">
        <v>17428</v>
      </c>
      <c r="N2866" s="50"/>
      <c r="O2866" s="53" t="s">
        <v>70</v>
      </c>
      <c r="P2866" s="55" t="s">
        <v>17429</v>
      </c>
      <c r="Q2866" s="50">
        <v>1145.0</v>
      </c>
      <c r="R2866" s="50">
        <v>1335.0</v>
      </c>
      <c r="S2866" s="50"/>
      <c r="T2866" s="56" t="s">
        <v>17430</v>
      </c>
      <c r="U2866" s="53" t="s">
        <v>370</v>
      </c>
    </row>
    <row r="2867">
      <c r="A2867" s="54" t="s">
        <v>17431</v>
      </c>
      <c r="B2867" s="50" t="s">
        <v>17211</v>
      </c>
      <c r="C2867" s="51" t="s">
        <v>367</v>
      </c>
      <c r="D2867" s="51"/>
      <c r="E2867" s="51"/>
      <c r="F2867" s="51"/>
      <c r="G2867" s="50" t="s">
        <v>17432</v>
      </c>
      <c r="H2867" s="52">
        <v>44682.961018518516</v>
      </c>
      <c r="I2867" s="50"/>
      <c r="J2867" s="50"/>
      <c r="K2867" s="50"/>
      <c r="L2867" s="50"/>
      <c r="M2867" s="50" t="s">
        <v>17213</v>
      </c>
      <c r="N2867" s="50"/>
      <c r="O2867" s="53" t="s">
        <v>60</v>
      </c>
      <c r="P2867" s="55" t="s">
        <v>17214</v>
      </c>
      <c r="Q2867" s="50">
        <v>2804.0</v>
      </c>
      <c r="R2867" s="50">
        <v>4965.0</v>
      </c>
      <c r="S2867" s="50" t="s">
        <v>246</v>
      </c>
      <c r="T2867" s="56" t="s">
        <v>17433</v>
      </c>
      <c r="U2867" s="53" t="s">
        <v>370</v>
      </c>
    </row>
    <row r="2868">
      <c r="A2868" s="54" t="s">
        <v>17434</v>
      </c>
      <c r="B2868" s="50" t="s">
        <v>17435</v>
      </c>
      <c r="C2868" s="51" t="s">
        <v>367</v>
      </c>
      <c r="D2868" s="51"/>
      <c r="E2868" s="51"/>
      <c r="F2868" s="51"/>
      <c r="G2868" s="50" t="s">
        <v>17436</v>
      </c>
      <c r="H2868" s="52">
        <v>44682.96079861111</v>
      </c>
      <c r="I2868" s="50"/>
      <c r="J2868" s="50"/>
      <c r="K2868" s="50"/>
      <c r="L2868" s="50"/>
      <c r="M2868" s="50" t="s">
        <v>17437</v>
      </c>
      <c r="N2868" s="50"/>
      <c r="O2868" s="53" t="s">
        <v>70</v>
      </c>
      <c r="P2868" s="55" t="s">
        <v>17438</v>
      </c>
      <c r="Q2868" s="50">
        <v>21941.0</v>
      </c>
      <c r="R2868" s="50">
        <v>435.0</v>
      </c>
      <c r="S2868" s="50" t="s">
        <v>17439</v>
      </c>
      <c r="T2868" s="56" t="s">
        <v>17440</v>
      </c>
      <c r="U2868" s="53" t="s">
        <v>370</v>
      </c>
    </row>
    <row r="2869">
      <c r="A2869" s="54" t="s">
        <v>17441</v>
      </c>
      <c r="B2869" s="50" t="s">
        <v>17442</v>
      </c>
      <c r="C2869" s="51" t="s">
        <v>329</v>
      </c>
      <c r="D2869" s="51"/>
      <c r="E2869" s="51"/>
      <c r="F2869" s="51"/>
      <c r="G2869" s="50" t="s">
        <v>17443</v>
      </c>
      <c r="H2869" s="52">
        <v>44682.96052083334</v>
      </c>
      <c r="I2869" s="50"/>
      <c r="J2869" s="50"/>
      <c r="K2869" s="50"/>
      <c r="L2869" s="50"/>
      <c r="M2869" s="50" t="s">
        <v>17444</v>
      </c>
      <c r="N2869" s="50"/>
      <c r="O2869" s="53" t="s">
        <v>60</v>
      </c>
      <c r="P2869" s="55" t="s">
        <v>17445</v>
      </c>
      <c r="Q2869" s="50">
        <v>554.0</v>
      </c>
      <c r="R2869" s="50">
        <v>650.0</v>
      </c>
      <c r="S2869" s="50"/>
      <c r="T2869" s="56" t="s">
        <v>17446</v>
      </c>
      <c r="U2869" s="53" t="s">
        <v>332</v>
      </c>
    </row>
    <row r="2870">
      <c r="A2870" s="54" t="s">
        <v>17447</v>
      </c>
      <c r="B2870" s="50" t="s">
        <v>17448</v>
      </c>
      <c r="C2870" s="51" t="s">
        <v>367</v>
      </c>
      <c r="D2870" s="51"/>
      <c r="E2870" s="51"/>
      <c r="F2870" s="51"/>
      <c r="G2870" s="50" t="s">
        <v>17449</v>
      </c>
      <c r="H2870" s="52">
        <v>44682.96050925926</v>
      </c>
      <c r="I2870" s="50"/>
      <c r="J2870" s="50"/>
      <c r="K2870" s="50"/>
      <c r="L2870" s="50"/>
      <c r="M2870" s="50" t="s">
        <v>17450</v>
      </c>
      <c r="N2870" s="50"/>
      <c r="O2870" s="53" t="s">
        <v>783</v>
      </c>
      <c r="P2870" s="55" t="s">
        <v>17451</v>
      </c>
      <c r="Q2870" s="50">
        <v>959.0</v>
      </c>
      <c r="R2870" s="50">
        <v>3779.0</v>
      </c>
      <c r="S2870" s="50"/>
      <c r="T2870" s="56" t="s">
        <v>17452</v>
      </c>
      <c r="U2870" s="53" t="s">
        <v>370</v>
      </c>
    </row>
    <row r="2871">
      <c r="A2871" s="54" t="s">
        <v>17453</v>
      </c>
      <c r="B2871" s="50" t="s">
        <v>17454</v>
      </c>
      <c r="C2871" s="51" t="s">
        <v>316</v>
      </c>
      <c r="D2871" s="51"/>
      <c r="E2871" s="51"/>
      <c r="F2871" s="51"/>
      <c r="G2871" s="50" t="s">
        <v>17449</v>
      </c>
      <c r="H2871" s="52">
        <v>44682.96050925926</v>
      </c>
      <c r="I2871" s="50"/>
      <c r="J2871" s="50"/>
      <c r="K2871" s="50"/>
      <c r="L2871" s="50"/>
      <c r="M2871" s="50" t="s">
        <v>17455</v>
      </c>
      <c r="N2871" s="50"/>
      <c r="O2871" s="53" t="s">
        <v>92</v>
      </c>
      <c r="P2871" s="55" t="s">
        <v>17456</v>
      </c>
      <c r="Q2871" s="50">
        <v>968.0</v>
      </c>
      <c r="R2871" s="50">
        <v>424.0</v>
      </c>
      <c r="S2871" s="50" t="s">
        <v>887</v>
      </c>
      <c r="T2871" s="56" t="s">
        <v>17457</v>
      </c>
      <c r="U2871" s="53" t="s">
        <v>322</v>
      </c>
    </row>
    <row r="2872">
      <c r="A2872" s="54" t="s">
        <v>17458</v>
      </c>
      <c r="B2872" s="50" t="s">
        <v>17454</v>
      </c>
      <c r="C2872" s="51" t="s">
        <v>335</v>
      </c>
      <c r="D2872" s="51"/>
      <c r="E2872" s="51"/>
      <c r="F2872" s="51"/>
      <c r="G2872" s="50" t="s">
        <v>17459</v>
      </c>
      <c r="H2872" s="52">
        <v>44682.96034722222</v>
      </c>
      <c r="I2872" s="50"/>
      <c r="J2872" s="50"/>
      <c r="K2872" s="50"/>
      <c r="L2872" s="50"/>
      <c r="M2872" s="50" t="s">
        <v>17455</v>
      </c>
      <c r="N2872" s="50"/>
      <c r="O2872" s="53" t="s">
        <v>92</v>
      </c>
      <c r="P2872" s="55" t="s">
        <v>17456</v>
      </c>
      <c r="Q2872" s="50">
        <v>968.0</v>
      </c>
      <c r="R2872" s="50">
        <v>424.0</v>
      </c>
      <c r="S2872" s="50" t="s">
        <v>887</v>
      </c>
      <c r="T2872" s="56" t="s">
        <v>17460</v>
      </c>
      <c r="U2872" s="53" t="s">
        <v>339</v>
      </c>
    </row>
    <row r="2873">
      <c r="A2873" s="54" t="s">
        <v>17461</v>
      </c>
      <c r="B2873" s="50" t="s">
        <v>17462</v>
      </c>
      <c r="C2873" s="51" t="s">
        <v>367</v>
      </c>
      <c r="D2873" s="51"/>
      <c r="E2873" s="51"/>
      <c r="F2873" s="51"/>
      <c r="G2873" s="50" t="s">
        <v>17463</v>
      </c>
      <c r="H2873" s="52">
        <v>44682.96033564815</v>
      </c>
      <c r="I2873" s="50"/>
      <c r="J2873" s="50"/>
      <c r="K2873" s="50"/>
      <c r="L2873" s="50"/>
      <c r="M2873" s="50" t="s">
        <v>17464</v>
      </c>
      <c r="N2873" s="50"/>
      <c r="O2873" s="53" t="s">
        <v>60</v>
      </c>
      <c r="P2873" s="55" t="s">
        <v>17465</v>
      </c>
      <c r="Q2873" s="50">
        <v>2184.0</v>
      </c>
      <c r="R2873" s="50">
        <v>5002.0</v>
      </c>
      <c r="S2873" s="50"/>
      <c r="T2873" s="56" t="s">
        <v>17466</v>
      </c>
      <c r="U2873" s="53" t="s">
        <v>370</v>
      </c>
    </row>
    <row r="2874">
      <c r="A2874" s="54" t="s">
        <v>17467</v>
      </c>
      <c r="B2874" s="50" t="s">
        <v>17468</v>
      </c>
      <c r="C2874" s="51" t="s">
        <v>367</v>
      </c>
      <c r="D2874" s="51"/>
      <c r="E2874" s="51"/>
      <c r="F2874" s="51"/>
      <c r="G2874" s="50" t="s">
        <v>17469</v>
      </c>
      <c r="H2874" s="52">
        <v>44682.96019675926</v>
      </c>
      <c r="I2874" s="50"/>
      <c r="J2874" s="50"/>
      <c r="K2874" s="50"/>
      <c r="L2874" s="50"/>
      <c r="M2874" s="50" t="s">
        <v>17470</v>
      </c>
      <c r="N2874" s="50"/>
      <c r="O2874" s="53" t="s">
        <v>60</v>
      </c>
      <c r="P2874" s="55" t="s">
        <v>354</v>
      </c>
      <c r="Q2874" s="50">
        <v>2294.0</v>
      </c>
      <c r="R2874" s="50">
        <v>2414.0</v>
      </c>
      <c r="S2874" s="50"/>
      <c r="T2874" s="56" t="s">
        <v>17471</v>
      </c>
      <c r="U2874" s="53" t="s">
        <v>370</v>
      </c>
    </row>
    <row r="2875">
      <c r="A2875" s="54" t="s">
        <v>17472</v>
      </c>
      <c r="B2875" s="50" t="s">
        <v>17454</v>
      </c>
      <c r="C2875" s="51" t="s">
        <v>363</v>
      </c>
      <c r="D2875" s="51"/>
      <c r="E2875" s="51"/>
      <c r="F2875" s="51"/>
      <c r="G2875" s="50" t="s">
        <v>17473</v>
      </c>
      <c r="H2875" s="52">
        <v>44682.960185185184</v>
      </c>
      <c r="I2875" s="50"/>
      <c r="J2875" s="50"/>
      <c r="K2875" s="50"/>
      <c r="L2875" s="50"/>
      <c r="M2875" s="50" t="s">
        <v>17455</v>
      </c>
      <c r="N2875" s="50"/>
      <c r="O2875" s="53" t="s">
        <v>92</v>
      </c>
      <c r="P2875" s="55" t="s">
        <v>17456</v>
      </c>
      <c r="Q2875" s="50">
        <v>968.0</v>
      </c>
      <c r="R2875" s="50">
        <v>424.0</v>
      </c>
      <c r="S2875" s="50" t="s">
        <v>887</v>
      </c>
      <c r="T2875" s="56" t="s">
        <v>17474</v>
      </c>
      <c r="U2875" s="53" t="s">
        <v>332</v>
      </c>
    </row>
    <row r="2876">
      <c r="A2876" s="54" t="s">
        <v>17475</v>
      </c>
      <c r="B2876" s="50" t="s">
        <v>17476</v>
      </c>
      <c r="C2876" s="51" t="s">
        <v>8881</v>
      </c>
      <c r="D2876" s="51"/>
      <c r="E2876" s="51"/>
      <c r="F2876" s="51"/>
      <c r="G2876" s="50" t="s">
        <v>17477</v>
      </c>
      <c r="H2876" s="52">
        <v>44682.96003472222</v>
      </c>
      <c r="I2876" s="50"/>
      <c r="J2876" s="50"/>
      <c r="K2876" s="50"/>
      <c r="L2876" s="50"/>
      <c r="M2876" s="50" t="s">
        <v>17478</v>
      </c>
      <c r="N2876" s="50"/>
      <c r="O2876" s="53" t="s">
        <v>70</v>
      </c>
      <c r="P2876" s="55" t="s">
        <v>354</v>
      </c>
      <c r="Q2876" s="50">
        <v>17.0</v>
      </c>
      <c r="R2876" s="50">
        <v>383.0</v>
      </c>
      <c r="S2876" s="50"/>
      <c r="T2876" s="56" t="s">
        <v>17479</v>
      </c>
      <c r="U2876" s="53" t="s">
        <v>8886</v>
      </c>
    </row>
    <row r="2877">
      <c r="A2877" s="54" t="s">
        <v>17480</v>
      </c>
      <c r="B2877" s="50" t="s">
        <v>17481</v>
      </c>
      <c r="C2877" s="51" t="s">
        <v>367</v>
      </c>
      <c r="D2877" s="51"/>
      <c r="E2877" s="51"/>
      <c r="F2877" s="51"/>
      <c r="G2877" s="50" t="s">
        <v>17482</v>
      </c>
      <c r="H2877" s="52">
        <v>44682.959965277776</v>
      </c>
      <c r="I2877" s="50"/>
      <c r="J2877" s="50"/>
      <c r="K2877" s="50"/>
      <c r="L2877" s="50"/>
      <c r="M2877" s="50" t="s">
        <v>17483</v>
      </c>
      <c r="N2877" s="50"/>
      <c r="O2877" s="53" t="s">
        <v>92</v>
      </c>
      <c r="P2877" s="55" t="s">
        <v>17484</v>
      </c>
      <c r="Q2877" s="50">
        <v>333.0</v>
      </c>
      <c r="R2877" s="50">
        <v>1030.0</v>
      </c>
      <c r="S2877" s="50" t="s">
        <v>1311</v>
      </c>
      <c r="T2877" s="56" t="s">
        <v>17485</v>
      </c>
      <c r="U2877" s="53" t="s">
        <v>370</v>
      </c>
    </row>
    <row r="2878">
      <c r="A2878" s="54" t="s">
        <v>17486</v>
      </c>
      <c r="B2878" s="50" t="s">
        <v>17454</v>
      </c>
      <c r="C2878" s="51" t="s">
        <v>367</v>
      </c>
      <c r="D2878" s="51"/>
      <c r="E2878" s="51"/>
      <c r="F2878" s="51"/>
      <c r="G2878" s="50" t="s">
        <v>17487</v>
      </c>
      <c r="H2878" s="52">
        <v>44682.9599537037</v>
      </c>
      <c r="I2878" s="50"/>
      <c r="J2878" s="50"/>
      <c r="K2878" s="50"/>
      <c r="L2878" s="50"/>
      <c r="M2878" s="50" t="s">
        <v>17455</v>
      </c>
      <c r="N2878" s="50"/>
      <c r="O2878" s="53" t="s">
        <v>92</v>
      </c>
      <c r="P2878" s="55" t="s">
        <v>17456</v>
      </c>
      <c r="Q2878" s="50">
        <v>968.0</v>
      </c>
      <c r="R2878" s="50">
        <v>424.0</v>
      </c>
      <c r="S2878" s="50" t="s">
        <v>887</v>
      </c>
      <c r="T2878" s="56" t="s">
        <v>17488</v>
      </c>
      <c r="U2878" s="53" t="s">
        <v>370</v>
      </c>
    </row>
    <row r="2879">
      <c r="A2879" s="54" t="s">
        <v>17489</v>
      </c>
      <c r="B2879" s="50" t="s">
        <v>17490</v>
      </c>
      <c r="C2879" s="51" t="s">
        <v>367</v>
      </c>
      <c r="D2879" s="51"/>
      <c r="E2879" s="51"/>
      <c r="F2879" s="51"/>
      <c r="G2879" s="50" t="s">
        <v>17491</v>
      </c>
      <c r="H2879" s="52">
        <v>44682.959768518514</v>
      </c>
      <c r="I2879" s="50"/>
      <c r="J2879" s="50"/>
      <c r="K2879" s="50"/>
      <c r="L2879" s="50"/>
      <c r="M2879" s="50" t="s">
        <v>17492</v>
      </c>
      <c r="N2879" s="50"/>
      <c r="O2879" s="53" t="s">
        <v>70</v>
      </c>
      <c r="P2879" s="55" t="s">
        <v>17493</v>
      </c>
      <c r="Q2879" s="50">
        <v>78.0</v>
      </c>
      <c r="R2879" s="50">
        <v>224.0</v>
      </c>
      <c r="S2879" s="50"/>
      <c r="T2879" s="56" t="s">
        <v>17494</v>
      </c>
      <c r="U2879" s="53" t="s">
        <v>370</v>
      </c>
    </row>
    <row r="2880">
      <c r="A2880" s="54" t="s">
        <v>17495</v>
      </c>
      <c r="B2880" s="50" t="s">
        <v>17496</v>
      </c>
      <c r="C2880" s="51" t="s">
        <v>367</v>
      </c>
      <c r="D2880" s="51"/>
      <c r="E2880" s="51"/>
      <c r="F2880" s="51"/>
      <c r="G2880" s="50" t="s">
        <v>17497</v>
      </c>
      <c r="H2880" s="52">
        <v>44682.95966435185</v>
      </c>
      <c r="I2880" s="50"/>
      <c r="J2880" s="50"/>
      <c r="K2880" s="50"/>
      <c r="L2880" s="50"/>
      <c r="M2880" s="50" t="s">
        <v>17498</v>
      </c>
      <c r="N2880" s="50"/>
      <c r="O2880" s="53" t="s">
        <v>92</v>
      </c>
      <c r="P2880" s="55" t="s">
        <v>17499</v>
      </c>
      <c r="Q2880" s="50">
        <v>7025.0</v>
      </c>
      <c r="R2880" s="50">
        <v>7360.0</v>
      </c>
      <c r="S2880" s="50" t="s">
        <v>17500</v>
      </c>
      <c r="T2880" s="56" t="s">
        <v>17501</v>
      </c>
      <c r="U2880" s="53" t="s">
        <v>370</v>
      </c>
    </row>
    <row r="2881">
      <c r="A2881" s="54" t="s">
        <v>17502</v>
      </c>
      <c r="B2881" s="50" t="s">
        <v>17503</v>
      </c>
      <c r="C2881" s="51" t="s">
        <v>367</v>
      </c>
      <c r="D2881" s="51"/>
      <c r="E2881" s="51"/>
      <c r="F2881" s="51"/>
      <c r="G2881" s="50" t="s">
        <v>17504</v>
      </c>
      <c r="H2881" s="52">
        <v>44682.959490740745</v>
      </c>
      <c r="I2881" s="50"/>
      <c r="J2881" s="50"/>
      <c r="K2881" s="50"/>
      <c r="L2881" s="50"/>
      <c r="M2881" s="50" t="s">
        <v>17505</v>
      </c>
      <c r="N2881" s="50"/>
      <c r="O2881" s="53" t="s">
        <v>70</v>
      </c>
      <c r="P2881" s="55" t="s">
        <v>354</v>
      </c>
      <c r="Q2881" s="50">
        <v>61.0</v>
      </c>
      <c r="R2881" s="50">
        <v>104.0</v>
      </c>
      <c r="S2881" s="50"/>
      <c r="T2881" s="56" t="s">
        <v>17506</v>
      </c>
      <c r="U2881" s="53" t="s">
        <v>370</v>
      </c>
    </row>
    <row r="2882">
      <c r="A2882" s="54" t="s">
        <v>17507</v>
      </c>
      <c r="B2882" s="50" t="s">
        <v>17508</v>
      </c>
      <c r="C2882" s="51" t="s">
        <v>1972</v>
      </c>
      <c r="D2882" s="51"/>
      <c r="E2882" s="51"/>
      <c r="F2882" s="51"/>
      <c r="G2882" s="50" t="s">
        <v>17509</v>
      </c>
      <c r="H2882" s="52">
        <v>44682.9593287037</v>
      </c>
      <c r="I2882" s="50"/>
      <c r="J2882" s="50"/>
      <c r="K2882" s="50"/>
      <c r="L2882" s="50"/>
      <c r="M2882" s="50" t="s">
        <v>17510</v>
      </c>
      <c r="N2882" s="50"/>
      <c r="O2882" s="53" t="s">
        <v>92</v>
      </c>
      <c r="P2882" s="55" t="s">
        <v>17511</v>
      </c>
      <c r="Q2882" s="50">
        <v>2097.0</v>
      </c>
      <c r="R2882" s="50">
        <v>2361.0</v>
      </c>
      <c r="S2882" s="50" t="s">
        <v>219</v>
      </c>
      <c r="T2882" s="56" t="s">
        <v>17512</v>
      </c>
      <c r="U2882" s="53" t="s">
        <v>1977</v>
      </c>
    </row>
    <row r="2883">
      <c r="A2883" s="54" t="s">
        <v>17513</v>
      </c>
      <c r="B2883" s="50" t="s">
        <v>17514</v>
      </c>
      <c r="C2883" s="51" t="s">
        <v>17515</v>
      </c>
      <c r="D2883" s="51"/>
      <c r="E2883" s="51"/>
      <c r="F2883" s="51"/>
      <c r="G2883" s="50" t="s">
        <v>17516</v>
      </c>
      <c r="H2883" s="52">
        <v>44682.95893518519</v>
      </c>
      <c r="I2883" s="50"/>
      <c r="J2883" s="50"/>
      <c r="K2883" s="50" t="s">
        <v>17517</v>
      </c>
      <c r="L2883" s="50" t="s">
        <v>17518</v>
      </c>
      <c r="M2883" s="50" t="s">
        <v>17519</v>
      </c>
      <c r="N2883" s="50" t="s">
        <v>17520</v>
      </c>
      <c r="O2883" s="53" t="s">
        <v>60</v>
      </c>
      <c r="P2883" s="55" t="s">
        <v>17521</v>
      </c>
      <c r="Q2883" s="50">
        <v>1289.0</v>
      </c>
      <c r="R2883" s="50">
        <v>1504.0</v>
      </c>
      <c r="S2883" s="50" t="s">
        <v>17522</v>
      </c>
      <c r="T2883" s="56" t="s">
        <v>17523</v>
      </c>
      <c r="U2883" s="53" t="s">
        <v>17524</v>
      </c>
    </row>
    <row r="2884">
      <c r="A2884" s="54" t="s">
        <v>17525</v>
      </c>
      <c r="B2884" s="50" t="s">
        <v>17526</v>
      </c>
      <c r="C2884" s="51" t="s">
        <v>17527</v>
      </c>
      <c r="D2884" s="51"/>
      <c r="E2884" s="51"/>
      <c r="F2884" s="51"/>
      <c r="G2884" s="50" t="s">
        <v>17528</v>
      </c>
      <c r="H2884" s="52">
        <v>44682.95880787037</v>
      </c>
      <c r="I2884" s="50"/>
      <c r="J2884" s="50"/>
      <c r="K2884" s="50" t="s">
        <v>17529</v>
      </c>
      <c r="L2884" s="50" t="s">
        <v>17530</v>
      </c>
      <c r="M2884" s="50" t="s">
        <v>17531</v>
      </c>
      <c r="N2884" s="50" t="s">
        <v>17532</v>
      </c>
      <c r="O2884" s="53" t="s">
        <v>60</v>
      </c>
      <c r="P2884" s="55" t="s">
        <v>17533</v>
      </c>
      <c r="Q2884" s="50">
        <v>1637.0</v>
      </c>
      <c r="R2884" s="50">
        <v>1679.0</v>
      </c>
      <c r="S2884" s="50" t="s">
        <v>17534</v>
      </c>
      <c r="T2884" s="56" t="s">
        <v>17535</v>
      </c>
      <c r="U2884" s="53" t="s">
        <v>17536</v>
      </c>
    </row>
    <row r="2885">
      <c r="A2885" s="54" t="s">
        <v>17537</v>
      </c>
      <c r="B2885" s="50" t="s">
        <v>17538</v>
      </c>
      <c r="C2885" s="51" t="s">
        <v>316</v>
      </c>
      <c r="D2885" s="51"/>
      <c r="E2885" s="51"/>
      <c r="F2885" s="51"/>
      <c r="G2885" s="50" t="s">
        <v>17539</v>
      </c>
      <c r="H2885" s="52">
        <v>44682.958773148144</v>
      </c>
      <c r="I2885" s="50"/>
      <c r="J2885" s="50"/>
      <c r="K2885" s="50"/>
      <c r="L2885" s="50"/>
      <c r="M2885" s="50" t="s">
        <v>17540</v>
      </c>
      <c r="N2885" s="50"/>
      <c r="O2885" s="53" t="s">
        <v>60</v>
      </c>
      <c r="P2885" s="55" t="s">
        <v>354</v>
      </c>
      <c r="Q2885" s="50">
        <v>26.0</v>
      </c>
      <c r="R2885" s="50">
        <v>44.0</v>
      </c>
      <c r="S2885" s="50"/>
      <c r="T2885" s="56" t="s">
        <v>17541</v>
      </c>
      <c r="U2885" s="53" t="s">
        <v>322</v>
      </c>
    </row>
    <row r="2886">
      <c r="A2886" s="54" t="s">
        <v>17542</v>
      </c>
      <c r="B2886" s="50" t="s">
        <v>17538</v>
      </c>
      <c r="C2886" s="51" t="s">
        <v>329</v>
      </c>
      <c r="D2886" s="51"/>
      <c r="E2886" s="51"/>
      <c r="F2886" s="51"/>
      <c r="G2886" s="50" t="s">
        <v>17543</v>
      </c>
      <c r="H2886" s="52">
        <v>44682.95871527778</v>
      </c>
      <c r="I2886" s="50"/>
      <c r="J2886" s="50"/>
      <c r="K2886" s="50"/>
      <c r="L2886" s="50"/>
      <c r="M2886" s="50" t="s">
        <v>17540</v>
      </c>
      <c r="N2886" s="50"/>
      <c r="O2886" s="53" t="s">
        <v>60</v>
      </c>
      <c r="P2886" s="55" t="s">
        <v>354</v>
      </c>
      <c r="Q2886" s="50">
        <v>26.0</v>
      </c>
      <c r="R2886" s="50">
        <v>44.0</v>
      </c>
      <c r="S2886" s="50"/>
      <c r="T2886" s="56" t="s">
        <v>17544</v>
      </c>
      <c r="U2886" s="53" t="s">
        <v>332</v>
      </c>
    </row>
    <row r="2887">
      <c r="A2887" s="54" t="s">
        <v>17545</v>
      </c>
      <c r="B2887" s="50" t="s">
        <v>17538</v>
      </c>
      <c r="C2887" s="51" t="s">
        <v>335</v>
      </c>
      <c r="D2887" s="51"/>
      <c r="E2887" s="51"/>
      <c r="F2887" s="51"/>
      <c r="G2887" s="50" t="s">
        <v>17546</v>
      </c>
      <c r="H2887" s="52">
        <v>44682.958599537036</v>
      </c>
      <c r="I2887" s="50"/>
      <c r="J2887" s="50"/>
      <c r="K2887" s="50"/>
      <c r="L2887" s="50"/>
      <c r="M2887" s="50" t="s">
        <v>17540</v>
      </c>
      <c r="N2887" s="50"/>
      <c r="O2887" s="53" t="s">
        <v>60</v>
      </c>
      <c r="P2887" s="55" t="s">
        <v>354</v>
      </c>
      <c r="Q2887" s="50">
        <v>26.0</v>
      </c>
      <c r="R2887" s="50">
        <v>44.0</v>
      </c>
      <c r="S2887" s="50"/>
      <c r="T2887" s="56" t="s">
        <v>17547</v>
      </c>
      <c r="U2887" s="53" t="s">
        <v>339</v>
      </c>
    </row>
    <row r="2888">
      <c r="A2888" s="54" t="s">
        <v>17548</v>
      </c>
      <c r="B2888" s="50" t="s">
        <v>17538</v>
      </c>
      <c r="C2888" s="51" t="s">
        <v>363</v>
      </c>
      <c r="D2888" s="51"/>
      <c r="E2888" s="51"/>
      <c r="F2888" s="51"/>
      <c r="G2888" s="50" t="s">
        <v>17549</v>
      </c>
      <c r="H2888" s="52">
        <v>44682.95846064815</v>
      </c>
      <c r="I2888" s="50"/>
      <c r="J2888" s="50"/>
      <c r="K2888" s="50"/>
      <c r="L2888" s="50"/>
      <c r="M2888" s="50" t="s">
        <v>17540</v>
      </c>
      <c r="N2888" s="50"/>
      <c r="O2888" s="53" t="s">
        <v>60</v>
      </c>
      <c r="P2888" s="55" t="s">
        <v>354</v>
      </c>
      <c r="Q2888" s="50">
        <v>26.0</v>
      </c>
      <c r="R2888" s="50">
        <v>44.0</v>
      </c>
      <c r="S2888" s="50"/>
      <c r="T2888" s="56" t="s">
        <v>17550</v>
      </c>
      <c r="U2888" s="53" t="s">
        <v>332</v>
      </c>
    </row>
    <row r="2889">
      <c r="A2889" s="54" t="s">
        <v>17551</v>
      </c>
      <c r="B2889" s="50" t="s">
        <v>17538</v>
      </c>
      <c r="C2889" s="51" t="s">
        <v>367</v>
      </c>
      <c r="D2889" s="51"/>
      <c r="E2889" s="51"/>
      <c r="F2889" s="51"/>
      <c r="G2889" s="50" t="s">
        <v>17552</v>
      </c>
      <c r="H2889" s="52">
        <v>44682.958287037036</v>
      </c>
      <c r="I2889" s="50"/>
      <c r="J2889" s="50"/>
      <c r="K2889" s="50"/>
      <c r="L2889" s="50"/>
      <c r="M2889" s="50" t="s">
        <v>17540</v>
      </c>
      <c r="N2889" s="50"/>
      <c r="O2889" s="53" t="s">
        <v>60</v>
      </c>
      <c r="P2889" s="55" t="s">
        <v>354</v>
      </c>
      <c r="Q2889" s="50">
        <v>26.0</v>
      </c>
      <c r="R2889" s="50">
        <v>44.0</v>
      </c>
      <c r="S2889" s="50"/>
      <c r="T2889" s="56" t="s">
        <v>17553</v>
      </c>
      <c r="U2889" s="53" t="s">
        <v>370</v>
      </c>
    </row>
    <row r="2890">
      <c r="A2890" s="54" t="s">
        <v>17554</v>
      </c>
      <c r="B2890" s="50" t="s">
        <v>17555</v>
      </c>
      <c r="C2890" s="51" t="s">
        <v>367</v>
      </c>
      <c r="D2890" s="51"/>
      <c r="E2890" s="51"/>
      <c r="F2890" s="51"/>
      <c r="G2890" s="50" t="s">
        <v>17556</v>
      </c>
      <c r="H2890" s="52">
        <v>44682.95826388889</v>
      </c>
      <c r="I2890" s="50"/>
      <c r="J2890" s="50"/>
      <c r="K2890" s="50"/>
      <c r="L2890" s="50"/>
      <c r="M2890" s="50" t="s">
        <v>17557</v>
      </c>
      <c r="N2890" s="50"/>
      <c r="O2890" s="53" t="s">
        <v>92</v>
      </c>
      <c r="P2890" s="55" t="s">
        <v>17558</v>
      </c>
      <c r="Q2890" s="50">
        <v>1731.0</v>
      </c>
      <c r="R2890" s="50">
        <v>1446.0</v>
      </c>
      <c r="S2890" s="50" t="s">
        <v>17559</v>
      </c>
      <c r="T2890" s="56" t="s">
        <v>17560</v>
      </c>
      <c r="U2890" s="53" t="s">
        <v>370</v>
      </c>
    </row>
    <row r="2891">
      <c r="A2891" s="54" t="s">
        <v>17561</v>
      </c>
      <c r="B2891" s="50" t="s">
        <v>17562</v>
      </c>
      <c r="C2891" s="51" t="s">
        <v>367</v>
      </c>
      <c r="D2891" s="51"/>
      <c r="E2891" s="51"/>
      <c r="F2891" s="51"/>
      <c r="G2891" s="50" t="s">
        <v>17563</v>
      </c>
      <c r="H2891" s="52">
        <v>44682.958020833335</v>
      </c>
      <c r="I2891" s="50"/>
      <c r="J2891" s="50"/>
      <c r="K2891" s="50"/>
      <c r="L2891" s="50"/>
      <c r="M2891" s="50" t="s">
        <v>17564</v>
      </c>
      <c r="N2891" s="50"/>
      <c r="O2891" s="53" t="s">
        <v>70</v>
      </c>
      <c r="P2891" s="55" t="s">
        <v>17565</v>
      </c>
      <c r="Q2891" s="50">
        <v>13.0</v>
      </c>
      <c r="R2891" s="50">
        <v>405.0</v>
      </c>
      <c r="S2891" s="50"/>
      <c r="T2891" s="56" t="s">
        <v>17566</v>
      </c>
      <c r="U2891" s="53" t="s">
        <v>370</v>
      </c>
    </row>
    <row r="2892">
      <c r="A2892" s="54" t="s">
        <v>17567</v>
      </c>
      <c r="B2892" s="50" t="s">
        <v>17568</v>
      </c>
      <c r="C2892" s="51" t="s">
        <v>9149</v>
      </c>
      <c r="D2892" s="51"/>
      <c r="E2892" s="51"/>
      <c r="F2892" s="51"/>
      <c r="G2892" s="50" t="s">
        <v>17569</v>
      </c>
      <c r="H2892" s="52">
        <v>44682.95799768518</v>
      </c>
      <c r="I2892" s="50"/>
      <c r="J2892" s="50"/>
      <c r="K2892" s="50"/>
      <c r="L2892" s="50"/>
      <c r="M2892" s="50" t="s">
        <v>17570</v>
      </c>
      <c r="N2892" s="50"/>
      <c r="O2892" s="53" t="s">
        <v>70</v>
      </c>
      <c r="P2892" s="55" t="s">
        <v>17571</v>
      </c>
      <c r="Q2892" s="50">
        <v>2452.0</v>
      </c>
      <c r="R2892" s="50">
        <v>3951.0</v>
      </c>
      <c r="S2892" s="50" t="s">
        <v>17572</v>
      </c>
      <c r="T2892" s="56" t="s">
        <v>17573</v>
      </c>
      <c r="U2892" s="53" t="s">
        <v>9154</v>
      </c>
    </row>
    <row r="2893">
      <c r="A2893" s="54" t="s">
        <v>17574</v>
      </c>
      <c r="B2893" s="50" t="s">
        <v>17575</v>
      </c>
      <c r="C2893" s="51" t="s">
        <v>17576</v>
      </c>
      <c r="D2893" s="51"/>
      <c r="E2893" s="51"/>
      <c r="F2893" s="51"/>
      <c r="G2893" s="50" t="s">
        <v>17577</v>
      </c>
      <c r="H2893" s="52">
        <v>44682.95771990741</v>
      </c>
      <c r="I2893" s="50"/>
      <c r="J2893" s="50"/>
      <c r="K2893" s="50"/>
      <c r="L2893" s="50"/>
      <c r="M2893" s="50" t="s">
        <v>17578</v>
      </c>
      <c r="N2893" s="50"/>
      <c r="O2893" s="53" t="s">
        <v>92</v>
      </c>
      <c r="P2893" s="55" t="s">
        <v>17579</v>
      </c>
      <c r="Q2893" s="50">
        <v>591.0</v>
      </c>
      <c r="R2893" s="50">
        <v>648.0</v>
      </c>
      <c r="S2893" s="50" t="s">
        <v>17580</v>
      </c>
      <c r="T2893" s="56" t="s">
        <v>17581</v>
      </c>
      <c r="U2893" s="53" t="s">
        <v>17582</v>
      </c>
    </row>
    <row r="2894">
      <c r="A2894" s="54" t="s">
        <v>17583</v>
      </c>
      <c r="B2894" s="50" t="s">
        <v>17584</v>
      </c>
      <c r="C2894" s="51" t="s">
        <v>367</v>
      </c>
      <c r="D2894" s="51"/>
      <c r="E2894" s="51"/>
      <c r="F2894" s="51"/>
      <c r="G2894" s="50" t="s">
        <v>17585</v>
      </c>
      <c r="H2894" s="52">
        <v>44682.95769675926</v>
      </c>
      <c r="I2894" s="50"/>
      <c r="J2894" s="50"/>
      <c r="K2894" s="50"/>
      <c r="L2894" s="50"/>
      <c r="M2894" s="50" t="s">
        <v>17586</v>
      </c>
      <c r="N2894" s="50"/>
      <c r="O2894" s="53" t="s">
        <v>92</v>
      </c>
      <c r="P2894" s="55" t="s">
        <v>17587</v>
      </c>
      <c r="Q2894" s="50">
        <v>1451.0</v>
      </c>
      <c r="R2894" s="50">
        <v>2153.0</v>
      </c>
      <c r="S2894" s="50" t="s">
        <v>17588</v>
      </c>
      <c r="T2894" s="56" t="s">
        <v>17589</v>
      </c>
      <c r="U2894" s="53" t="s">
        <v>370</v>
      </c>
    </row>
    <row r="2895">
      <c r="A2895" s="54" t="s">
        <v>17590</v>
      </c>
      <c r="B2895" s="50" t="s">
        <v>17591</v>
      </c>
      <c r="C2895" s="51" t="s">
        <v>367</v>
      </c>
      <c r="D2895" s="51"/>
      <c r="E2895" s="51"/>
      <c r="F2895" s="51"/>
      <c r="G2895" s="50" t="s">
        <v>17592</v>
      </c>
      <c r="H2895" s="52">
        <v>44682.95768518519</v>
      </c>
      <c r="I2895" s="50"/>
      <c r="J2895" s="50"/>
      <c r="K2895" s="50"/>
      <c r="L2895" s="50"/>
      <c r="M2895" s="50" t="s">
        <v>17593</v>
      </c>
      <c r="N2895" s="50"/>
      <c r="O2895" s="53" t="s">
        <v>60</v>
      </c>
      <c r="P2895" s="55" t="s">
        <v>17594</v>
      </c>
      <c r="Q2895" s="50">
        <v>2108.0</v>
      </c>
      <c r="R2895" s="50">
        <v>3253.0</v>
      </c>
      <c r="S2895" s="50" t="s">
        <v>17595</v>
      </c>
      <c r="T2895" s="56" t="s">
        <v>17596</v>
      </c>
      <c r="U2895" s="53" t="s">
        <v>370</v>
      </c>
    </row>
    <row r="2896">
      <c r="A2896" s="54" t="s">
        <v>17597</v>
      </c>
      <c r="B2896" s="50" t="s">
        <v>17598</v>
      </c>
      <c r="C2896" s="51" t="s">
        <v>367</v>
      </c>
      <c r="D2896" s="51"/>
      <c r="E2896" s="51"/>
      <c r="F2896" s="51"/>
      <c r="G2896" s="50" t="s">
        <v>17599</v>
      </c>
      <c r="H2896" s="52">
        <v>44682.95763888889</v>
      </c>
      <c r="I2896" s="50"/>
      <c r="J2896" s="50"/>
      <c r="K2896" s="50"/>
      <c r="L2896" s="50"/>
      <c r="M2896" s="50" t="s">
        <v>17600</v>
      </c>
      <c r="N2896" s="50"/>
      <c r="O2896" s="53" t="s">
        <v>92</v>
      </c>
      <c r="P2896" s="55" t="s">
        <v>17601</v>
      </c>
      <c r="Q2896" s="50">
        <v>119.0</v>
      </c>
      <c r="R2896" s="50">
        <v>1106.0</v>
      </c>
      <c r="S2896" s="50" t="s">
        <v>1153</v>
      </c>
      <c r="T2896" s="56" t="s">
        <v>17602</v>
      </c>
      <c r="U2896" s="53" t="s">
        <v>370</v>
      </c>
    </row>
    <row r="2897">
      <c r="A2897" s="54" t="s">
        <v>17603</v>
      </c>
      <c r="B2897" s="50" t="s">
        <v>17604</v>
      </c>
      <c r="C2897" s="51" t="s">
        <v>316</v>
      </c>
      <c r="D2897" s="51"/>
      <c r="E2897" s="51"/>
      <c r="F2897" s="51"/>
      <c r="G2897" s="50" t="s">
        <v>17599</v>
      </c>
      <c r="H2897" s="52">
        <v>44682.95763888889</v>
      </c>
      <c r="I2897" s="50"/>
      <c r="J2897" s="50"/>
      <c r="K2897" s="50"/>
      <c r="L2897" s="50"/>
      <c r="M2897" s="50" t="s">
        <v>17605</v>
      </c>
      <c r="N2897" s="50"/>
      <c r="O2897" s="53" t="s">
        <v>92</v>
      </c>
      <c r="P2897" s="55" t="s">
        <v>17606</v>
      </c>
      <c r="Q2897" s="50">
        <v>4736.0</v>
      </c>
      <c r="R2897" s="50">
        <v>5172.0</v>
      </c>
      <c r="S2897" s="50" t="s">
        <v>2645</v>
      </c>
      <c r="T2897" s="56" t="s">
        <v>17607</v>
      </c>
      <c r="U2897" s="53" t="s">
        <v>322</v>
      </c>
    </row>
    <row r="2898">
      <c r="A2898" s="54" t="s">
        <v>17608</v>
      </c>
      <c r="B2898" s="50" t="s">
        <v>17609</v>
      </c>
      <c r="C2898" s="51" t="s">
        <v>367</v>
      </c>
      <c r="D2898" s="51"/>
      <c r="E2898" s="51"/>
      <c r="F2898" s="51"/>
      <c r="G2898" s="50" t="s">
        <v>17610</v>
      </c>
      <c r="H2898" s="52">
        <v>44682.95753472223</v>
      </c>
      <c r="I2898" s="50"/>
      <c r="J2898" s="50"/>
      <c r="K2898" s="50"/>
      <c r="L2898" s="50"/>
      <c r="M2898" s="50" t="s">
        <v>17611</v>
      </c>
      <c r="N2898" s="50"/>
      <c r="O2898" s="53" t="s">
        <v>60</v>
      </c>
      <c r="P2898" s="55" t="s">
        <v>17612</v>
      </c>
      <c r="Q2898" s="50">
        <v>1712.0</v>
      </c>
      <c r="R2898" s="50">
        <v>2773.0</v>
      </c>
      <c r="S2898" s="50"/>
      <c r="T2898" s="56" t="s">
        <v>17613</v>
      </c>
      <c r="U2898" s="53" t="s">
        <v>370</v>
      </c>
    </row>
    <row r="2899">
      <c r="A2899" s="54" t="s">
        <v>17614</v>
      </c>
      <c r="B2899" s="50" t="s">
        <v>17615</v>
      </c>
      <c r="C2899" s="51" t="s">
        <v>367</v>
      </c>
      <c r="D2899" s="51"/>
      <c r="E2899" s="51"/>
      <c r="F2899" s="51"/>
      <c r="G2899" s="50" t="s">
        <v>17616</v>
      </c>
      <c r="H2899" s="52">
        <v>44682.95699074074</v>
      </c>
      <c r="I2899" s="50"/>
      <c r="J2899" s="50"/>
      <c r="K2899" s="50"/>
      <c r="L2899" s="50"/>
      <c r="M2899" s="50" t="s">
        <v>17617</v>
      </c>
      <c r="N2899" s="50"/>
      <c r="O2899" s="53" t="s">
        <v>70</v>
      </c>
      <c r="P2899" s="55" t="s">
        <v>17618</v>
      </c>
      <c r="Q2899" s="50">
        <v>4583.0</v>
      </c>
      <c r="R2899" s="50">
        <v>5001.0</v>
      </c>
      <c r="S2899" s="50" t="s">
        <v>17619</v>
      </c>
      <c r="T2899" s="56" t="s">
        <v>17620</v>
      </c>
      <c r="U2899" s="53" t="s">
        <v>370</v>
      </c>
    </row>
    <row r="2900">
      <c r="A2900" s="54" t="s">
        <v>17621</v>
      </c>
      <c r="B2900" s="50" t="s">
        <v>17622</v>
      </c>
      <c r="C2900" s="51" t="s">
        <v>16597</v>
      </c>
      <c r="D2900" s="51"/>
      <c r="E2900" s="51"/>
      <c r="F2900" s="51"/>
      <c r="G2900" s="50" t="s">
        <v>17623</v>
      </c>
      <c r="H2900" s="52">
        <v>44682.95689814815</v>
      </c>
      <c r="I2900" s="50"/>
      <c r="J2900" s="50"/>
      <c r="K2900" s="50"/>
      <c r="L2900" s="50"/>
      <c r="M2900" s="50" t="s">
        <v>17624</v>
      </c>
      <c r="N2900" s="50"/>
      <c r="O2900" s="53" t="s">
        <v>92</v>
      </c>
      <c r="P2900" s="55" t="s">
        <v>17625</v>
      </c>
      <c r="Q2900" s="50">
        <v>2445.0</v>
      </c>
      <c r="R2900" s="50">
        <v>3270.0</v>
      </c>
      <c r="S2900" s="50" t="s">
        <v>17626</v>
      </c>
      <c r="T2900" s="56" t="s">
        <v>17627</v>
      </c>
      <c r="U2900" s="53" t="s">
        <v>16602</v>
      </c>
    </row>
    <row r="2901">
      <c r="A2901" s="54" t="s">
        <v>17628</v>
      </c>
      <c r="B2901" s="50" t="s">
        <v>17629</v>
      </c>
      <c r="C2901" s="51" t="s">
        <v>316</v>
      </c>
      <c r="D2901" s="51"/>
      <c r="E2901" s="51"/>
      <c r="F2901" s="51"/>
      <c r="G2901" s="50" t="s">
        <v>17630</v>
      </c>
      <c r="H2901" s="52">
        <v>44682.95684027778</v>
      </c>
      <c r="I2901" s="50"/>
      <c r="J2901" s="50"/>
      <c r="K2901" s="50"/>
      <c r="L2901" s="50"/>
      <c r="M2901" s="50" t="s">
        <v>17631</v>
      </c>
      <c r="N2901" s="50"/>
      <c r="O2901" s="53" t="s">
        <v>70</v>
      </c>
      <c r="P2901" s="55" t="s">
        <v>17632</v>
      </c>
      <c r="Q2901" s="50">
        <v>1212.0</v>
      </c>
      <c r="R2901" s="50">
        <v>2068.0</v>
      </c>
      <c r="S2901" s="50" t="s">
        <v>17633</v>
      </c>
      <c r="T2901" s="56" t="s">
        <v>17634</v>
      </c>
      <c r="U2901" s="53" t="s">
        <v>322</v>
      </c>
    </row>
    <row r="2902">
      <c r="A2902" s="54" t="s">
        <v>17635</v>
      </c>
      <c r="B2902" s="50" t="s">
        <v>17636</v>
      </c>
      <c r="C2902" s="51" t="s">
        <v>17637</v>
      </c>
      <c r="D2902" s="51"/>
      <c r="E2902" s="51"/>
      <c r="F2902" s="51"/>
      <c r="G2902" s="50" t="s">
        <v>17638</v>
      </c>
      <c r="H2902" s="52">
        <v>44682.95674768518</v>
      </c>
      <c r="I2902" s="50"/>
      <c r="J2902" s="50"/>
      <c r="K2902" s="50"/>
      <c r="L2902" s="50"/>
      <c r="M2902" s="50" t="s">
        <v>17639</v>
      </c>
      <c r="N2902" s="50"/>
      <c r="O2902" s="53" t="s">
        <v>70</v>
      </c>
      <c r="P2902" s="55" t="s">
        <v>17640</v>
      </c>
      <c r="Q2902" s="50">
        <v>2406.0</v>
      </c>
      <c r="R2902" s="50">
        <v>2254.0</v>
      </c>
      <c r="S2902" s="50" t="s">
        <v>17641</v>
      </c>
      <c r="T2902" s="56" t="s">
        <v>17642</v>
      </c>
      <c r="U2902" s="53" t="s">
        <v>17643</v>
      </c>
    </row>
    <row r="2903">
      <c r="A2903" s="54" t="s">
        <v>17644</v>
      </c>
      <c r="B2903" s="50" t="s">
        <v>17629</v>
      </c>
      <c r="C2903" s="51" t="s">
        <v>329</v>
      </c>
      <c r="D2903" s="51"/>
      <c r="E2903" s="51"/>
      <c r="F2903" s="51"/>
      <c r="G2903" s="50" t="s">
        <v>17638</v>
      </c>
      <c r="H2903" s="52">
        <v>44682.95674768518</v>
      </c>
      <c r="I2903" s="50"/>
      <c r="J2903" s="50"/>
      <c r="K2903" s="50"/>
      <c r="L2903" s="50"/>
      <c r="M2903" s="50" t="s">
        <v>17631</v>
      </c>
      <c r="N2903" s="50"/>
      <c r="O2903" s="53" t="s">
        <v>70</v>
      </c>
      <c r="P2903" s="55" t="s">
        <v>17632</v>
      </c>
      <c r="Q2903" s="50">
        <v>1212.0</v>
      </c>
      <c r="R2903" s="50">
        <v>2068.0</v>
      </c>
      <c r="S2903" s="50" t="s">
        <v>17633</v>
      </c>
      <c r="T2903" s="56" t="s">
        <v>17645</v>
      </c>
      <c r="U2903" s="53" t="s">
        <v>332</v>
      </c>
    </row>
    <row r="2904">
      <c r="A2904" s="54" t="s">
        <v>17646</v>
      </c>
      <c r="B2904" s="50" t="s">
        <v>17629</v>
      </c>
      <c r="C2904" s="51" t="s">
        <v>335</v>
      </c>
      <c r="D2904" s="51"/>
      <c r="E2904" s="51"/>
      <c r="F2904" s="51"/>
      <c r="G2904" s="50" t="s">
        <v>17647</v>
      </c>
      <c r="H2904" s="52">
        <v>44682.956655092596</v>
      </c>
      <c r="I2904" s="50"/>
      <c r="J2904" s="50"/>
      <c r="K2904" s="50"/>
      <c r="L2904" s="50"/>
      <c r="M2904" s="50" t="s">
        <v>17631</v>
      </c>
      <c r="N2904" s="50"/>
      <c r="O2904" s="53" t="s">
        <v>70</v>
      </c>
      <c r="P2904" s="55" t="s">
        <v>17632</v>
      </c>
      <c r="Q2904" s="50">
        <v>1212.0</v>
      </c>
      <c r="R2904" s="50">
        <v>2068.0</v>
      </c>
      <c r="S2904" s="50" t="s">
        <v>17633</v>
      </c>
      <c r="T2904" s="56" t="s">
        <v>17648</v>
      </c>
      <c r="U2904" s="53" t="s">
        <v>339</v>
      </c>
    </row>
    <row r="2905">
      <c r="A2905" s="54" t="s">
        <v>17649</v>
      </c>
      <c r="B2905" s="50" t="s">
        <v>17629</v>
      </c>
      <c r="C2905" s="51" t="s">
        <v>363</v>
      </c>
      <c r="D2905" s="51"/>
      <c r="E2905" s="51"/>
      <c r="F2905" s="51"/>
      <c r="G2905" s="50" t="s">
        <v>17650</v>
      </c>
      <c r="H2905" s="52">
        <v>44682.9565162037</v>
      </c>
      <c r="I2905" s="50"/>
      <c r="J2905" s="50"/>
      <c r="K2905" s="50"/>
      <c r="L2905" s="50"/>
      <c r="M2905" s="50" t="s">
        <v>17631</v>
      </c>
      <c r="N2905" s="50"/>
      <c r="O2905" s="53" t="s">
        <v>70</v>
      </c>
      <c r="P2905" s="55" t="s">
        <v>17632</v>
      </c>
      <c r="Q2905" s="50">
        <v>1212.0</v>
      </c>
      <c r="R2905" s="50">
        <v>2068.0</v>
      </c>
      <c r="S2905" s="50" t="s">
        <v>17633</v>
      </c>
      <c r="T2905" s="56" t="s">
        <v>17651</v>
      </c>
      <c r="U2905" s="53" t="s">
        <v>332</v>
      </c>
    </row>
    <row r="2906">
      <c r="A2906" s="54" t="s">
        <v>17652</v>
      </c>
      <c r="B2906" s="50" t="s">
        <v>17653</v>
      </c>
      <c r="C2906" s="51" t="s">
        <v>16597</v>
      </c>
      <c r="D2906" s="51"/>
      <c r="E2906" s="51"/>
      <c r="F2906" s="51"/>
      <c r="G2906" s="50" t="s">
        <v>17654</v>
      </c>
      <c r="H2906" s="52">
        <v>44682.95648148148</v>
      </c>
      <c r="I2906" s="50"/>
      <c r="J2906" s="50"/>
      <c r="K2906" s="50"/>
      <c r="L2906" s="50"/>
      <c r="M2906" s="50" t="s">
        <v>17655</v>
      </c>
      <c r="N2906" s="50"/>
      <c r="O2906" s="53" t="s">
        <v>92</v>
      </c>
      <c r="P2906" s="55" t="s">
        <v>17656</v>
      </c>
      <c r="Q2906" s="50">
        <v>1833.0</v>
      </c>
      <c r="R2906" s="50">
        <v>4324.0</v>
      </c>
      <c r="S2906" s="50" t="s">
        <v>17657</v>
      </c>
      <c r="T2906" s="56" t="s">
        <v>17658</v>
      </c>
      <c r="U2906" s="53" t="s">
        <v>16602</v>
      </c>
    </row>
    <row r="2907">
      <c r="A2907" s="54" t="s">
        <v>17659</v>
      </c>
      <c r="B2907" s="50" t="s">
        <v>17660</v>
      </c>
      <c r="C2907" s="51" t="s">
        <v>367</v>
      </c>
      <c r="D2907" s="51"/>
      <c r="E2907" s="51"/>
      <c r="F2907" s="51"/>
      <c r="G2907" s="50" t="s">
        <v>17661</v>
      </c>
      <c r="H2907" s="52">
        <v>44682.95642361111</v>
      </c>
      <c r="I2907" s="50"/>
      <c r="J2907" s="50"/>
      <c r="K2907" s="50"/>
      <c r="L2907" s="50"/>
      <c r="M2907" s="50" t="s">
        <v>17662</v>
      </c>
      <c r="N2907" s="50"/>
      <c r="O2907" s="53" t="s">
        <v>92</v>
      </c>
      <c r="P2907" s="55" t="s">
        <v>17663</v>
      </c>
      <c r="Q2907" s="50">
        <v>294.0</v>
      </c>
      <c r="R2907" s="50">
        <v>178.0</v>
      </c>
      <c r="S2907" s="50"/>
      <c r="T2907" s="56" t="s">
        <v>17664</v>
      </c>
      <c r="U2907" s="53" t="s">
        <v>370</v>
      </c>
    </row>
    <row r="2908">
      <c r="A2908" s="54" t="s">
        <v>17665</v>
      </c>
      <c r="B2908" s="50" t="s">
        <v>17666</v>
      </c>
      <c r="C2908" s="51" t="s">
        <v>329</v>
      </c>
      <c r="D2908" s="51"/>
      <c r="E2908" s="51"/>
      <c r="F2908" s="51"/>
      <c r="G2908" s="50" t="s">
        <v>17667</v>
      </c>
      <c r="H2908" s="52">
        <v>44682.956412037034</v>
      </c>
      <c r="I2908" s="50"/>
      <c r="J2908" s="50"/>
      <c r="K2908" s="50"/>
      <c r="L2908" s="50"/>
      <c r="M2908" s="50" t="s">
        <v>17668</v>
      </c>
      <c r="N2908" s="50"/>
      <c r="O2908" s="53" t="s">
        <v>70</v>
      </c>
      <c r="P2908" s="55" t="s">
        <v>17669</v>
      </c>
      <c r="Q2908" s="50">
        <v>861.0</v>
      </c>
      <c r="R2908" s="50">
        <v>4979.0</v>
      </c>
      <c r="S2908" s="50" t="s">
        <v>17670</v>
      </c>
      <c r="T2908" s="56" t="s">
        <v>17671</v>
      </c>
      <c r="U2908" s="53" t="s">
        <v>332</v>
      </c>
    </row>
    <row r="2909">
      <c r="A2909" s="54" t="s">
        <v>17672</v>
      </c>
      <c r="B2909" s="50" t="s">
        <v>17629</v>
      </c>
      <c r="C2909" s="51" t="s">
        <v>367</v>
      </c>
      <c r="D2909" s="51"/>
      <c r="E2909" s="51"/>
      <c r="F2909" s="51"/>
      <c r="G2909" s="50" t="s">
        <v>17673</v>
      </c>
      <c r="H2909" s="52">
        <v>44682.95638888889</v>
      </c>
      <c r="I2909" s="50"/>
      <c r="J2909" s="50"/>
      <c r="K2909" s="50"/>
      <c r="L2909" s="50"/>
      <c r="M2909" s="50" t="s">
        <v>17631</v>
      </c>
      <c r="N2909" s="50"/>
      <c r="O2909" s="53" t="s">
        <v>70</v>
      </c>
      <c r="P2909" s="55" t="s">
        <v>17632</v>
      </c>
      <c r="Q2909" s="50">
        <v>1212.0</v>
      </c>
      <c r="R2909" s="50">
        <v>2068.0</v>
      </c>
      <c r="S2909" s="50" t="s">
        <v>17633</v>
      </c>
      <c r="T2909" s="56" t="s">
        <v>17674</v>
      </c>
      <c r="U2909" s="53" t="s">
        <v>370</v>
      </c>
    </row>
    <row r="2910">
      <c r="A2910" s="54" t="s">
        <v>17675</v>
      </c>
      <c r="B2910" s="50" t="s">
        <v>17676</v>
      </c>
      <c r="C2910" s="51" t="s">
        <v>316</v>
      </c>
      <c r="D2910" s="51"/>
      <c r="E2910" s="51"/>
      <c r="F2910" s="51"/>
      <c r="G2910" s="50" t="s">
        <v>17677</v>
      </c>
      <c r="H2910" s="52">
        <v>44682.95635416667</v>
      </c>
      <c r="I2910" s="50"/>
      <c r="J2910" s="50"/>
      <c r="K2910" s="50"/>
      <c r="L2910" s="50"/>
      <c r="M2910" s="50" t="s">
        <v>17678</v>
      </c>
      <c r="N2910" s="50"/>
      <c r="O2910" s="53" t="s">
        <v>92</v>
      </c>
      <c r="P2910" s="55" t="s">
        <v>17679</v>
      </c>
      <c r="Q2910" s="50">
        <v>7905.0</v>
      </c>
      <c r="R2910" s="50">
        <v>7847.0</v>
      </c>
      <c r="S2910" s="50" t="s">
        <v>17680</v>
      </c>
      <c r="T2910" s="56" t="s">
        <v>17681</v>
      </c>
      <c r="U2910" s="53" t="s">
        <v>322</v>
      </c>
    </row>
    <row r="2911">
      <c r="A2911" s="54" t="s">
        <v>17682</v>
      </c>
      <c r="B2911" s="50" t="s">
        <v>17676</v>
      </c>
      <c r="C2911" s="51" t="s">
        <v>329</v>
      </c>
      <c r="D2911" s="51"/>
      <c r="E2911" s="51"/>
      <c r="F2911" s="51"/>
      <c r="G2911" s="50" t="s">
        <v>17683</v>
      </c>
      <c r="H2911" s="52">
        <v>44682.956296296295</v>
      </c>
      <c r="I2911" s="50"/>
      <c r="J2911" s="50"/>
      <c r="K2911" s="50"/>
      <c r="L2911" s="50"/>
      <c r="M2911" s="50" t="s">
        <v>17678</v>
      </c>
      <c r="N2911" s="50"/>
      <c r="O2911" s="53" t="s">
        <v>92</v>
      </c>
      <c r="P2911" s="55" t="s">
        <v>17679</v>
      </c>
      <c r="Q2911" s="50">
        <v>7905.0</v>
      </c>
      <c r="R2911" s="50">
        <v>7847.0</v>
      </c>
      <c r="S2911" s="50" t="s">
        <v>17680</v>
      </c>
      <c r="T2911" s="56" t="s">
        <v>17684</v>
      </c>
      <c r="U2911" s="53" t="s">
        <v>332</v>
      </c>
    </row>
    <row r="2912">
      <c r="A2912" s="54" t="s">
        <v>17685</v>
      </c>
      <c r="B2912" s="50" t="s">
        <v>2694</v>
      </c>
      <c r="C2912" s="51" t="s">
        <v>17686</v>
      </c>
      <c r="D2912" s="51"/>
      <c r="E2912" s="51"/>
      <c r="F2912" s="51"/>
      <c r="G2912" s="50" t="s">
        <v>17683</v>
      </c>
      <c r="H2912" s="52">
        <v>44682.956296296295</v>
      </c>
      <c r="I2912" s="50"/>
      <c r="J2912" s="50"/>
      <c r="K2912" s="50"/>
      <c r="L2912" s="50"/>
      <c r="M2912" s="50" t="s">
        <v>2697</v>
      </c>
      <c r="N2912" s="50"/>
      <c r="O2912" s="53" t="s">
        <v>2698</v>
      </c>
      <c r="P2912" s="55" t="s">
        <v>2699</v>
      </c>
      <c r="Q2912" s="50">
        <v>2177.0</v>
      </c>
      <c r="R2912" s="50">
        <v>508.0</v>
      </c>
      <c r="S2912" s="50" t="s">
        <v>2700</v>
      </c>
      <c r="T2912" s="56" t="s">
        <v>17687</v>
      </c>
      <c r="U2912" s="53" t="s">
        <v>13863</v>
      </c>
    </row>
    <row r="2913">
      <c r="A2913" s="54" t="s">
        <v>17688</v>
      </c>
      <c r="B2913" s="50" t="s">
        <v>17689</v>
      </c>
      <c r="C2913" s="51" t="s">
        <v>367</v>
      </c>
      <c r="D2913" s="51"/>
      <c r="E2913" s="51"/>
      <c r="F2913" s="51"/>
      <c r="G2913" s="50" t="s">
        <v>17690</v>
      </c>
      <c r="H2913" s="52">
        <v>44682.95616898148</v>
      </c>
      <c r="I2913" s="50"/>
      <c r="J2913" s="50"/>
      <c r="K2913" s="50"/>
      <c r="L2913" s="50"/>
      <c r="M2913" s="50" t="s">
        <v>17691</v>
      </c>
      <c r="N2913" s="50"/>
      <c r="O2913" s="53" t="s">
        <v>783</v>
      </c>
      <c r="P2913" s="55" t="s">
        <v>17692</v>
      </c>
      <c r="Q2913" s="50">
        <v>1347.0</v>
      </c>
      <c r="R2913" s="50">
        <v>1271.0</v>
      </c>
      <c r="S2913" s="50" t="s">
        <v>1473</v>
      </c>
      <c r="T2913" s="56" t="s">
        <v>17693</v>
      </c>
      <c r="U2913" s="53" t="s">
        <v>370</v>
      </c>
    </row>
    <row r="2914">
      <c r="A2914" s="54" t="s">
        <v>17694</v>
      </c>
      <c r="B2914" s="50" t="s">
        <v>17695</v>
      </c>
      <c r="C2914" s="51" t="s">
        <v>1972</v>
      </c>
      <c r="D2914" s="51"/>
      <c r="E2914" s="51"/>
      <c r="F2914" s="51"/>
      <c r="G2914" s="50" t="s">
        <v>17696</v>
      </c>
      <c r="H2914" s="52">
        <v>44682.95605324074</v>
      </c>
      <c r="I2914" s="50"/>
      <c r="J2914" s="50"/>
      <c r="K2914" s="50"/>
      <c r="L2914" s="50"/>
      <c r="M2914" s="50" t="s">
        <v>17697</v>
      </c>
      <c r="N2914" s="50"/>
      <c r="O2914" s="53" t="s">
        <v>60</v>
      </c>
      <c r="P2914" s="55" t="s">
        <v>17698</v>
      </c>
      <c r="Q2914" s="50">
        <v>8352.0</v>
      </c>
      <c r="R2914" s="50">
        <v>3915.0</v>
      </c>
      <c r="S2914" s="50"/>
      <c r="T2914" s="56" t="s">
        <v>17699</v>
      </c>
      <c r="U2914" s="53" t="s">
        <v>1977</v>
      </c>
    </row>
    <row r="2915">
      <c r="A2915" s="54" t="s">
        <v>17700</v>
      </c>
      <c r="B2915" s="50" t="s">
        <v>17676</v>
      </c>
      <c r="C2915" s="51" t="s">
        <v>335</v>
      </c>
      <c r="D2915" s="51"/>
      <c r="E2915" s="51"/>
      <c r="F2915" s="51"/>
      <c r="G2915" s="50" t="s">
        <v>17701</v>
      </c>
      <c r="H2915" s="52">
        <v>44682.95601851852</v>
      </c>
      <c r="I2915" s="50"/>
      <c r="J2915" s="50"/>
      <c r="K2915" s="50"/>
      <c r="L2915" s="50"/>
      <c r="M2915" s="50" t="s">
        <v>17678</v>
      </c>
      <c r="N2915" s="50"/>
      <c r="O2915" s="53" t="s">
        <v>92</v>
      </c>
      <c r="P2915" s="55" t="s">
        <v>17679</v>
      </c>
      <c r="Q2915" s="50">
        <v>7905.0</v>
      </c>
      <c r="R2915" s="50">
        <v>7847.0</v>
      </c>
      <c r="S2915" s="50" t="s">
        <v>17680</v>
      </c>
      <c r="T2915" s="56" t="s">
        <v>17702</v>
      </c>
      <c r="U2915" s="53" t="s">
        <v>339</v>
      </c>
    </row>
    <row r="2916">
      <c r="A2916" s="54" t="s">
        <v>17703</v>
      </c>
      <c r="B2916" s="50" t="s">
        <v>17704</v>
      </c>
      <c r="C2916" s="51" t="s">
        <v>367</v>
      </c>
      <c r="D2916" s="51"/>
      <c r="E2916" s="51"/>
      <c r="F2916" s="51"/>
      <c r="G2916" s="50" t="s">
        <v>17705</v>
      </c>
      <c r="H2916" s="52">
        <v>44682.95600694444</v>
      </c>
      <c r="I2916" s="50"/>
      <c r="J2916" s="50"/>
      <c r="K2916" s="50"/>
      <c r="L2916" s="50"/>
      <c r="M2916" s="50" t="s">
        <v>17706</v>
      </c>
      <c r="N2916" s="50"/>
      <c r="O2916" s="53" t="s">
        <v>60</v>
      </c>
      <c r="P2916" s="55" t="s">
        <v>17707</v>
      </c>
      <c r="Q2916" s="50">
        <v>1576.0</v>
      </c>
      <c r="R2916" s="50">
        <v>831.0</v>
      </c>
      <c r="S2916" s="50" t="s">
        <v>246</v>
      </c>
      <c r="T2916" s="56" t="s">
        <v>17708</v>
      </c>
      <c r="U2916" s="53" t="s">
        <v>370</v>
      </c>
    </row>
    <row r="2917">
      <c r="A2917" s="54" t="s">
        <v>17709</v>
      </c>
      <c r="B2917" s="50" t="s">
        <v>17710</v>
      </c>
      <c r="C2917" s="51" t="s">
        <v>367</v>
      </c>
      <c r="D2917" s="51"/>
      <c r="E2917" s="51"/>
      <c r="F2917" s="51"/>
      <c r="G2917" s="50" t="s">
        <v>17705</v>
      </c>
      <c r="H2917" s="52">
        <v>44682.95600694444</v>
      </c>
      <c r="I2917" s="50"/>
      <c r="J2917" s="50"/>
      <c r="K2917" s="50"/>
      <c r="L2917" s="50"/>
      <c r="M2917" s="50" t="s">
        <v>17711</v>
      </c>
      <c r="N2917" s="50"/>
      <c r="O2917" s="53" t="s">
        <v>92</v>
      </c>
      <c r="P2917" s="55" t="s">
        <v>354</v>
      </c>
      <c r="Q2917" s="50">
        <v>32.0</v>
      </c>
      <c r="R2917" s="50">
        <v>412.0</v>
      </c>
      <c r="S2917" s="50"/>
      <c r="T2917" s="56" t="s">
        <v>17712</v>
      </c>
      <c r="U2917" s="53" t="s">
        <v>370</v>
      </c>
    </row>
    <row r="2918">
      <c r="A2918" s="54" t="s">
        <v>17713</v>
      </c>
      <c r="B2918" s="50" t="s">
        <v>14058</v>
      </c>
      <c r="C2918" s="51" t="s">
        <v>17714</v>
      </c>
      <c r="D2918" s="51"/>
      <c r="E2918" s="51"/>
      <c r="F2918" s="51"/>
      <c r="G2918" s="50" t="s">
        <v>17715</v>
      </c>
      <c r="H2918" s="52">
        <v>44682.955937499995</v>
      </c>
      <c r="I2918" s="50"/>
      <c r="J2918" s="50"/>
      <c r="K2918" s="50"/>
      <c r="L2918" s="50"/>
      <c r="M2918" s="50" t="s">
        <v>14061</v>
      </c>
      <c r="N2918" s="50"/>
      <c r="O2918" s="53" t="s">
        <v>60</v>
      </c>
      <c r="P2918" s="55" t="s">
        <v>354</v>
      </c>
      <c r="Q2918" s="50">
        <v>199.0</v>
      </c>
      <c r="R2918" s="50">
        <v>155.0</v>
      </c>
      <c r="S2918" s="50"/>
      <c r="T2918" s="56" t="s">
        <v>17716</v>
      </c>
      <c r="U2918" s="53" t="s">
        <v>17717</v>
      </c>
    </row>
    <row r="2919">
      <c r="A2919" s="54" t="s">
        <v>17718</v>
      </c>
      <c r="B2919" s="50" t="s">
        <v>17719</v>
      </c>
      <c r="C2919" s="51" t="s">
        <v>363</v>
      </c>
      <c r="D2919" s="51"/>
      <c r="E2919" s="51"/>
      <c r="F2919" s="51"/>
      <c r="G2919" s="50" t="s">
        <v>17720</v>
      </c>
      <c r="H2919" s="52">
        <v>44682.955914351856</v>
      </c>
      <c r="I2919" s="50"/>
      <c r="J2919" s="50"/>
      <c r="K2919" s="50"/>
      <c r="L2919" s="50"/>
      <c r="M2919" s="50" t="s">
        <v>17721</v>
      </c>
      <c r="N2919" s="50"/>
      <c r="O2919" s="53" t="s">
        <v>70</v>
      </c>
      <c r="P2919" s="55" t="s">
        <v>17722</v>
      </c>
      <c r="Q2919" s="50">
        <v>2933.0</v>
      </c>
      <c r="R2919" s="50">
        <v>3401.0</v>
      </c>
      <c r="S2919" s="50" t="s">
        <v>1311</v>
      </c>
      <c r="T2919" s="56" t="s">
        <v>17723</v>
      </c>
      <c r="U2919" s="53" t="s">
        <v>332</v>
      </c>
    </row>
    <row r="2920">
      <c r="A2920" s="54" t="s">
        <v>17724</v>
      </c>
      <c r="B2920" s="50" t="s">
        <v>17676</v>
      </c>
      <c r="C2920" s="51" t="s">
        <v>363</v>
      </c>
      <c r="D2920" s="51"/>
      <c r="E2920" s="51"/>
      <c r="F2920" s="51"/>
      <c r="G2920" s="50" t="s">
        <v>17725</v>
      </c>
      <c r="H2920" s="52">
        <v>44682.95576388889</v>
      </c>
      <c r="I2920" s="50"/>
      <c r="J2920" s="50"/>
      <c r="K2920" s="50"/>
      <c r="L2920" s="50"/>
      <c r="M2920" s="50" t="s">
        <v>17678</v>
      </c>
      <c r="N2920" s="50"/>
      <c r="O2920" s="53" t="s">
        <v>92</v>
      </c>
      <c r="P2920" s="55" t="s">
        <v>17679</v>
      </c>
      <c r="Q2920" s="50">
        <v>7905.0</v>
      </c>
      <c r="R2920" s="50">
        <v>7847.0</v>
      </c>
      <c r="S2920" s="50" t="s">
        <v>17680</v>
      </c>
      <c r="T2920" s="56" t="s">
        <v>17726</v>
      </c>
      <c r="U2920" s="53" t="s">
        <v>332</v>
      </c>
    </row>
    <row r="2921">
      <c r="A2921" s="54" t="s">
        <v>17727</v>
      </c>
      <c r="B2921" s="50" t="s">
        <v>17728</v>
      </c>
      <c r="C2921" s="51" t="s">
        <v>367</v>
      </c>
      <c r="D2921" s="51"/>
      <c r="E2921" s="51"/>
      <c r="F2921" s="51"/>
      <c r="G2921" s="50" t="s">
        <v>17729</v>
      </c>
      <c r="H2921" s="52">
        <v>44682.95575231481</v>
      </c>
      <c r="I2921" s="50"/>
      <c r="J2921" s="50"/>
      <c r="K2921" s="50"/>
      <c r="L2921" s="50"/>
      <c r="M2921" s="50" t="s">
        <v>17730</v>
      </c>
      <c r="N2921" s="50"/>
      <c r="O2921" s="53" t="s">
        <v>92</v>
      </c>
      <c r="P2921" s="55" t="s">
        <v>17731</v>
      </c>
      <c r="Q2921" s="50">
        <v>69.0</v>
      </c>
      <c r="R2921" s="50">
        <v>122.0</v>
      </c>
      <c r="S2921" s="50" t="s">
        <v>219</v>
      </c>
      <c r="T2921" s="56" t="s">
        <v>17732</v>
      </c>
      <c r="U2921" s="53" t="s">
        <v>370</v>
      </c>
    </row>
    <row r="2922">
      <c r="A2922" s="54" t="s">
        <v>17733</v>
      </c>
      <c r="B2922" s="50" t="s">
        <v>17676</v>
      </c>
      <c r="C2922" s="51" t="s">
        <v>367</v>
      </c>
      <c r="D2922" s="51"/>
      <c r="E2922" s="51"/>
      <c r="F2922" s="51"/>
      <c r="G2922" s="50" t="s">
        <v>17734</v>
      </c>
      <c r="H2922" s="52">
        <v>44682.95563657407</v>
      </c>
      <c r="I2922" s="50"/>
      <c r="J2922" s="50"/>
      <c r="K2922" s="50"/>
      <c r="L2922" s="50"/>
      <c r="M2922" s="50" t="s">
        <v>17678</v>
      </c>
      <c r="N2922" s="50"/>
      <c r="O2922" s="53" t="s">
        <v>92</v>
      </c>
      <c r="P2922" s="55" t="s">
        <v>17679</v>
      </c>
      <c r="Q2922" s="50">
        <v>7905.0</v>
      </c>
      <c r="R2922" s="50">
        <v>7847.0</v>
      </c>
      <c r="S2922" s="50" t="s">
        <v>17680</v>
      </c>
      <c r="T2922" s="56" t="s">
        <v>17735</v>
      </c>
      <c r="U2922" s="53" t="s">
        <v>370</v>
      </c>
    </row>
    <row r="2923">
      <c r="A2923" s="54" t="s">
        <v>17736</v>
      </c>
      <c r="B2923" s="50" t="s">
        <v>17737</v>
      </c>
      <c r="C2923" s="51" t="s">
        <v>16597</v>
      </c>
      <c r="D2923" s="51"/>
      <c r="E2923" s="51"/>
      <c r="F2923" s="51"/>
      <c r="G2923" s="50" t="s">
        <v>17738</v>
      </c>
      <c r="H2923" s="52">
        <v>44682.955613425926</v>
      </c>
      <c r="I2923" s="50"/>
      <c r="J2923" s="50"/>
      <c r="K2923" s="50"/>
      <c r="L2923" s="50"/>
      <c r="M2923" s="50" t="s">
        <v>17739</v>
      </c>
      <c r="N2923" s="50"/>
      <c r="O2923" s="53" t="s">
        <v>60</v>
      </c>
      <c r="P2923" s="55" t="s">
        <v>17740</v>
      </c>
      <c r="Q2923" s="50">
        <v>5076.0</v>
      </c>
      <c r="R2923" s="50">
        <v>5403.0</v>
      </c>
      <c r="S2923" s="50" t="s">
        <v>17741</v>
      </c>
      <c r="T2923" s="56" t="s">
        <v>17742</v>
      </c>
      <c r="U2923" s="53" t="s">
        <v>16602</v>
      </c>
    </row>
    <row r="2924">
      <c r="A2924" s="54" t="s">
        <v>17743</v>
      </c>
      <c r="B2924" s="50" t="s">
        <v>11682</v>
      </c>
      <c r="C2924" s="51" t="s">
        <v>342</v>
      </c>
      <c r="D2924" s="51"/>
      <c r="E2924" s="51"/>
      <c r="F2924" s="51"/>
      <c r="G2924" s="50" t="s">
        <v>17744</v>
      </c>
      <c r="H2924" s="52">
        <v>44682.95559027778</v>
      </c>
      <c r="I2924" s="50"/>
      <c r="J2924" s="50"/>
      <c r="K2924" s="50"/>
      <c r="L2924" s="50"/>
      <c r="M2924" s="50" t="s">
        <v>11684</v>
      </c>
      <c r="N2924" s="50"/>
      <c r="O2924" s="53" t="s">
        <v>92</v>
      </c>
      <c r="P2924" s="55" t="s">
        <v>11685</v>
      </c>
      <c r="Q2924" s="50">
        <v>2246.0</v>
      </c>
      <c r="R2924" s="50">
        <v>2836.0</v>
      </c>
      <c r="S2924" s="50" t="s">
        <v>11686</v>
      </c>
      <c r="T2924" s="56" t="s">
        <v>17745</v>
      </c>
      <c r="U2924" s="53" t="s">
        <v>348</v>
      </c>
    </row>
    <row r="2925">
      <c r="A2925" s="54" t="s">
        <v>17746</v>
      </c>
      <c r="B2925" s="50" t="s">
        <v>17747</v>
      </c>
      <c r="C2925" s="51" t="s">
        <v>17748</v>
      </c>
      <c r="D2925" s="51"/>
      <c r="E2925" s="51"/>
      <c r="F2925" s="51"/>
      <c r="G2925" s="50" t="s">
        <v>17749</v>
      </c>
      <c r="H2925" s="52">
        <v>44682.955555555556</v>
      </c>
      <c r="I2925" s="50"/>
      <c r="J2925" s="50"/>
      <c r="K2925" s="50"/>
      <c r="L2925" s="50"/>
      <c r="M2925" s="50" t="s">
        <v>17750</v>
      </c>
      <c r="N2925" s="50"/>
      <c r="O2925" s="53" t="s">
        <v>60</v>
      </c>
      <c r="P2925" s="55" t="s">
        <v>17751</v>
      </c>
      <c r="Q2925" s="50">
        <v>2010.0</v>
      </c>
      <c r="R2925" s="50">
        <v>1812.0</v>
      </c>
      <c r="S2925" s="50" t="s">
        <v>17752</v>
      </c>
      <c r="T2925" s="56" t="s">
        <v>17753</v>
      </c>
      <c r="U2925" s="53" t="s">
        <v>17754</v>
      </c>
    </row>
    <row r="2926">
      <c r="A2926" s="54" t="s">
        <v>17755</v>
      </c>
      <c r="B2926" s="50" t="s">
        <v>17747</v>
      </c>
      <c r="C2926" s="51" t="s">
        <v>17756</v>
      </c>
      <c r="D2926" s="51"/>
      <c r="E2926" s="51"/>
      <c r="F2926" s="51"/>
      <c r="G2926" s="50" t="s">
        <v>17757</v>
      </c>
      <c r="H2926" s="52">
        <v>44682.95547453704</v>
      </c>
      <c r="I2926" s="50"/>
      <c r="J2926" s="50"/>
      <c r="K2926" s="50" t="s">
        <v>17758</v>
      </c>
      <c r="L2926" s="50" t="s">
        <v>17759</v>
      </c>
      <c r="M2926" s="50" t="s">
        <v>17750</v>
      </c>
      <c r="N2926" s="50" t="s">
        <v>17760</v>
      </c>
      <c r="O2926" s="53" t="s">
        <v>60</v>
      </c>
      <c r="P2926" s="55" t="s">
        <v>17751</v>
      </c>
      <c r="Q2926" s="50">
        <v>2010.0</v>
      </c>
      <c r="R2926" s="50">
        <v>1812.0</v>
      </c>
      <c r="S2926" s="50" t="s">
        <v>17752</v>
      </c>
      <c r="T2926" s="56" t="s">
        <v>17761</v>
      </c>
      <c r="U2926" s="53" t="s">
        <v>17762</v>
      </c>
    </row>
    <row r="2927">
      <c r="A2927" s="54" t="s">
        <v>17763</v>
      </c>
      <c r="B2927" s="50" t="s">
        <v>17764</v>
      </c>
      <c r="C2927" s="51" t="s">
        <v>316</v>
      </c>
      <c r="D2927" s="51"/>
      <c r="E2927" s="51"/>
      <c r="F2927" s="51"/>
      <c r="G2927" s="50" t="s">
        <v>17765</v>
      </c>
      <c r="H2927" s="52">
        <v>44682.95545138889</v>
      </c>
      <c r="I2927" s="50"/>
      <c r="J2927" s="50"/>
      <c r="K2927" s="50"/>
      <c r="L2927" s="50"/>
      <c r="M2927" s="50" t="s">
        <v>17766</v>
      </c>
      <c r="N2927" s="50"/>
      <c r="O2927" s="53" t="s">
        <v>60</v>
      </c>
      <c r="P2927" s="55" t="s">
        <v>354</v>
      </c>
      <c r="Q2927" s="50">
        <v>762.0</v>
      </c>
      <c r="R2927" s="50">
        <v>1424.0</v>
      </c>
      <c r="S2927" s="50"/>
      <c r="T2927" s="56" t="s">
        <v>17767</v>
      </c>
      <c r="U2927" s="53" t="s">
        <v>322</v>
      </c>
    </row>
    <row r="2928">
      <c r="A2928" s="54" t="s">
        <v>17768</v>
      </c>
      <c r="B2928" s="50" t="s">
        <v>17769</v>
      </c>
      <c r="C2928" s="51" t="s">
        <v>367</v>
      </c>
      <c r="D2928" s="51"/>
      <c r="E2928" s="51"/>
      <c r="F2928" s="51"/>
      <c r="G2928" s="50" t="s">
        <v>17770</v>
      </c>
      <c r="H2928" s="52">
        <v>44682.955416666664</v>
      </c>
      <c r="I2928" s="50"/>
      <c r="J2928" s="50"/>
      <c r="K2928" s="50"/>
      <c r="L2928" s="50"/>
      <c r="M2928" s="50" t="s">
        <v>17771</v>
      </c>
      <c r="N2928" s="50"/>
      <c r="O2928" s="53" t="s">
        <v>92</v>
      </c>
      <c r="P2928" s="55" t="s">
        <v>17772</v>
      </c>
      <c r="Q2928" s="50">
        <v>199.0</v>
      </c>
      <c r="R2928" s="50">
        <v>460.0</v>
      </c>
      <c r="S2928" s="50" t="s">
        <v>17773</v>
      </c>
      <c r="T2928" s="56" t="s">
        <v>17774</v>
      </c>
      <c r="U2928" s="53" t="s">
        <v>370</v>
      </c>
    </row>
    <row r="2929">
      <c r="A2929" s="54" t="s">
        <v>17775</v>
      </c>
      <c r="B2929" s="50" t="s">
        <v>17776</v>
      </c>
      <c r="C2929" s="51" t="s">
        <v>316</v>
      </c>
      <c r="D2929" s="51"/>
      <c r="E2929" s="51"/>
      <c r="F2929" s="51"/>
      <c r="G2929" s="50" t="s">
        <v>17777</v>
      </c>
      <c r="H2929" s="52">
        <v>44682.955405092594</v>
      </c>
      <c r="I2929" s="50"/>
      <c r="J2929" s="50"/>
      <c r="K2929" s="50"/>
      <c r="L2929" s="50"/>
      <c r="M2929" s="50" t="s">
        <v>17778</v>
      </c>
      <c r="N2929" s="50"/>
      <c r="O2929" s="53" t="s">
        <v>60</v>
      </c>
      <c r="P2929" s="55" t="s">
        <v>17779</v>
      </c>
      <c r="Q2929" s="50">
        <v>2251.0</v>
      </c>
      <c r="R2929" s="50">
        <v>3403.0</v>
      </c>
      <c r="S2929" s="50"/>
      <c r="T2929" s="56" t="s">
        <v>17780</v>
      </c>
      <c r="U2929" s="53" t="s">
        <v>322</v>
      </c>
    </row>
    <row r="2930">
      <c r="A2930" s="54" t="s">
        <v>17781</v>
      </c>
      <c r="B2930" s="50" t="s">
        <v>17782</v>
      </c>
      <c r="C2930" s="51" t="s">
        <v>16597</v>
      </c>
      <c r="D2930" s="51"/>
      <c r="E2930" s="51"/>
      <c r="F2930" s="51"/>
      <c r="G2930" s="50" t="s">
        <v>17783</v>
      </c>
      <c r="H2930" s="52">
        <v>44682.955300925925</v>
      </c>
      <c r="I2930" s="50"/>
      <c r="J2930" s="50"/>
      <c r="K2930" s="50"/>
      <c r="L2930" s="50"/>
      <c r="M2930" s="50" t="s">
        <v>17784</v>
      </c>
      <c r="N2930" s="50"/>
      <c r="O2930" s="53" t="s">
        <v>92</v>
      </c>
      <c r="P2930" s="55" t="s">
        <v>17785</v>
      </c>
      <c r="Q2930" s="50">
        <v>10915.0</v>
      </c>
      <c r="R2930" s="50">
        <v>10205.0</v>
      </c>
      <c r="S2930" s="50" t="s">
        <v>7220</v>
      </c>
      <c r="T2930" s="56" t="s">
        <v>17786</v>
      </c>
      <c r="U2930" s="53" t="s">
        <v>16602</v>
      </c>
    </row>
    <row r="2931">
      <c r="A2931" s="54" t="s">
        <v>17787</v>
      </c>
      <c r="B2931" s="50" t="s">
        <v>17782</v>
      </c>
      <c r="C2931" s="51" t="s">
        <v>342</v>
      </c>
      <c r="D2931" s="51"/>
      <c r="E2931" s="51"/>
      <c r="F2931" s="51"/>
      <c r="G2931" s="50" t="s">
        <v>17788</v>
      </c>
      <c r="H2931" s="52">
        <v>44682.95521990741</v>
      </c>
      <c r="I2931" s="50"/>
      <c r="J2931" s="50"/>
      <c r="K2931" s="50"/>
      <c r="L2931" s="50"/>
      <c r="M2931" s="50" t="s">
        <v>17784</v>
      </c>
      <c r="N2931" s="50"/>
      <c r="O2931" s="53" t="s">
        <v>92</v>
      </c>
      <c r="P2931" s="55" t="s">
        <v>17785</v>
      </c>
      <c r="Q2931" s="50">
        <v>10915.0</v>
      </c>
      <c r="R2931" s="50">
        <v>10205.0</v>
      </c>
      <c r="S2931" s="50" t="s">
        <v>7220</v>
      </c>
      <c r="T2931" s="56" t="s">
        <v>17789</v>
      </c>
      <c r="U2931" s="53" t="s">
        <v>348</v>
      </c>
    </row>
    <row r="2932">
      <c r="A2932" s="54" t="s">
        <v>17790</v>
      </c>
      <c r="B2932" s="50" t="s">
        <v>17791</v>
      </c>
      <c r="C2932" s="51" t="s">
        <v>367</v>
      </c>
      <c r="D2932" s="51"/>
      <c r="E2932" s="51"/>
      <c r="F2932" s="51"/>
      <c r="G2932" s="50" t="s">
        <v>17792</v>
      </c>
      <c r="H2932" s="52">
        <v>44682.95517361111</v>
      </c>
      <c r="I2932" s="50"/>
      <c r="J2932" s="50"/>
      <c r="K2932" s="50"/>
      <c r="L2932" s="50"/>
      <c r="M2932" s="50" t="s">
        <v>17793</v>
      </c>
      <c r="N2932" s="50"/>
      <c r="O2932" s="53" t="s">
        <v>70</v>
      </c>
      <c r="P2932" s="55" t="s">
        <v>17794</v>
      </c>
      <c r="Q2932" s="50">
        <v>11806.0</v>
      </c>
      <c r="R2932" s="50">
        <v>10649.0</v>
      </c>
      <c r="S2932" s="50" t="s">
        <v>17795</v>
      </c>
      <c r="T2932" s="56" t="s">
        <v>17796</v>
      </c>
      <c r="U2932" s="53" t="s">
        <v>370</v>
      </c>
    </row>
    <row r="2933">
      <c r="A2933" s="54" t="s">
        <v>17797</v>
      </c>
      <c r="B2933" s="50" t="s">
        <v>17798</v>
      </c>
      <c r="C2933" s="51" t="s">
        <v>17799</v>
      </c>
      <c r="D2933" s="51"/>
      <c r="E2933" s="51"/>
      <c r="F2933" s="51"/>
      <c r="G2933" s="50" t="s">
        <v>17800</v>
      </c>
      <c r="H2933" s="52">
        <v>44682.95516203703</v>
      </c>
      <c r="I2933" s="50"/>
      <c r="J2933" s="50"/>
      <c r="K2933" s="50"/>
      <c r="L2933" s="50"/>
      <c r="M2933" s="50" t="s">
        <v>17801</v>
      </c>
      <c r="N2933" s="50"/>
      <c r="O2933" s="53" t="s">
        <v>92</v>
      </c>
      <c r="P2933" s="55" t="s">
        <v>17802</v>
      </c>
      <c r="Q2933" s="50">
        <v>5429.0</v>
      </c>
      <c r="R2933" s="50">
        <v>5921.0</v>
      </c>
      <c r="S2933" s="50" t="s">
        <v>805</v>
      </c>
      <c r="T2933" s="56" t="s">
        <v>17803</v>
      </c>
      <c r="U2933" s="53" t="s">
        <v>17804</v>
      </c>
    </row>
    <row r="2934">
      <c r="A2934" s="54" t="s">
        <v>17805</v>
      </c>
      <c r="B2934" s="50" t="s">
        <v>17806</v>
      </c>
      <c r="C2934" s="51" t="s">
        <v>855</v>
      </c>
      <c r="D2934" s="51"/>
      <c r="E2934" s="51"/>
      <c r="F2934" s="51"/>
      <c r="G2934" s="50" t="s">
        <v>17807</v>
      </c>
      <c r="H2934" s="52">
        <v>44682.95506944445</v>
      </c>
      <c r="I2934" s="50"/>
      <c r="J2934" s="50"/>
      <c r="K2934" s="50"/>
      <c r="L2934" s="50"/>
      <c r="M2934" s="50" t="s">
        <v>17808</v>
      </c>
      <c r="N2934" s="50"/>
      <c r="O2934" s="53" t="s">
        <v>92</v>
      </c>
      <c r="P2934" s="55" t="s">
        <v>17809</v>
      </c>
      <c r="Q2934" s="50">
        <v>284.0</v>
      </c>
      <c r="R2934" s="50">
        <v>45.0</v>
      </c>
      <c r="S2934" s="50" t="s">
        <v>5503</v>
      </c>
      <c r="T2934" s="56" t="s">
        <v>17810</v>
      </c>
      <c r="U2934" s="53" t="s">
        <v>861</v>
      </c>
    </row>
    <row r="2935">
      <c r="A2935" s="54" t="s">
        <v>17811</v>
      </c>
      <c r="B2935" s="50" t="s">
        <v>17514</v>
      </c>
      <c r="C2935" s="51" t="s">
        <v>17812</v>
      </c>
      <c r="D2935" s="51"/>
      <c r="E2935" s="51"/>
      <c r="F2935" s="51"/>
      <c r="G2935" s="50" t="s">
        <v>17813</v>
      </c>
      <c r="H2935" s="52">
        <v>44682.954942129625</v>
      </c>
      <c r="I2935" s="50"/>
      <c r="J2935" s="50"/>
      <c r="K2935" s="50" t="s">
        <v>17814</v>
      </c>
      <c r="L2935" s="50" t="s">
        <v>17815</v>
      </c>
      <c r="M2935" s="50" t="s">
        <v>17519</v>
      </c>
      <c r="N2935" s="50" t="s">
        <v>17816</v>
      </c>
      <c r="O2935" s="53" t="s">
        <v>60</v>
      </c>
      <c r="P2935" s="55" t="s">
        <v>17521</v>
      </c>
      <c r="Q2935" s="50">
        <v>1289.0</v>
      </c>
      <c r="R2935" s="50">
        <v>1504.0</v>
      </c>
      <c r="S2935" s="50" t="s">
        <v>17522</v>
      </c>
      <c r="T2935" s="56" t="s">
        <v>17817</v>
      </c>
      <c r="U2935" s="53" t="s">
        <v>17818</v>
      </c>
    </row>
    <row r="2936">
      <c r="A2936" s="54" t="s">
        <v>17819</v>
      </c>
      <c r="B2936" s="50" t="s">
        <v>2694</v>
      </c>
      <c r="C2936" s="51" t="s">
        <v>17820</v>
      </c>
      <c r="D2936" s="51"/>
      <c r="E2936" s="51"/>
      <c r="F2936" s="51"/>
      <c r="G2936" s="50" t="s">
        <v>17821</v>
      </c>
      <c r="H2936" s="52">
        <v>44682.95489583333</v>
      </c>
      <c r="I2936" s="50"/>
      <c r="J2936" s="50"/>
      <c r="K2936" s="50"/>
      <c r="L2936" s="50"/>
      <c r="M2936" s="50" t="s">
        <v>2697</v>
      </c>
      <c r="N2936" s="50"/>
      <c r="O2936" s="53" t="s">
        <v>2698</v>
      </c>
      <c r="P2936" s="55" t="s">
        <v>2699</v>
      </c>
      <c r="Q2936" s="50">
        <v>2177.0</v>
      </c>
      <c r="R2936" s="50">
        <v>508.0</v>
      </c>
      <c r="S2936" s="50" t="s">
        <v>2700</v>
      </c>
      <c r="T2936" s="56" t="s">
        <v>17822</v>
      </c>
      <c r="U2936" s="53" t="s">
        <v>17823</v>
      </c>
    </row>
    <row r="2937">
      <c r="A2937" s="54" t="s">
        <v>17824</v>
      </c>
      <c r="B2937" s="50" t="s">
        <v>17825</v>
      </c>
      <c r="C2937" s="51" t="s">
        <v>367</v>
      </c>
      <c r="D2937" s="51"/>
      <c r="E2937" s="51"/>
      <c r="F2937" s="51"/>
      <c r="G2937" s="50" t="s">
        <v>17826</v>
      </c>
      <c r="H2937" s="52">
        <v>44682.95481481482</v>
      </c>
      <c r="I2937" s="50"/>
      <c r="J2937" s="50"/>
      <c r="K2937" s="50"/>
      <c r="L2937" s="50"/>
      <c r="M2937" s="50" t="s">
        <v>17827</v>
      </c>
      <c r="N2937" s="50"/>
      <c r="O2937" s="53" t="s">
        <v>92</v>
      </c>
      <c r="P2937" s="55" t="s">
        <v>17828</v>
      </c>
      <c r="Q2937" s="50">
        <v>6779.0</v>
      </c>
      <c r="R2937" s="50">
        <v>7347.0</v>
      </c>
      <c r="S2937" s="50" t="s">
        <v>129</v>
      </c>
      <c r="T2937" s="56" t="s">
        <v>17829</v>
      </c>
      <c r="U2937" s="53" t="s">
        <v>370</v>
      </c>
    </row>
    <row r="2938">
      <c r="A2938" s="54" t="s">
        <v>17830</v>
      </c>
      <c r="B2938" s="50" t="s">
        <v>17831</v>
      </c>
      <c r="C2938" s="51" t="s">
        <v>2920</v>
      </c>
      <c r="D2938" s="51"/>
      <c r="E2938" s="51"/>
      <c r="F2938" s="51"/>
      <c r="G2938" s="50" t="s">
        <v>17832</v>
      </c>
      <c r="H2938" s="52">
        <v>44682.95476851852</v>
      </c>
      <c r="I2938" s="50"/>
      <c r="J2938" s="50"/>
      <c r="K2938" s="50"/>
      <c r="L2938" s="50"/>
      <c r="M2938" s="50" t="s">
        <v>17833</v>
      </c>
      <c r="N2938" s="50"/>
      <c r="O2938" s="53" t="s">
        <v>70</v>
      </c>
      <c r="P2938" s="55" t="s">
        <v>17834</v>
      </c>
      <c r="Q2938" s="50">
        <v>1519.0</v>
      </c>
      <c r="R2938" s="50">
        <v>1301.0</v>
      </c>
      <c r="S2938" s="50" t="s">
        <v>17835</v>
      </c>
      <c r="T2938" s="56" t="s">
        <v>17836</v>
      </c>
      <c r="U2938" s="53" t="s">
        <v>2925</v>
      </c>
    </row>
    <row r="2939">
      <c r="A2939" s="54" t="s">
        <v>17837</v>
      </c>
      <c r="B2939" s="50" t="s">
        <v>17838</v>
      </c>
      <c r="C2939" s="51" t="s">
        <v>367</v>
      </c>
      <c r="D2939" s="51"/>
      <c r="E2939" s="51"/>
      <c r="F2939" s="51"/>
      <c r="G2939" s="50" t="s">
        <v>17832</v>
      </c>
      <c r="H2939" s="52">
        <v>44682.95476851852</v>
      </c>
      <c r="I2939" s="50"/>
      <c r="J2939" s="50"/>
      <c r="K2939" s="50"/>
      <c r="L2939" s="50"/>
      <c r="M2939" s="50" t="s">
        <v>17839</v>
      </c>
      <c r="N2939" s="50"/>
      <c r="O2939" s="53" t="s">
        <v>92</v>
      </c>
      <c r="P2939" s="55" t="s">
        <v>17840</v>
      </c>
      <c r="Q2939" s="50">
        <v>56.0</v>
      </c>
      <c r="R2939" s="50">
        <v>117.0</v>
      </c>
      <c r="S2939" s="50"/>
      <c r="T2939" s="56" t="s">
        <v>17841</v>
      </c>
      <c r="U2939" s="53" t="s">
        <v>370</v>
      </c>
    </row>
    <row r="2940">
      <c r="A2940" s="54" t="s">
        <v>17842</v>
      </c>
      <c r="B2940" s="50" t="s">
        <v>17843</v>
      </c>
      <c r="C2940" s="51" t="s">
        <v>316</v>
      </c>
      <c r="D2940" s="51"/>
      <c r="E2940" s="51"/>
      <c r="F2940" s="51"/>
      <c r="G2940" s="50" t="s">
        <v>17844</v>
      </c>
      <c r="H2940" s="52">
        <v>44682.95462962963</v>
      </c>
      <c r="I2940" s="50"/>
      <c r="J2940" s="50"/>
      <c r="K2940" s="50"/>
      <c r="L2940" s="50"/>
      <c r="M2940" s="50" t="s">
        <v>17845</v>
      </c>
      <c r="N2940" s="50"/>
      <c r="O2940" s="53" t="s">
        <v>60</v>
      </c>
      <c r="P2940" s="55" t="s">
        <v>17846</v>
      </c>
      <c r="Q2940" s="50">
        <v>256.0</v>
      </c>
      <c r="R2940" s="50">
        <v>723.0</v>
      </c>
      <c r="S2940" s="50" t="s">
        <v>17847</v>
      </c>
      <c r="T2940" s="56" t="s">
        <v>17848</v>
      </c>
      <c r="U2940" s="53" t="s">
        <v>322</v>
      </c>
    </row>
    <row r="2941">
      <c r="A2941" s="54" t="s">
        <v>17849</v>
      </c>
      <c r="B2941" s="50" t="s">
        <v>17850</v>
      </c>
      <c r="C2941" s="51" t="s">
        <v>316</v>
      </c>
      <c r="D2941" s="51"/>
      <c r="E2941" s="51"/>
      <c r="F2941" s="51"/>
      <c r="G2941" s="50" t="s">
        <v>17851</v>
      </c>
      <c r="H2941" s="52">
        <v>44682.95454861112</v>
      </c>
      <c r="I2941" s="50"/>
      <c r="J2941" s="50"/>
      <c r="K2941" s="50"/>
      <c r="L2941" s="50"/>
      <c r="M2941" s="50" t="s">
        <v>17852</v>
      </c>
      <c r="N2941" s="50"/>
      <c r="O2941" s="53" t="s">
        <v>70</v>
      </c>
      <c r="P2941" s="55" t="s">
        <v>17853</v>
      </c>
      <c r="Q2941" s="50">
        <v>492.0</v>
      </c>
      <c r="R2941" s="50">
        <v>2269.0</v>
      </c>
      <c r="S2941" s="50"/>
      <c r="T2941" s="56" t="s">
        <v>17854</v>
      </c>
      <c r="U2941" s="53" t="s">
        <v>322</v>
      </c>
    </row>
    <row r="2942">
      <c r="A2942" s="54" t="s">
        <v>17855</v>
      </c>
      <c r="B2942" s="50" t="s">
        <v>17782</v>
      </c>
      <c r="C2942" s="51" t="s">
        <v>316</v>
      </c>
      <c r="D2942" s="51"/>
      <c r="E2942" s="51"/>
      <c r="F2942" s="51"/>
      <c r="G2942" s="50" t="s">
        <v>17851</v>
      </c>
      <c r="H2942" s="52">
        <v>44682.95454861112</v>
      </c>
      <c r="I2942" s="50"/>
      <c r="J2942" s="50"/>
      <c r="K2942" s="50"/>
      <c r="L2942" s="50"/>
      <c r="M2942" s="50" t="s">
        <v>17784</v>
      </c>
      <c r="N2942" s="50"/>
      <c r="O2942" s="53" t="s">
        <v>92</v>
      </c>
      <c r="P2942" s="55" t="s">
        <v>17785</v>
      </c>
      <c r="Q2942" s="50">
        <v>10915.0</v>
      </c>
      <c r="R2942" s="50">
        <v>10205.0</v>
      </c>
      <c r="S2942" s="50" t="s">
        <v>7220</v>
      </c>
      <c r="T2942" s="56" t="s">
        <v>17856</v>
      </c>
      <c r="U2942" s="53" t="s">
        <v>322</v>
      </c>
    </row>
    <row r="2943">
      <c r="A2943" s="54" t="s">
        <v>17857</v>
      </c>
      <c r="B2943" s="50" t="s">
        <v>17858</v>
      </c>
      <c r="C2943" s="51" t="s">
        <v>329</v>
      </c>
      <c r="D2943" s="51"/>
      <c r="E2943" s="51"/>
      <c r="F2943" s="51"/>
      <c r="G2943" s="50" t="s">
        <v>17859</v>
      </c>
      <c r="H2943" s="52">
        <v>44682.95452546296</v>
      </c>
      <c r="I2943" s="50"/>
      <c r="J2943" s="50"/>
      <c r="K2943" s="50"/>
      <c r="L2943" s="50"/>
      <c r="M2943" s="50" t="s">
        <v>17860</v>
      </c>
      <c r="N2943" s="50"/>
      <c r="O2943" s="53" t="s">
        <v>60</v>
      </c>
      <c r="P2943" s="55" t="s">
        <v>17861</v>
      </c>
      <c r="Q2943" s="50">
        <v>14762.0</v>
      </c>
      <c r="R2943" s="50">
        <v>11655.0</v>
      </c>
      <c r="S2943" s="50" t="s">
        <v>17862</v>
      </c>
      <c r="T2943" s="56" t="s">
        <v>17863</v>
      </c>
      <c r="U2943" s="53" t="s">
        <v>332</v>
      </c>
    </row>
    <row r="2944">
      <c r="A2944" s="54" t="s">
        <v>17864</v>
      </c>
      <c r="B2944" s="50" t="s">
        <v>17865</v>
      </c>
      <c r="C2944" s="51" t="s">
        <v>329</v>
      </c>
      <c r="D2944" s="51"/>
      <c r="E2944" s="51"/>
      <c r="F2944" s="51"/>
      <c r="G2944" s="50" t="s">
        <v>17859</v>
      </c>
      <c r="H2944" s="52">
        <v>44682.95452546296</v>
      </c>
      <c r="I2944" s="50"/>
      <c r="J2944" s="50"/>
      <c r="K2944" s="50"/>
      <c r="L2944" s="50"/>
      <c r="M2944" s="50" t="s">
        <v>17866</v>
      </c>
      <c r="N2944" s="50"/>
      <c r="O2944" s="53" t="s">
        <v>60</v>
      </c>
      <c r="P2944" s="55" t="s">
        <v>354</v>
      </c>
      <c r="Q2944" s="50">
        <v>1071.0</v>
      </c>
      <c r="R2944" s="50">
        <v>864.0</v>
      </c>
      <c r="S2944" s="50"/>
      <c r="T2944" s="56" t="s">
        <v>17867</v>
      </c>
      <c r="U2944" s="53" t="s">
        <v>332</v>
      </c>
    </row>
    <row r="2945">
      <c r="A2945" s="54" t="s">
        <v>17868</v>
      </c>
      <c r="B2945" s="50" t="s">
        <v>17782</v>
      </c>
      <c r="C2945" s="51" t="s">
        <v>329</v>
      </c>
      <c r="D2945" s="51"/>
      <c r="E2945" s="51"/>
      <c r="F2945" s="51"/>
      <c r="G2945" s="50" t="s">
        <v>17869</v>
      </c>
      <c r="H2945" s="52">
        <v>44682.95447916667</v>
      </c>
      <c r="I2945" s="50"/>
      <c r="J2945" s="50"/>
      <c r="K2945" s="50"/>
      <c r="L2945" s="50"/>
      <c r="M2945" s="50" t="s">
        <v>17784</v>
      </c>
      <c r="N2945" s="50"/>
      <c r="O2945" s="53" t="s">
        <v>92</v>
      </c>
      <c r="P2945" s="55" t="s">
        <v>17785</v>
      </c>
      <c r="Q2945" s="50">
        <v>10915.0</v>
      </c>
      <c r="R2945" s="50">
        <v>10205.0</v>
      </c>
      <c r="S2945" s="50" t="s">
        <v>7220</v>
      </c>
      <c r="T2945" s="56" t="s">
        <v>17870</v>
      </c>
      <c r="U2945" s="53" t="s">
        <v>332</v>
      </c>
    </row>
    <row r="2946">
      <c r="A2946" s="54" t="s">
        <v>17871</v>
      </c>
      <c r="B2946" s="50" t="s">
        <v>17782</v>
      </c>
      <c r="C2946" s="51" t="s">
        <v>335</v>
      </c>
      <c r="D2946" s="51"/>
      <c r="E2946" s="51"/>
      <c r="F2946" s="51"/>
      <c r="G2946" s="50" t="s">
        <v>17872</v>
      </c>
      <c r="H2946" s="52">
        <v>44682.954421296294</v>
      </c>
      <c r="I2946" s="50"/>
      <c r="J2946" s="50"/>
      <c r="K2946" s="50"/>
      <c r="L2946" s="50"/>
      <c r="M2946" s="50" t="s">
        <v>17784</v>
      </c>
      <c r="N2946" s="50"/>
      <c r="O2946" s="53" t="s">
        <v>92</v>
      </c>
      <c r="P2946" s="55" t="s">
        <v>17785</v>
      </c>
      <c r="Q2946" s="50">
        <v>10915.0</v>
      </c>
      <c r="R2946" s="50">
        <v>10205.0</v>
      </c>
      <c r="S2946" s="50" t="s">
        <v>7220</v>
      </c>
      <c r="T2946" s="56" t="s">
        <v>17873</v>
      </c>
      <c r="U2946" s="53" t="s">
        <v>339</v>
      </c>
    </row>
    <row r="2947">
      <c r="A2947" s="54" t="s">
        <v>17874</v>
      </c>
      <c r="B2947" s="50" t="s">
        <v>17875</v>
      </c>
      <c r="C2947" s="51" t="s">
        <v>367</v>
      </c>
      <c r="D2947" s="51"/>
      <c r="E2947" s="51"/>
      <c r="F2947" s="51"/>
      <c r="G2947" s="50" t="s">
        <v>17876</v>
      </c>
      <c r="H2947" s="52">
        <v>44682.954363425924</v>
      </c>
      <c r="I2947" s="50"/>
      <c r="J2947" s="50"/>
      <c r="K2947" s="50"/>
      <c r="L2947" s="50"/>
      <c r="M2947" s="50" t="s">
        <v>17877</v>
      </c>
      <c r="N2947" s="50"/>
      <c r="O2947" s="53" t="s">
        <v>92</v>
      </c>
      <c r="P2947" s="55" t="s">
        <v>17878</v>
      </c>
      <c r="Q2947" s="50">
        <v>1297.0</v>
      </c>
      <c r="R2947" s="50">
        <v>3084.0</v>
      </c>
      <c r="S2947" s="50" t="s">
        <v>17879</v>
      </c>
      <c r="T2947" s="56" t="s">
        <v>17880</v>
      </c>
      <c r="U2947" s="53" t="s">
        <v>370</v>
      </c>
    </row>
    <row r="2948">
      <c r="A2948" s="54" t="s">
        <v>17881</v>
      </c>
      <c r="B2948" s="50" t="s">
        <v>17850</v>
      </c>
      <c r="C2948" s="51" t="s">
        <v>363</v>
      </c>
      <c r="D2948" s="51"/>
      <c r="E2948" s="51"/>
      <c r="F2948" s="51"/>
      <c r="G2948" s="50" t="s">
        <v>17882</v>
      </c>
      <c r="H2948" s="52">
        <v>44682.954317129625</v>
      </c>
      <c r="I2948" s="50"/>
      <c r="J2948" s="50"/>
      <c r="K2948" s="50"/>
      <c r="L2948" s="50"/>
      <c r="M2948" s="50" t="s">
        <v>17852</v>
      </c>
      <c r="N2948" s="50"/>
      <c r="O2948" s="53" t="s">
        <v>70</v>
      </c>
      <c r="P2948" s="55" t="s">
        <v>17853</v>
      </c>
      <c r="Q2948" s="50">
        <v>492.0</v>
      </c>
      <c r="R2948" s="50">
        <v>2269.0</v>
      </c>
      <c r="S2948" s="50"/>
      <c r="T2948" s="56" t="s">
        <v>17883</v>
      </c>
      <c r="U2948" s="53" t="s">
        <v>332</v>
      </c>
    </row>
    <row r="2949">
      <c r="A2949" s="54" t="s">
        <v>17884</v>
      </c>
      <c r="B2949" s="50" t="s">
        <v>17885</v>
      </c>
      <c r="C2949" s="51" t="s">
        <v>367</v>
      </c>
      <c r="D2949" s="51"/>
      <c r="E2949" s="51"/>
      <c r="F2949" s="51"/>
      <c r="G2949" s="50" t="s">
        <v>17882</v>
      </c>
      <c r="H2949" s="52">
        <v>44682.954317129625</v>
      </c>
      <c r="I2949" s="50"/>
      <c r="J2949" s="50"/>
      <c r="K2949" s="50"/>
      <c r="L2949" s="50"/>
      <c r="M2949" s="50" t="s">
        <v>17886</v>
      </c>
      <c r="N2949" s="50"/>
      <c r="O2949" s="53" t="s">
        <v>60</v>
      </c>
      <c r="P2949" s="55" t="s">
        <v>17887</v>
      </c>
      <c r="Q2949" s="50">
        <v>243.0</v>
      </c>
      <c r="R2949" s="50">
        <v>339.0</v>
      </c>
      <c r="S2949" s="50"/>
      <c r="T2949" s="56" t="s">
        <v>17888</v>
      </c>
      <c r="U2949" s="53" t="s">
        <v>370</v>
      </c>
    </row>
    <row r="2950">
      <c r="A2950" s="54" t="s">
        <v>17889</v>
      </c>
      <c r="B2950" s="50" t="s">
        <v>17782</v>
      </c>
      <c r="C2950" s="51" t="s">
        <v>363</v>
      </c>
      <c r="D2950" s="51"/>
      <c r="E2950" s="51"/>
      <c r="F2950" s="51"/>
      <c r="G2950" s="50" t="s">
        <v>17890</v>
      </c>
      <c r="H2950" s="52">
        <v>44682.954305555555</v>
      </c>
      <c r="I2950" s="50"/>
      <c r="J2950" s="50"/>
      <c r="K2950" s="50"/>
      <c r="L2950" s="50"/>
      <c r="M2950" s="50" t="s">
        <v>17784</v>
      </c>
      <c r="N2950" s="50"/>
      <c r="O2950" s="53" t="s">
        <v>92</v>
      </c>
      <c r="P2950" s="55" t="s">
        <v>17785</v>
      </c>
      <c r="Q2950" s="50">
        <v>10915.0</v>
      </c>
      <c r="R2950" s="50">
        <v>10205.0</v>
      </c>
      <c r="S2950" s="50" t="s">
        <v>7220</v>
      </c>
      <c r="T2950" s="56" t="s">
        <v>17891</v>
      </c>
      <c r="U2950" s="53" t="s">
        <v>332</v>
      </c>
    </row>
    <row r="2951">
      <c r="A2951" s="54" t="s">
        <v>17892</v>
      </c>
      <c r="B2951" s="50" t="s">
        <v>17893</v>
      </c>
      <c r="C2951" s="51" t="s">
        <v>367</v>
      </c>
      <c r="D2951" s="51"/>
      <c r="E2951" s="51"/>
      <c r="F2951" s="51"/>
      <c r="G2951" s="50" t="s">
        <v>17894</v>
      </c>
      <c r="H2951" s="52">
        <v>44682.95423611111</v>
      </c>
      <c r="I2951" s="50"/>
      <c r="J2951" s="50"/>
      <c r="K2951" s="50"/>
      <c r="L2951" s="50"/>
      <c r="M2951" s="50" t="s">
        <v>17895</v>
      </c>
      <c r="N2951" s="50"/>
      <c r="O2951" s="53" t="s">
        <v>60</v>
      </c>
      <c r="P2951" s="55" t="s">
        <v>17896</v>
      </c>
      <c r="Q2951" s="50">
        <v>17586.0</v>
      </c>
      <c r="R2951" s="50">
        <v>17065.0</v>
      </c>
      <c r="S2951" s="50" t="s">
        <v>5076</v>
      </c>
      <c r="T2951" s="56" t="s">
        <v>17897</v>
      </c>
      <c r="U2951" s="53" t="s">
        <v>370</v>
      </c>
    </row>
    <row r="2952">
      <c r="A2952" s="54" t="s">
        <v>17898</v>
      </c>
      <c r="B2952" s="50" t="s">
        <v>14058</v>
      </c>
      <c r="C2952" s="51" t="s">
        <v>17899</v>
      </c>
      <c r="D2952" s="51"/>
      <c r="E2952" s="51"/>
      <c r="F2952" s="51"/>
      <c r="G2952" s="50" t="s">
        <v>17900</v>
      </c>
      <c r="H2952" s="52">
        <v>44682.954201388886</v>
      </c>
      <c r="I2952" s="50"/>
      <c r="J2952" s="50"/>
      <c r="K2952" s="50"/>
      <c r="L2952" s="50"/>
      <c r="M2952" s="50" t="s">
        <v>14061</v>
      </c>
      <c r="N2952" s="50"/>
      <c r="O2952" s="53" t="s">
        <v>60</v>
      </c>
      <c r="P2952" s="55" t="s">
        <v>354</v>
      </c>
      <c r="Q2952" s="50">
        <v>199.0</v>
      </c>
      <c r="R2952" s="50">
        <v>155.0</v>
      </c>
      <c r="S2952" s="50"/>
      <c r="T2952" s="56" t="s">
        <v>17901</v>
      </c>
      <c r="U2952" s="53" t="s">
        <v>17902</v>
      </c>
    </row>
    <row r="2953">
      <c r="A2953" s="54" t="s">
        <v>17903</v>
      </c>
      <c r="B2953" s="50" t="s">
        <v>17904</v>
      </c>
      <c r="C2953" s="51" t="s">
        <v>316</v>
      </c>
      <c r="D2953" s="51"/>
      <c r="E2953" s="51"/>
      <c r="F2953" s="51"/>
      <c r="G2953" s="50" t="s">
        <v>17905</v>
      </c>
      <c r="H2953" s="52">
        <v>44682.95416666666</v>
      </c>
      <c r="I2953" s="50"/>
      <c r="J2953" s="50"/>
      <c r="K2953" s="50"/>
      <c r="L2953" s="50"/>
      <c r="M2953" s="50" t="s">
        <v>17906</v>
      </c>
      <c r="N2953" s="50"/>
      <c r="O2953" s="53" t="s">
        <v>60</v>
      </c>
      <c r="P2953" s="55" t="s">
        <v>17907</v>
      </c>
      <c r="Q2953" s="50">
        <v>10633.0</v>
      </c>
      <c r="R2953" s="50">
        <v>8436.0</v>
      </c>
      <c r="S2953" s="50"/>
      <c r="T2953" s="56" t="s">
        <v>17908</v>
      </c>
      <c r="U2953" s="53" t="s">
        <v>322</v>
      </c>
    </row>
    <row r="2954">
      <c r="A2954" s="54" t="s">
        <v>17909</v>
      </c>
      <c r="B2954" s="50" t="s">
        <v>17850</v>
      </c>
      <c r="C2954" s="51" t="s">
        <v>367</v>
      </c>
      <c r="D2954" s="51"/>
      <c r="E2954" s="51"/>
      <c r="F2954" s="51"/>
      <c r="G2954" s="50" t="s">
        <v>17910</v>
      </c>
      <c r="H2954" s="52">
        <v>44682.95407407408</v>
      </c>
      <c r="I2954" s="50"/>
      <c r="J2954" s="50"/>
      <c r="K2954" s="50"/>
      <c r="L2954" s="50"/>
      <c r="M2954" s="50" t="s">
        <v>17852</v>
      </c>
      <c r="N2954" s="50"/>
      <c r="O2954" s="53" t="s">
        <v>70</v>
      </c>
      <c r="P2954" s="55" t="s">
        <v>17853</v>
      </c>
      <c r="Q2954" s="50">
        <v>492.0</v>
      </c>
      <c r="R2954" s="50">
        <v>2269.0</v>
      </c>
      <c r="S2954" s="50"/>
      <c r="T2954" s="56" t="s">
        <v>17911</v>
      </c>
      <c r="U2954" s="53" t="s">
        <v>370</v>
      </c>
    </row>
    <row r="2955">
      <c r="A2955" s="54" t="s">
        <v>17912</v>
      </c>
      <c r="B2955" s="50" t="s">
        <v>17913</v>
      </c>
      <c r="C2955" s="51" t="s">
        <v>367</v>
      </c>
      <c r="D2955" s="51"/>
      <c r="E2955" s="51"/>
      <c r="F2955" s="51"/>
      <c r="G2955" s="50" t="s">
        <v>17914</v>
      </c>
      <c r="H2955" s="52">
        <v>44682.9540625</v>
      </c>
      <c r="I2955" s="50"/>
      <c r="J2955" s="50"/>
      <c r="K2955" s="50"/>
      <c r="L2955" s="50"/>
      <c r="M2955" s="50" t="s">
        <v>17915</v>
      </c>
      <c r="N2955" s="50"/>
      <c r="O2955" s="53" t="s">
        <v>92</v>
      </c>
      <c r="P2955" s="55" t="s">
        <v>17916</v>
      </c>
      <c r="Q2955" s="50">
        <v>133.0</v>
      </c>
      <c r="R2955" s="50">
        <v>335.0</v>
      </c>
      <c r="S2955" s="50" t="s">
        <v>887</v>
      </c>
      <c r="T2955" s="56" t="s">
        <v>17917</v>
      </c>
      <c r="U2955" s="53" t="s">
        <v>370</v>
      </c>
    </row>
    <row r="2956">
      <c r="A2956" s="54" t="s">
        <v>17918</v>
      </c>
      <c r="B2956" s="50" t="s">
        <v>17904</v>
      </c>
      <c r="C2956" s="51" t="s">
        <v>367</v>
      </c>
      <c r="D2956" s="51"/>
      <c r="E2956" s="51"/>
      <c r="F2956" s="51"/>
      <c r="G2956" s="50" t="s">
        <v>17919</v>
      </c>
      <c r="H2956" s="52">
        <v>44682.954039351855</v>
      </c>
      <c r="I2956" s="50"/>
      <c r="J2956" s="50"/>
      <c r="K2956" s="50"/>
      <c r="L2956" s="50"/>
      <c r="M2956" s="50" t="s">
        <v>17906</v>
      </c>
      <c r="N2956" s="50"/>
      <c r="O2956" s="53" t="s">
        <v>60</v>
      </c>
      <c r="P2956" s="55" t="s">
        <v>17907</v>
      </c>
      <c r="Q2956" s="50">
        <v>10633.0</v>
      </c>
      <c r="R2956" s="50">
        <v>8436.0</v>
      </c>
      <c r="S2956" s="50"/>
      <c r="T2956" s="56" t="s">
        <v>17920</v>
      </c>
      <c r="U2956" s="53" t="s">
        <v>370</v>
      </c>
    </row>
    <row r="2957">
      <c r="A2957" s="54" t="s">
        <v>17921</v>
      </c>
      <c r="B2957" s="50" t="s">
        <v>17782</v>
      </c>
      <c r="C2957" s="51" t="s">
        <v>367</v>
      </c>
      <c r="D2957" s="51"/>
      <c r="E2957" s="51"/>
      <c r="F2957" s="51"/>
      <c r="G2957" s="50" t="s">
        <v>17922</v>
      </c>
      <c r="H2957" s="52">
        <v>44682.95388888889</v>
      </c>
      <c r="I2957" s="50"/>
      <c r="J2957" s="50"/>
      <c r="K2957" s="50"/>
      <c r="L2957" s="50"/>
      <c r="M2957" s="50" t="s">
        <v>17784</v>
      </c>
      <c r="N2957" s="50"/>
      <c r="O2957" s="53" t="s">
        <v>92</v>
      </c>
      <c r="P2957" s="55" t="s">
        <v>17785</v>
      </c>
      <c r="Q2957" s="50">
        <v>10915.0</v>
      </c>
      <c r="R2957" s="50">
        <v>10205.0</v>
      </c>
      <c r="S2957" s="50" t="s">
        <v>7220</v>
      </c>
      <c r="T2957" s="56" t="s">
        <v>17923</v>
      </c>
      <c r="U2957" s="53" t="s">
        <v>370</v>
      </c>
    </row>
    <row r="2958">
      <c r="A2958" s="54" t="s">
        <v>17924</v>
      </c>
      <c r="B2958" s="50" t="s">
        <v>17925</v>
      </c>
      <c r="C2958" s="51" t="s">
        <v>17926</v>
      </c>
      <c r="D2958" s="51"/>
      <c r="E2958" s="51"/>
      <c r="F2958" s="51"/>
      <c r="G2958" s="50" t="s">
        <v>17927</v>
      </c>
      <c r="H2958" s="52">
        <v>44682.95381944445</v>
      </c>
      <c r="I2958" s="50"/>
      <c r="J2958" s="50"/>
      <c r="K2958" s="50"/>
      <c r="L2958" s="50"/>
      <c r="M2958" s="50" t="s">
        <v>17928</v>
      </c>
      <c r="N2958" s="50"/>
      <c r="O2958" s="53" t="s">
        <v>60</v>
      </c>
      <c r="P2958" s="55" t="s">
        <v>17929</v>
      </c>
      <c r="Q2958" s="50">
        <v>189.0</v>
      </c>
      <c r="R2958" s="50">
        <v>177.0</v>
      </c>
      <c r="S2958" s="50"/>
      <c r="T2958" s="56" t="s">
        <v>17930</v>
      </c>
      <c r="U2958" s="53" t="s">
        <v>17931</v>
      </c>
    </row>
    <row r="2959">
      <c r="A2959" s="54" t="s">
        <v>17932</v>
      </c>
      <c r="B2959" s="50" t="s">
        <v>17933</v>
      </c>
      <c r="C2959" s="51" t="s">
        <v>329</v>
      </c>
      <c r="D2959" s="51"/>
      <c r="E2959" s="51"/>
      <c r="F2959" s="51"/>
      <c r="G2959" s="50" t="s">
        <v>17934</v>
      </c>
      <c r="H2959" s="52">
        <v>44682.953784722224</v>
      </c>
      <c r="I2959" s="50"/>
      <c r="J2959" s="50"/>
      <c r="K2959" s="50"/>
      <c r="L2959" s="50"/>
      <c r="M2959" s="50" t="s">
        <v>17935</v>
      </c>
      <c r="N2959" s="50"/>
      <c r="O2959" s="53" t="s">
        <v>70</v>
      </c>
      <c r="P2959" s="55" t="s">
        <v>17936</v>
      </c>
      <c r="Q2959" s="50">
        <v>109.0</v>
      </c>
      <c r="R2959" s="50">
        <v>354.0</v>
      </c>
      <c r="S2959" s="50" t="s">
        <v>17937</v>
      </c>
      <c r="T2959" s="56" t="s">
        <v>17938</v>
      </c>
      <c r="U2959" s="53" t="s">
        <v>332</v>
      </c>
    </row>
    <row r="2960">
      <c r="A2960" s="54" t="s">
        <v>17939</v>
      </c>
      <c r="B2960" s="50" t="s">
        <v>17940</v>
      </c>
      <c r="C2960" s="51" t="s">
        <v>367</v>
      </c>
      <c r="D2960" s="51"/>
      <c r="E2960" s="51"/>
      <c r="F2960" s="51"/>
      <c r="G2960" s="50" t="s">
        <v>17941</v>
      </c>
      <c r="H2960" s="52">
        <v>44682.95369212963</v>
      </c>
      <c r="I2960" s="50"/>
      <c r="J2960" s="50"/>
      <c r="K2960" s="50"/>
      <c r="L2960" s="50"/>
      <c r="M2960" s="50" t="s">
        <v>17942</v>
      </c>
      <c r="N2960" s="50"/>
      <c r="O2960" s="53" t="s">
        <v>92</v>
      </c>
      <c r="P2960" s="55" t="s">
        <v>17943</v>
      </c>
      <c r="Q2960" s="50">
        <v>57.0</v>
      </c>
      <c r="R2960" s="50">
        <v>189.0</v>
      </c>
      <c r="S2960" s="50"/>
      <c r="T2960" s="56" t="s">
        <v>17944</v>
      </c>
      <c r="U2960" s="53" t="s">
        <v>370</v>
      </c>
    </row>
    <row r="2961">
      <c r="A2961" s="54" t="s">
        <v>17945</v>
      </c>
      <c r="B2961" s="50" t="s">
        <v>17946</v>
      </c>
      <c r="C2961" s="51" t="s">
        <v>367</v>
      </c>
      <c r="D2961" s="51"/>
      <c r="E2961" s="51"/>
      <c r="F2961" s="51"/>
      <c r="G2961" s="50" t="s">
        <v>17947</v>
      </c>
      <c r="H2961" s="52">
        <v>44682.953564814816</v>
      </c>
      <c r="I2961" s="50"/>
      <c r="J2961" s="50"/>
      <c r="K2961" s="50"/>
      <c r="L2961" s="50"/>
      <c r="M2961" s="50" t="s">
        <v>17948</v>
      </c>
      <c r="N2961" s="50"/>
      <c r="O2961" s="53" t="s">
        <v>70</v>
      </c>
      <c r="P2961" s="55" t="s">
        <v>17949</v>
      </c>
      <c r="Q2961" s="50">
        <v>149.0</v>
      </c>
      <c r="R2961" s="50">
        <v>596.0</v>
      </c>
      <c r="S2961" s="50" t="s">
        <v>2776</v>
      </c>
      <c r="T2961" s="56" t="s">
        <v>17950</v>
      </c>
      <c r="U2961" s="53" t="s">
        <v>370</v>
      </c>
    </row>
    <row r="2962">
      <c r="A2962" s="54" t="s">
        <v>17951</v>
      </c>
      <c r="B2962" s="50" t="s">
        <v>17952</v>
      </c>
      <c r="C2962" s="51" t="s">
        <v>316</v>
      </c>
      <c r="D2962" s="51"/>
      <c r="E2962" s="51"/>
      <c r="F2962" s="51"/>
      <c r="G2962" s="50" t="s">
        <v>17953</v>
      </c>
      <c r="H2962" s="52">
        <v>44682.953298611115</v>
      </c>
      <c r="I2962" s="50"/>
      <c r="J2962" s="50"/>
      <c r="K2962" s="50"/>
      <c r="L2962" s="50"/>
      <c r="M2962" s="50" t="s">
        <v>17954</v>
      </c>
      <c r="N2962" s="50"/>
      <c r="O2962" s="53" t="s">
        <v>70</v>
      </c>
      <c r="P2962" s="55" t="s">
        <v>17955</v>
      </c>
      <c r="Q2962" s="50">
        <v>314.0</v>
      </c>
      <c r="R2962" s="50">
        <v>392.0</v>
      </c>
      <c r="S2962" s="50" t="s">
        <v>17956</v>
      </c>
      <c r="T2962" s="56" t="s">
        <v>17957</v>
      </c>
      <c r="U2962" s="53" t="s">
        <v>322</v>
      </c>
    </row>
    <row r="2963">
      <c r="A2963" s="54" t="s">
        <v>17958</v>
      </c>
      <c r="B2963" s="50" t="s">
        <v>5945</v>
      </c>
      <c r="C2963" s="51" t="s">
        <v>329</v>
      </c>
      <c r="D2963" s="51"/>
      <c r="E2963" s="51"/>
      <c r="F2963" s="51"/>
      <c r="G2963" s="50" t="s">
        <v>17959</v>
      </c>
      <c r="H2963" s="52">
        <v>44682.952997685185</v>
      </c>
      <c r="I2963" s="50"/>
      <c r="J2963" s="50"/>
      <c r="K2963" s="50"/>
      <c r="L2963" s="50"/>
      <c r="M2963" s="50" t="s">
        <v>5947</v>
      </c>
      <c r="N2963" s="50"/>
      <c r="O2963" s="53" t="s">
        <v>92</v>
      </c>
      <c r="P2963" s="55" t="s">
        <v>5948</v>
      </c>
      <c r="Q2963" s="50">
        <v>98.0</v>
      </c>
      <c r="R2963" s="50">
        <v>677.0</v>
      </c>
      <c r="S2963" s="50" t="s">
        <v>5949</v>
      </c>
      <c r="T2963" s="56" t="s">
        <v>17960</v>
      </c>
      <c r="U2963" s="53" t="s">
        <v>332</v>
      </c>
    </row>
    <row r="2964">
      <c r="A2964" s="54" t="s">
        <v>17961</v>
      </c>
      <c r="B2964" s="50" t="s">
        <v>17962</v>
      </c>
      <c r="C2964" s="51" t="s">
        <v>329</v>
      </c>
      <c r="D2964" s="51"/>
      <c r="E2964" s="51"/>
      <c r="F2964" s="51"/>
      <c r="G2964" s="50" t="s">
        <v>17963</v>
      </c>
      <c r="H2964" s="52">
        <v>44682.95298611111</v>
      </c>
      <c r="I2964" s="50"/>
      <c r="J2964" s="50"/>
      <c r="K2964" s="50"/>
      <c r="L2964" s="50"/>
      <c r="M2964" s="50" t="s">
        <v>17964</v>
      </c>
      <c r="N2964" s="50"/>
      <c r="O2964" s="53" t="s">
        <v>92</v>
      </c>
      <c r="P2964" s="55" t="s">
        <v>17965</v>
      </c>
      <c r="Q2964" s="50">
        <v>348.0</v>
      </c>
      <c r="R2964" s="50">
        <v>712.0</v>
      </c>
      <c r="S2964" s="50" t="s">
        <v>859</v>
      </c>
      <c r="T2964" s="56" t="s">
        <v>17966</v>
      </c>
      <c r="U2964" s="53" t="s">
        <v>332</v>
      </c>
    </row>
    <row r="2965">
      <c r="A2965" s="54" t="s">
        <v>17967</v>
      </c>
      <c r="B2965" s="50" t="s">
        <v>17968</v>
      </c>
      <c r="C2965" s="51" t="s">
        <v>329</v>
      </c>
      <c r="D2965" s="51"/>
      <c r="E2965" s="51"/>
      <c r="F2965" s="51"/>
      <c r="G2965" s="50" t="s">
        <v>17969</v>
      </c>
      <c r="H2965" s="52">
        <v>44682.95271990741</v>
      </c>
      <c r="I2965" s="50"/>
      <c r="J2965" s="50"/>
      <c r="K2965" s="50"/>
      <c r="L2965" s="50"/>
      <c r="M2965" s="50" t="s">
        <v>17970</v>
      </c>
      <c r="N2965" s="50"/>
      <c r="O2965" s="53" t="s">
        <v>60</v>
      </c>
      <c r="P2965" s="55" t="s">
        <v>17971</v>
      </c>
      <c r="Q2965" s="50">
        <v>13835.0</v>
      </c>
      <c r="R2965" s="50">
        <v>11250.0</v>
      </c>
      <c r="S2965" s="50" t="s">
        <v>17972</v>
      </c>
      <c r="T2965" s="56" t="s">
        <v>17973</v>
      </c>
      <c r="U2965" s="53" t="s">
        <v>332</v>
      </c>
    </row>
    <row r="2966">
      <c r="A2966" s="54" t="s">
        <v>17974</v>
      </c>
      <c r="B2966" s="50" t="s">
        <v>17975</v>
      </c>
      <c r="C2966" s="51" t="s">
        <v>367</v>
      </c>
      <c r="D2966" s="51"/>
      <c r="E2966" s="51"/>
      <c r="F2966" s="51"/>
      <c r="G2966" s="50" t="s">
        <v>17976</v>
      </c>
      <c r="H2966" s="52">
        <v>44682.952673611115</v>
      </c>
      <c r="I2966" s="50"/>
      <c r="J2966" s="50"/>
      <c r="K2966" s="50"/>
      <c r="L2966" s="50"/>
      <c r="M2966" s="50" t="s">
        <v>17977</v>
      </c>
      <c r="N2966" s="50"/>
      <c r="O2966" s="53" t="s">
        <v>92</v>
      </c>
      <c r="P2966" s="55" t="s">
        <v>354</v>
      </c>
      <c r="Q2966" s="50">
        <v>158.0</v>
      </c>
      <c r="R2966" s="50">
        <v>772.0</v>
      </c>
      <c r="S2966" s="50" t="s">
        <v>129</v>
      </c>
      <c r="T2966" s="56" t="s">
        <v>17978</v>
      </c>
      <c r="U2966" s="53" t="s">
        <v>370</v>
      </c>
    </row>
    <row r="2967">
      <c r="A2967" s="54" t="s">
        <v>17979</v>
      </c>
      <c r="B2967" s="50" t="s">
        <v>17980</v>
      </c>
      <c r="C2967" s="51" t="s">
        <v>316</v>
      </c>
      <c r="D2967" s="51"/>
      <c r="E2967" s="51"/>
      <c r="F2967" s="51"/>
      <c r="G2967" s="50" t="s">
        <v>17981</v>
      </c>
      <c r="H2967" s="52">
        <v>44682.95247685185</v>
      </c>
      <c r="I2967" s="50"/>
      <c r="J2967" s="50"/>
      <c r="K2967" s="50"/>
      <c r="L2967" s="50"/>
      <c r="M2967" s="50" t="s">
        <v>17982</v>
      </c>
      <c r="N2967" s="50"/>
      <c r="O2967" s="53" t="s">
        <v>60</v>
      </c>
      <c r="P2967" s="55" t="s">
        <v>17983</v>
      </c>
      <c r="Q2967" s="50">
        <v>1394.0</v>
      </c>
      <c r="R2967" s="50">
        <v>4000.0</v>
      </c>
      <c r="S2967" s="50" t="s">
        <v>13356</v>
      </c>
      <c r="T2967" s="56" t="s">
        <v>17984</v>
      </c>
      <c r="U2967" s="53" t="s">
        <v>322</v>
      </c>
    </row>
    <row r="2968">
      <c r="A2968" s="54" t="s">
        <v>17985</v>
      </c>
      <c r="B2968" s="50" t="s">
        <v>3962</v>
      </c>
      <c r="C2968" s="51" t="s">
        <v>5893</v>
      </c>
      <c r="D2968" s="51"/>
      <c r="E2968" s="51"/>
      <c r="F2968" s="51"/>
      <c r="G2968" s="50" t="s">
        <v>17986</v>
      </c>
      <c r="H2968" s="52">
        <v>44682.95243055555</v>
      </c>
      <c r="I2968" s="50"/>
      <c r="J2968" s="50"/>
      <c r="K2968" s="50"/>
      <c r="L2968" s="50"/>
      <c r="M2968" s="50" t="s">
        <v>3965</v>
      </c>
      <c r="N2968" s="50"/>
      <c r="O2968" s="53" t="s">
        <v>92</v>
      </c>
      <c r="P2968" s="55" t="s">
        <v>3966</v>
      </c>
      <c r="Q2968" s="50">
        <v>6711.0</v>
      </c>
      <c r="R2968" s="50">
        <v>6529.0</v>
      </c>
      <c r="S2968" s="50"/>
      <c r="T2968" s="56" t="s">
        <v>17987</v>
      </c>
      <c r="U2968" s="53" t="s">
        <v>5899</v>
      </c>
    </row>
    <row r="2969">
      <c r="A2969" s="54" t="s">
        <v>17988</v>
      </c>
      <c r="B2969" s="50" t="s">
        <v>17989</v>
      </c>
      <c r="C2969" s="51" t="s">
        <v>14882</v>
      </c>
      <c r="D2969" s="51"/>
      <c r="E2969" s="51"/>
      <c r="F2969" s="51"/>
      <c r="G2969" s="50" t="s">
        <v>17990</v>
      </c>
      <c r="H2969" s="52">
        <v>44682.952314814815</v>
      </c>
      <c r="I2969" s="50"/>
      <c r="J2969" s="50"/>
      <c r="K2969" s="50"/>
      <c r="L2969" s="50"/>
      <c r="M2969" s="50" t="s">
        <v>17991</v>
      </c>
      <c r="N2969" s="50"/>
      <c r="O2969" s="53" t="s">
        <v>70</v>
      </c>
      <c r="P2969" s="55" t="s">
        <v>17992</v>
      </c>
      <c r="Q2969" s="50">
        <v>72.0</v>
      </c>
      <c r="R2969" s="50">
        <v>116.0</v>
      </c>
      <c r="S2969" s="50" t="s">
        <v>17993</v>
      </c>
      <c r="T2969" s="56" t="s">
        <v>17994</v>
      </c>
      <c r="U2969" s="53" t="s">
        <v>14888</v>
      </c>
    </row>
    <row r="2970">
      <c r="A2970" s="54" t="s">
        <v>17995</v>
      </c>
      <c r="B2970" s="50" t="s">
        <v>17996</v>
      </c>
      <c r="C2970" s="51" t="s">
        <v>17997</v>
      </c>
      <c r="D2970" s="51"/>
      <c r="E2970" s="51"/>
      <c r="F2970" s="51"/>
      <c r="G2970" s="50" t="s">
        <v>17998</v>
      </c>
      <c r="H2970" s="52">
        <v>44682.95209490741</v>
      </c>
      <c r="I2970" s="50"/>
      <c r="J2970" s="50"/>
      <c r="K2970" s="50" t="s">
        <v>17999</v>
      </c>
      <c r="L2970" s="50" t="s">
        <v>18000</v>
      </c>
      <c r="M2970" s="50" t="s">
        <v>18001</v>
      </c>
      <c r="N2970" s="50" t="s">
        <v>18002</v>
      </c>
      <c r="O2970" s="53" t="s">
        <v>60</v>
      </c>
      <c r="P2970" s="55" t="s">
        <v>18003</v>
      </c>
      <c r="Q2970" s="50">
        <v>392.0</v>
      </c>
      <c r="R2970" s="50">
        <v>779.0</v>
      </c>
      <c r="S2970" s="50" t="s">
        <v>129</v>
      </c>
      <c r="T2970" s="56" t="s">
        <v>18004</v>
      </c>
      <c r="U2970" s="53" t="s">
        <v>18005</v>
      </c>
    </row>
    <row r="2971">
      <c r="A2971" s="54" t="s">
        <v>18006</v>
      </c>
      <c r="B2971" s="50" t="s">
        <v>17980</v>
      </c>
      <c r="C2971" s="51" t="s">
        <v>329</v>
      </c>
      <c r="D2971" s="51"/>
      <c r="E2971" s="51"/>
      <c r="F2971" s="51"/>
      <c r="G2971" s="50" t="s">
        <v>18007</v>
      </c>
      <c r="H2971" s="52">
        <v>44682.95203703704</v>
      </c>
      <c r="I2971" s="50"/>
      <c r="J2971" s="50"/>
      <c r="K2971" s="50"/>
      <c r="L2971" s="50"/>
      <c r="M2971" s="50" t="s">
        <v>17982</v>
      </c>
      <c r="N2971" s="50"/>
      <c r="O2971" s="53" t="s">
        <v>60</v>
      </c>
      <c r="P2971" s="55" t="s">
        <v>17983</v>
      </c>
      <c r="Q2971" s="50">
        <v>1394.0</v>
      </c>
      <c r="R2971" s="50">
        <v>4000.0</v>
      </c>
      <c r="S2971" s="50" t="s">
        <v>13356</v>
      </c>
      <c r="T2971" s="56" t="s">
        <v>18008</v>
      </c>
      <c r="U2971" s="53" t="s">
        <v>332</v>
      </c>
    </row>
    <row r="2972">
      <c r="A2972" s="54" t="s">
        <v>18009</v>
      </c>
      <c r="B2972" s="50" t="s">
        <v>17980</v>
      </c>
      <c r="C2972" s="51" t="s">
        <v>335</v>
      </c>
      <c r="D2972" s="51"/>
      <c r="E2972" s="51"/>
      <c r="F2972" s="51"/>
      <c r="G2972" s="50" t="s">
        <v>18010</v>
      </c>
      <c r="H2972" s="52">
        <v>44682.952002314814</v>
      </c>
      <c r="I2972" s="50"/>
      <c r="J2972" s="50"/>
      <c r="K2972" s="50"/>
      <c r="L2972" s="50"/>
      <c r="M2972" s="50" t="s">
        <v>17982</v>
      </c>
      <c r="N2972" s="50"/>
      <c r="O2972" s="53" t="s">
        <v>60</v>
      </c>
      <c r="P2972" s="55" t="s">
        <v>17983</v>
      </c>
      <c r="Q2972" s="50">
        <v>1394.0</v>
      </c>
      <c r="R2972" s="50">
        <v>4000.0</v>
      </c>
      <c r="S2972" s="50" t="s">
        <v>13356</v>
      </c>
      <c r="T2972" s="56" t="s">
        <v>18011</v>
      </c>
      <c r="U2972" s="53" t="s">
        <v>339</v>
      </c>
    </row>
    <row r="2973">
      <c r="A2973" s="54" t="s">
        <v>18012</v>
      </c>
      <c r="B2973" s="50" t="s">
        <v>17980</v>
      </c>
      <c r="C2973" s="51" t="s">
        <v>363</v>
      </c>
      <c r="D2973" s="51"/>
      <c r="E2973" s="51"/>
      <c r="F2973" s="51"/>
      <c r="G2973" s="50" t="s">
        <v>18013</v>
      </c>
      <c r="H2973" s="52">
        <v>44682.95197916667</v>
      </c>
      <c r="I2973" s="50"/>
      <c r="J2973" s="50"/>
      <c r="K2973" s="50"/>
      <c r="L2973" s="50"/>
      <c r="M2973" s="50" t="s">
        <v>17982</v>
      </c>
      <c r="N2973" s="50"/>
      <c r="O2973" s="53" t="s">
        <v>60</v>
      </c>
      <c r="P2973" s="55" t="s">
        <v>17983</v>
      </c>
      <c r="Q2973" s="50">
        <v>1394.0</v>
      </c>
      <c r="R2973" s="50">
        <v>4000.0</v>
      </c>
      <c r="S2973" s="50" t="s">
        <v>13356</v>
      </c>
      <c r="T2973" s="56" t="s">
        <v>18014</v>
      </c>
      <c r="U2973" s="53" t="s">
        <v>332</v>
      </c>
    </row>
    <row r="2974">
      <c r="A2974" s="54" t="s">
        <v>18015</v>
      </c>
      <c r="B2974" s="50" t="s">
        <v>18016</v>
      </c>
      <c r="C2974" s="51" t="s">
        <v>367</v>
      </c>
      <c r="D2974" s="51"/>
      <c r="E2974" s="51"/>
      <c r="F2974" s="51"/>
      <c r="G2974" s="50" t="s">
        <v>18017</v>
      </c>
      <c r="H2974" s="52">
        <v>44682.951956018514</v>
      </c>
      <c r="I2974" s="50"/>
      <c r="J2974" s="50"/>
      <c r="K2974" s="50"/>
      <c r="L2974" s="50"/>
      <c r="M2974" s="50" t="s">
        <v>18018</v>
      </c>
      <c r="N2974" s="50"/>
      <c r="O2974" s="53" t="s">
        <v>217</v>
      </c>
      <c r="P2974" s="55" t="s">
        <v>18019</v>
      </c>
      <c r="Q2974" s="50">
        <v>683.0</v>
      </c>
      <c r="R2974" s="50">
        <v>832.0</v>
      </c>
      <c r="S2974" s="50" t="s">
        <v>246</v>
      </c>
      <c r="T2974" s="56" t="s">
        <v>18020</v>
      </c>
      <c r="U2974" s="53" t="s">
        <v>370</v>
      </c>
    </row>
    <row r="2975">
      <c r="A2975" s="54" t="s">
        <v>18021</v>
      </c>
      <c r="B2975" s="50" t="s">
        <v>17980</v>
      </c>
      <c r="C2975" s="51" t="s">
        <v>367</v>
      </c>
      <c r="D2975" s="51"/>
      <c r="E2975" s="51"/>
      <c r="F2975" s="51"/>
      <c r="G2975" s="50" t="s">
        <v>18022</v>
      </c>
      <c r="H2975" s="52">
        <v>44682.95185185185</v>
      </c>
      <c r="I2975" s="50"/>
      <c r="J2975" s="50"/>
      <c r="K2975" s="50"/>
      <c r="L2975" s="50"/>
      <c r="M2975" s="50" t="s">
        <v>17982</v>
      </c>
      <c r="N2975" s="50"/>
      <c r="O2975" s="53" t="s">
        <v>60</v>
      </c>
      <c r="P2975" s="55" t="s">
        <v>17983</v>
      </c>
      <c r="Q2975" s="50">
        <v>1394.0</v>
      </c>
      <c r="R2975" s="50">
        <v>4000.0</v>
      </c>
      <c r="S2975" s="50" t="s">
        <v>13356</v>
      </c>
      <c r="T2975" s="56" t="s">
        <v>18023</v>
      </c>
      <c r="U2975" s="53" t="s">
        <v>370</v>
      </c>
    </row>
    <row r="2976">
      <c r="A2976" s="54" t="s">
        <v>18024</v>
      </c>
      <c r="B2976" s="50" t="s">
        <v>18025</v>
      </c>
      <c r="C2976" s="51" t="s">
        <v>18026</v>
      </c>
      <c r="D2976" s="51"/>
      <c r="E2976" s="51"/>
      <c r="F2976" s="51"/>
      <c r="G2976" s="50" t="s">
        <v>18027</v>
      </c>
      <c r="H2976" s="52">
        <v>44682.95150462963</v>
      </c>
      <c r="I2976" s="50"/>
      <c r="J2976" s="50"/>
      <c r="K2976" s="50"/>
      <c r="L2976" s="50"/>
      <c r="M2976" s="50" t="s">
        <v>18028</v>
      </c>
      <c r="N2976" s="50"/>
      <c r="O2976" s="53" t="s">
        <v>217</v>
      </c>
      <c r="P2976" s="55" t="s">
        <v>18029</v>
      </c>
      <c r="Q2976" s="50">
        <v>993.0</v>
      </c>
      <c r="R2976" s="50">
        <v>2294.0</v>
      </c>
      <c r="S2976" s="50"/>
      <c r="T2976" s="56" t="s">
        <v>18030</v>
      </c>
      <c r="U2976" s="53" t="s">
        <v>5899</v>
      </c>
    </row>
    <row r="2977">
      <c r="A2977" s="54" t="s">
        <v>18031</v>
      </c>
      <c r="B2977" s="50" t="s">
        <v>18032</v>
      </c>
      <c r="C2977" s="51" t="s">
        <v>18033</v>
      </c>
      <c r="D2977" s="51"/>
      <c r="E2977" s="51"/>
      <c r="F2977" s="51"/>
      <c r="G2977" s="50" t="s">
        <v>18027</v>
      </c>
      <c r="H2977" s="52">
        <v>44682.95150462963</v>
      </c>
      <c r="I2977" s="50"/>
      <c r="J2977" s="50"/>
      <c r="K2977" s="50"/>
      <c r="L2977" s="50"/>
      <c r="M2977" s="50" t="s">
        <v>18034</v>
      </c>
      <c r="N2977" s="50"/>
      <c r="O2977" s="53" t="s">
        <v>92</v>
      </c>
      <c r="P2977" s="55" t="s">
        <v>18035</v>
      </c>
      <c r="Q2977" s="50">
        <v>7382.0</v>
      </c>
      <c r="R2977" s="50">
        <v>7247.0</v>
      </c>
      <c r="S2977" s="50" t="s">
        <v>18036</v>
      </c>
      <c r="T2977" s="56" t="s">
        <v>18037</v>
      </c>
      <c r="U2977" s="53" t="s">
        <v>18038</v>
      </c>
    </row>
    <row r="2978">
      <c r="A2978" s="54" t="s">
        <v>18039</v>
      </c>
      <c r="B2978" s="50" t="s">
        <v>18040</v>
      </c>
      <c r="C2978" s="51" t="s">
        <v>18041</v>
      </c>
      <c r="D2978" s="51"/>
      <c r="E2978" s="51"/>
      <c r="F2978" s="51"/>
      <c r="G2978" s="50" t="s">
        <v>18042</v>
      </c>
      <c r="H2978" s="52">
        <v>44682.95141203704</v>
      </c>
      <c r="I2978" s="50"/>
      <c r="J2978" s="50"/>
      <c r="K2978" s="50" t="s">
        <v>18043</v>
      </c>
      <c r="L2978" s="50" t="s">
        <v>18044</v>
      </c>
      <c r="M2978" s="50" t="s">
        <v>18045</v>
      </c>
      <c r="N2978" s="50" t="s">
        <v>18046</v>
      </c>
      <c r="O2978" s="53" t="s">
        <v>60</v>
      </c>
      <c r="P2978" s="55" t="s">
        <v>18047</v>
      </c>
      <c r="Q2978" s="50">
        <v>260.0</v>
      </c>
      <c r="R2978" s="50">
        <v>236.0</v>
      </c>
      <c r="S2978" s="50" t="s">
        <v>18048</v>
      </c>
      <c r="T2978" s="56" t="s">
        <v>18049</v>
      </c>
      <c r="U2978" s="53" t="s">
        <v>18050</v>
      </c>
    </row>
    <row r="2979">
      <c r="A2979" s="54" t="s">
        <v>18051</v>
      </c>
      <c r="B2979" s="50" t="s">
        <v>18052</v>
      </c>
      <c r="C2979" s="51" t="s">
        <v>18053</v>
      </c>
      <c r="D2979" s="51"/>
      <c r="E2979" s="51"/>
      <c r="F2979" s="51"/>
      <c r="G2979" s="50" t="s">
        <v>18054</v>
      </c>
      <c r="H2979" s="52">
        <v>44682.951377314814</v>
      </c>
      <c r="I2979" s="50"/>
      <c r="J2979" s="50"/>
      <c r="K2979" s="50"/>
      <c r="L2979" s="50"/>
      <c r="M2979" s="50" t="s">
        <v>18055</v>
      </c>
      <c r="N2979" s="50"/>
      <c r="O2979" s="53" t="s">
        <v>60</v>
      </c>
      <c r="P2979" s="55" t="s">
        <v>18056</v>
      </c>
      <c r="Q2979" s="50">
        <v>2782.0</v>
      </c>
      <c r="R2979" s="50">
        <v>3330.0</v>
      </c>
      <c r="S2979" s="50" t="s">
        <v>1007</v>
      </c>
      <c r="T2979" s="56" t="s">
        <v>18057</v>
      </c>
      <c r="U2979" s="53" t="s">
        <v>18058</v>
      </c>
    </row>
    <row r="2980">
      <c r="A2980" s="54" t="s">
        <v>18059</v>
      </c>
      <c r="B2980" s="50" t="s">
        <v>16973</v>
      </c>
      <c r="C2980" s="51" t="s">
        <v>14882</v>
      </c>
      <c r="D2980" s="51"/>
      <c r="E2980" s="51"/>
      <c r="F2980" s="51"/>
      <c r="G2980" s="50" t="s">
        <v>18060</v>
      </c>
      <c r="H2980" s="52">
        <v>44682.9513425926</v>
      </c>
      <c r="I2980" s="50"/>
      <c r="J2980" s="50"/>
      <c r="K2980" s="50"/>
      <c r="L2980" s="50"/>
      <c r="M2980" s="50" t="s">
        <v>16975</v>
      </c>
      <c r="N2980" s="50"/>
      <c r="O2980" s="53" t="s">
        <v>70</v>
      </c>
      <c r="P2980" s="55" t="s">
        <v>16976</v>
      </c>
      <c r="Q2980" s="50">
        <v>7494.0</v>
      </c>
      <c r="R2980" s="50">
        <v>8209.0</v>
      </c>
      <c r="S2980" s="50" t="s">
        <v>16977</v>
      </c>
      <c r="T2980" s="56" t="s">
        <v>18061</v>
      </c>
      <c r="U2980" s="53" t="s">
        <v>14888</v>
      </c>
    </row>
    <row r="2981">
      <c r="A2981" s="54" t="s">
        <v>18062</v>
      </c>
      <c r="B2981" s="50" t="s">
        <v>18063</v>
      </c>
      <c r="C2981" s="51" t="s">
        <v>18064</v>
      </c>
      <c r="D2981" s="51"/>
      <c r="E2981" s="51"/>
      <c r="F2981" s="51"/>
      <c r="G2981" s="50" t="s">
        <v>18065</v>
      </c>
      <c r="H2981" s="52">
        <v>44682.95119212963</v>
      </c>
      <c r="I2981" s="50"/>
      <c r="J2981" s="50"/>
      <c r="K2981" s="50" t="s">
        <v>3317</v>
      </c>
      <c r="L2981" s="50" t="s">
        <v>3318</v>
      </c>
      <c r="M2981" s="50" t="s">
        <v>18066</v>
      </c>
      <c r="N2981" s="50" t="s">
        <v>3426</v>
      </c>
      <c r="O2981" s="53" t="s">
        <v>60</v>
      </c>
      <c r="P2981" s="55" t="s">
        <v>18067</v>
      </c>
      <c r="Q2981" s="50">
        <v>24.0</v>
      </c>
      <c r="R2981" s="50">
        <v>279.0</v>
      </c>
      <c r="S2981" s="50"/>
      <c r="T2981" s="56" t="s">
        <v>18068</v>
      </c>
      <c r="U2981" s="53" t="s">
        <v>18069</v>
      </c>
    </row>
    <row r="2982">
      <c r="A2982" s="54" t="s">
        <v>18070</v>
      </c>
      <c r="B2982" s="50" t="s">
        <v>18071</v>
      </c>
      <c r="C2982" s="51" t="s">
        <v>367</v>
      </c>
      <c r="D2982" s="51"/>
      <c r="E2982" s="51"/>
      <c r="F2982" s="51"/>
      <c r="G2982" s="50" t="s">
        <v>18072</v>
      </c>
      <c r="H2982" s="52">
        <v>44682.95099537037</v>
      </c>
      <c r="I2982" s="50"/>
      <c r="J2982" s="50"/>
      <c r="K2982" s="50"/>
      <c r="L2982" s="50"/>
      <c r="M2982" s="50" t="s">
        <v>18073</v>
      </c>
      <c r="N2982" s="50"/>
      <c r="O2982" s="53" t="s">
        <v>92</v>
      </c>
      <c r="P2982" s="55" t="s">
        <v>18074</v>
      </c>
      <c r="Q2982" s="50">
        <v>3128.0</v>
      </c>
      <c r="R2982" s="50">
        <v>5001.0</v>
      </c>
      <c r="S2982" s="50" t="s">
        <v>18075</v>
      </c>
      <c r="T2982" s="56" t="s">
        <v>18076</v>
      </c>
      <c r="U2982" s="53" t="s">
        <v>370</v>
      </c>
    </row>
    <row r="2983">
      <c r="A2983" s="54" t="s">
        <v>18077</v>
      </c>
      <c r="B2983" s="50" t="s">
        <v>18078</v>
      </c>
      <c r="C2983" s="51" t="s">
        <v>18079</v>
      </c>
      <c r="D2983" s="51"/>
      <c r="E2983" s="51"/>
      <c r="F2983" s="51"/>
      <c r="G2983" s="50" t="s">
        <v>18080</v>
      </c>
      <c r="H2983" s="52">
        <v>44682.95085648148</v>
      </c>
      <c r="I2983" s="50"/>
      <c r="J2983" s="50"/>
      <c r="K2983" s="50"/>
      <c r="L2983" s="50"/>
      <c r="M2983" s="50" t="s">
        <v>18081</v>
      </c>
      <c r="N2983" s="50"/>
      <c r="O2983" s="53" t="s">
        <v>60</v>
      </c>
      <c r="P2983" s="55" t="s">
        <v>18082</v>
      </c>
      <c r="Q2983" s="50">
        <v>15.0</v>
      </c>
      <c r="R2983" s="50">
        <v>116.0</v>
      </c>
      <c r="S2983" s="50"/>
      <c r="T2983" s="56" t="s">
        <v>18083</v>
      </c>
      <c r="U2983" s="53" t="s">
        <v>18084</v>
      </c>
    </row>
    <row r="2984">
      <c r="A2984" s="54" t="s">
        <v>18085</v>
      </c>
      <c r="B2984" s="50" t="s">
        <v>18071</v>
      </c>
      <c r="C2984" s="51" t="s">
        <v>329</v>
      </c>
      <c r="D2984" s="51"/>
      <c r="E2984" s="51"/>
      <c r="F2984" s="51"/>
      <c r="G2984" s="50" t="s">
        <v>18086</v>
      </c>
      <c r="H2984" s="52">
        <v>44682.9506712963</v>
      </c>
      <c r="I2984" s="50"/>
      <c r="J2984" s="50"/>
      <c r="K2984" s="50"/>
      <c r="L2984" s="50"/>
      <c r="M2984" s="50" t="s">
        <v>18073</v>
      </c>
      <c r="N2984" s="50"/>
      <c r="O2984" s="53" t="s">
        <v>92</v>
      </c>
      <c r="P2984" s="55" t="s">
        <v>18074</v>
      </c>
      <c r="Q2984" s="50">
        <v>3128.0</v>
      </c>
      <c r="R2984" s="50">
        <v>5001.0</v>
      </c>
      <c r="S2984" s="50" t="s">
        <v>18075</v>
      </c>
      <c r="T2984" s="56" t="s">
        <v>18087</v>
      </c>
      <c r="U2984" s="53" t="s">
        <v>332</v>
      </c>
    </row>
    <row r="2985">
      <c r="A2985" s="54" t="s">
        <v>18088</v>
      </c>
      <c r="B2985" s="50" t="s">
        <v>18089</v>
      </c>
      <c r="C2985" s="51" t="s">
        <v>18090</v>
      </c>
      <c r="D2985" s="51"/>
      <c r="E2985" s="51"/>
      <c r="F2985" s="51"/>
      <c r="G2985" s="50" t="s">
        <v>18091</v>
      </c>
      <c r="H2985" s="52">
        <v>44682.950578703705</v>
      </c>
      <c r="I2985" s="50"/>
      <c r="J2985" s="50"/>
      <c r="K2985" s="50"/>
      <c r="L2985" s="50"/>
      <c r="M2985" s="50" t="s">
        <v>18092</v>
      </c>
      <c r="N2985" s="50"/>
      <c r="O2985" s="53" t="s">
        <v>70</v>
      </c>
      <c r="P2985" s="55" t="s">
        <v>18093</v>
      </c>
      <c r="Q2985" s="50">
        <v>4034.0</v>
      </c>
      <c r="R2985" s="50">
        <v>4819.0</v>
      </c>
      <c r="S2985" s="50" t="s">
        <v>2610</v>
      </c>
      <c r="T2985" s="56" t="s">
        <v>18094</v>
      </c>
      <c r="U2985" s="53" t="s">
        <v>18095</v>
      </c>
    </row>
    <row r="2986">
      <c r="A2986" s="54" t="s">
        <v>18096</v>
      </c>
      <c r="B2986" s="50" t="s">
        <v>18097</v>
      </c>
      <c r="C2986" s="51" t="s">
        <v>316</v>
      </c>
      <c r="D2986" s="51"/>
      <c r="E2986" s="51"/>
      <c r="F2986" s="51"/>
      <c r="G2986" s="50" t="s">
        <v>18098</v>
      </c>
      <c r="H2986" s="52">
        <v>44682.950474537036</v>
      </c>
      <c r="I2986" s="50"/>
      <c r="J2986" s="50"/>
      <c r="K2986" s="50"/>
      <c r="L2986" s="50"/>
      <c r="M2986" s="50" t="s">
        <v>18099</v>
      </c>
      <c r="N2986" s="50"/>
      <c r="O2986" s="53" t="s">
        <v>70</v>
      </c>
      <c r="P2986" s="55" t="s">
        <v>18100</v>
      </c>
      <c r="Q2986" s="50">
        <v>1316.0</v>
      </c>
      <c r="R2986" s="50">
        <v>1454.0</v>
      </c>
      <c r="S2986" s="50"/>
      <c r="T2986" s="56" t="s">
        <v>18101</v>
      </c>
      <c r="U2986" s="53" t="s">
        <v>322</v>
      </c>
    </row>
    <row r="2987">
      <c r="A2987" s="54" t="s">
        <v>18102</v>
      </c>
      <c r="B2987" s="50" t="s">
        <v>18103</v>
      </c>
      <c r="C2987" s="51" t="s">
        <v>367</v>
      </c>
      <c r="D2987" s="51"/>
      <c r="E2987" s="51"/>
      <c r="F2987" s="51"/>
      <c r="G2987" s="50" t="s">
        <v>18104</v>
      </c>
      <c r="H2987" s="52">
        <v>44682.95037037037</v>
      </c>
      <c r="I2987" s="50"/>
      <c r="J2987" s="50"/>
      <c r="K2987" s="50"/>
      <c r="L2987" s="50"/>
      <c r="M2987" s="50" t="s">
        <v>18105</v>
      </c>
      <c r="N2987" s="50"/>
      <c r="O2987" s="53" t="s">
        <v>70</v>
      </c>
      <c r="P2987" s="55" t="s">
        <v>354</v>
      </c>
      <c r="Q2987" s="50">
        <v>94.0</v>
      </c>
      <c r="R2987" s="50">
        <v>48.0</v>
      </c>
      <c r="S2987" s="50"/>
      <c r="T2987" s="56" t="s">
        <v>18106</v>
      </c>
      <c r="U2987" s="53" t="s">
        <v>370</v>
      </c>
    </row>
    <row r="2988">
      <c r="A2988" s="54" t="s">
        <v>18107</v>
      </c>
      <c r="B2988" s="50" t="s">
        <v>18108</v>
      </c>
      <c r="C2988" s="51" t="s">
        <v>13405</v>
      </c>
      <c r="D2988" s="51"/>
      <c r="E2988" s="51"/>
      <c r="F2988" s="51"/>
      <c r="G2988" s="50" t="s">
        <v>18109</v>
      </c>
      <c r="H2988" s="52">
        <v>44682.950324074074</v>
      </c>
      <c r="I2988" s="50"/>
      <c r="J2988" s="50"/>
      <c r="K2988" s="50"/>
      <c r="L2988" s="50"/>
      <c r="M2988" s="50" t="s">
        <v>18110</v>
      </c>
      <c r="N2988" s="50"/>
      <c r="O2988" s="53" t="s">
        <v>92</v>
      </c>
      <c r="P2988" s="55" t="s">
        <v>18111</v>
      </c>
      <c r="Q2988" s="50">
        <v>62.0</v>
      </c>
      <c r="R2988" s="50">
        <v>296.0</v>
      </c>
      <c r="S2988" s="50"/>
      <c r="T2988" s="56" t="s">
        <v>18112</v>
      </c>
      <c r="U2988" s="53" t="s">
        <v>13408</v>
      </c>
    </row>
    <row r="2989">
      <c r="A2989" s="54" t="s">
        <v>18113</v>
      </c>
      <c r="B2989" s="50" t="s">
        <v>18114</v>
      </c>
      <c r="C2989" s="51" t="s">
        <v>367</v>
      </c>
      <c r="D2989" s="51"/>
      <c r="E2989" s="51"/>
      <c r="F2989" s="51"/>
      <c r="G2989" s="50" t="s">
        <v>18115</v>
      </c>
      <c r="H2989" s="52">
        <v>44682.95025462963</v>
      </c>
      <c r="I2989" s="50"/>
      <c r="J2989" s="50"/>
      <c r="K2989" s="50"/>
      <c r="L2989" s="50"/>
      <c r="M2989" s="50" t="s">
        <v>18116</v>
      </c>
      <c r="N2989" s="50"/>
      <c r="O2989" s="53" t="s">
        <v>60</v>
      </c>
      <c r="P2989" s="55" t="s">
        <v>18117</v>
      </c>
      <c r="Q2989" s="50">
        <v>219.0</v>
      </c>
      <c r="R2989" s="50">
        <v>71.0</v>
      </c>
      <c r="S2989" s="50" t="s">
        <v>569</v>
      </c>
      <c r="T2989" s="56" t="s">
        <v>18118</v>
      </c>
      <c r="U2989" s="53" t="s">
        <v>370</v>
      </c>
    </row>
    <row r="2990">
      <c r="A2990" s="54" t="s">
        <v>18119</v>
      </c>
      <c r="B2990" s="50" t="s">
        <v>15133</v>
      </c>
      <c r="C2990" s="51" t="s">
        <v>18120</v>
      </c>
      <c r="D2990" s="51"/>
      <c r="E2990" s="51"/>
      <c r="F2990" s="51"/>
      <c r="G2990" s="50" t="s">
        <v>18121</v>
      </c>
      <c r="H2990" s="52">
        <v>44682.950219907405</v>
      </c>
      <c r="I2990" s="50"/>
      <c r="J2990" s="50"/>
      <c r="K2990" s="50"/>
      <c r="L2990" s="50"/>
      <c r="M2990" s="50" t="s">
        <v>15136</v>
      </c>
      <c r="N2990" s="50"/>
      <c r="O2990" s="53" t="s">
        <v>15137</v>
      </c>
      <c r="P2990" s="55" t="s">
        <v>354</v>
      </c>
      <c r="Q2990" s="50">
        <v>285.0</v>
      </c>
      <c r="R2990" s="50">
        <v>1.0</v>
      </c>
      <c r="S2990" s="50"/>
      <c r="T2990" s="56" t="s">
        <v>18122</v>
      </c>
      <c r="U2990" s="53" t="s">
        <v>18123</v>
      </c>
    </row>
    <row r="2991">
      <c r="A2991" s="54" t="s">
        <v>18124</v>
      </c>
      <c r="B2991" s="50" t="s">
        <v>18125</v>
      </c>
      <c r="C2991" s="51" t="s">
        <v>367</v>
      </c>
      <c r="D2991" s="51"/>
      <c r="E2991" s="51"/>
      <c r="F2991" s="51"/>
      <c r="G2991" s="50" t="s">
        <v>18126</v>
      </c>
      <c r="H2991" s="52">
        <v>44682.95013888889</v>
      </c>
      <c r="I2991" s="50"/>
      <c r="J2991" s="50"/>
      <c r="K2991" s="50"/>
      <c r="L2991" s="50"/>
      <c r="M2991" s="50" t="s">
        <v>18127</v>
      </c>
      <c r="N2991" s="50"/>
      <c r="O2991" s="53" t="s">
        <v>60</v>
      </c>
      <c r="P2991" s="55" t="s">
        <v>18128</v>
      </c>
      <c r="Q2991" s="50">
        <v>724.0</v>
      </c>
      <c r="R2991" s="50">
        <v>346.0</v>
      </c>
      <c r="S2991" s="50"/>
      <c r="T2991" s="56" t="s">
        <v>18129</v>
      </c>
      <c r="U2991" s="53" t="s">
        <v>370</v>
      </c>
    </row>
    <row r="2992">
      <c r="A2992" s="54" t="s">
        <v>18130</v>
      </c>
      <c r="B2992" s="50" t="s">
        <v>18131</v>
      </c>
      <c r="C2992" s="51" t="s">
        <v>8881</v>
      </c>
      <c r="D2992" s="51"/>
      <c r="E2992" s="51"/>
      <c r="F2992" s="51"/>
      <c r="G2992" s="50" t="s">
        <v>18132</v>
      </c>
      <c r="H2992" s="52">
        <v>44682.950104166666</v>
      </c>
      <c r="I2992" s="50"/>
      <c r="J2992" s="50"/>
      <c r="K2992" s="50"/>
      <c r="L2992" s="50"/>
      <c r="M2992" s="50" t="s">
        <v>18133</v>
      </c>
      <c r="N2992" s="50"/>
      <c r="O2992" s="53" t="s">
        <v>70</v>
      </c>
      <c r="P2992" s="55" t="s">
        <v>18134</v>
      </c>
      <c r="Q2992" s="50">
        <v>1372.0</v>
      </c>
      <c r="R2992" s="50">
        <v>1346.0</v>
      </c>
      <c r="S2992" s="50" t="s">
        <v>18135</v>
      </c>
      <c r="T2992" s="56" t="s">
        <v>18136</v>
      </c>
      <c r="U2992" s="53" t="s">
        <v>8886</v>
      </c>
    </row>
    <row r="2993">
      <c r="A2993" s="54" t="s">
        <v>18137</v>
      </c>
      <c r="B2993" s="50" t="s">
        <v>18138</v>
      </c>
      <c r="C2993" s="51" t="s">
        <v>367</v>
      </c>
      <c r="D2993" s="51"/>
      <c r="E2993" s="51"/>
      <c r="F2993" s="51"/>
      <c r="G2993" s="50" t="s">
        <v>18139</v>
      </c>
      <c r="H2993" s="52">
        <v>44682.950011574074</v>
      </c>
      <c r="I2993" s="50"/>
      <c r="J2993" s="50"/>
      <c r="K2993" s="50"/>
      <c r="L2993" s="50"/>
      <c r="M2993" s="50" t="s">
        <v>18140</v>
      </c>
      <c r="N2993" s="50"/>
      <c r="O2993" s="53" t="s">
        <v>92</v>
      </c>
      <c r="P2993" s="55" t="s">
        <v>18141</v>
      </c>
      <c r="Q2993" s="50">
        <v>745.0</v>
      </c>
      <c r="R2993" s="50">
        <v>305.0</v>
      </c>
      <c r="S2993" s="50"/>
      <c r="T2993" s="56" t="s">
        <v>18142</v>
      </c>
      <c r="U2993" s="53" t="s">
        <v>370</v>
      </c>
    </row>
    <row r="2994">
      <c r="A2994" s="54" t="s">
        <v>18143</v>
      </c>
      <c r="B2994" s="50" t="s">
        <v>18144</v>
      </c>
      <c r="C2994" s="51" t="s">
        <v>18145</v>
      </c>
      <c r="D2994" s="51"/>
      <c r="E2994" s="51"/>
      <c r="F2994" s="51"/>
      <c r="G2994" s="50" t="s">
        <v>18146</v>
      </c>
      <c r="H2994" s="52">
        <v>44682.949965277774</v>
      </c>
      <c r="I2994" s="50"/>
      <c r="J2994" s="50"/>
      <c r="K2994" s="50"/>
      <c r="L2994" s="50"/>
      <c r="M2994" s="50" t="s">
        <v>18147</v>
      </c>
      <c r="N2994" s="50"/>
      <c r="O2994" s="53" t="s">
        <v>6535</v>
      </c>
      <c r="P2994" s="55" t="s">
        <v>18148</v>
      </c>
      <c r="Q2994" s="50">
        <v>18.0</v>
      </c>
      <c r="R2994" s="50">
        <v>73.0</v>
      </c>
      <c r="S2994" s="50" t="s">
        <v>18149</v>
      </c>
      <c r="T2994" s="56" t="s">
        <v>18150</v>
      </c>
      <c r="U2994" s="53" t="s">
        <v>18151</v>
      </c>
    </row>
    <row r="2995">
      <c r="A2995" s="54" t="s">
        <v>18152</v>
      </c>
      <c r="B2995" s="50" t="s">
        <v>18153</v>
      </c>
      <c r="C2995" s="51" t="s">
        <v>367</v>
      </c>
      <c r="D2995" s="51"/>
      <c r="E2995" s="51"/>
      <c r="F2995" s="51"/>
      <c r="G2995" s="50" t="s">
        <v>18154</v>
      </c>
      <c r="H2995" s="52">
        <v>44682.94988425926</v>
      </c>
      <c r="I2995" s="50"/>
      <c r="J2995" s="50"/>
      <c r="K2995" s="50"/>
      <c r="L2995" s="50"/>
      <c r="M2995" s="50" t="s">
        <v>18155</v>
      </c>
      <c r="N2995" s="50"/>
      <c r="O2995" s="53" t="s">
        <v>92</v>
      </c>
      <c r="P2995" s="55" t="s">
        <v>18156</v>
      </c>
      <c r="Q2995" s="50">
        <v>2978.0</v>
      </c>
      <c r="R2995" s="50">
        <v>2170.0</v>
      </c>
      <c r="S2995" s="50" t="s">
        <v>18157</v>
      </c>
      <c r="T2995" s="56" t="s">
        <v>18158</v>
      </c>
      <c r="U2995" s="53" t="s">
        <v>370</v>
      </c>
    </row>
    <row r="2996">
      <c r="A2996" s="54" t="s">
        <v>18159</v>
      </c>
      <c r="B2996" s="50" t="s">
        <v>18160</v>
      </c>
      <c r="C2996" s="51" t="s">
        <v>367</v>
      </c>
      <c r="D2996" s="51"/>
      <c r="E2996" s="51"/>
      <c r="F2996" s="51"/>
      <c r="G2996" s="50" t="s">
        <v>18161</v>
      </c>
      <c r="H2996" s="52">
        <v>44682.94969907407</v>
      </c>
      <c r="I2996" s="50"/>
      <c r="J2996" s="50"/>
      <c r="K2996" s="50"/>
      <c r="L2996" s="50"/>
      <c r="M2996" s="50" t="s">
        <v>18162</v>
      </c>
      <c r="N2996" s="50"/>
      <c r="O2996" s="53" t="s">
        <v>70</v>
      </c>
      <c r="P2996" s="55" t="s">
        <v>18163</v>
      </c>
      <c r="Q2996" s="50">
        <v>12804.0</v>
      </c>
      <c r="R2996" s="50">
        <v>13777.0</v>
      </c>
      <c r="S2996" s="50" t="s">
        <v>1064</v>
      </c>
      <c r="T2996" s="56" t="s">
        <v>18164</v>
      </c>
      <c r="U2996" s="53" t="s">
        <v>370</v>
      </c>
    </row>
    <row r="2997">
      <c r="A2997" s="54" t="s">
        <v>18165</v>
      </c>
      <c r="B2997" s="50" t="s">
        <v>18166</v>
      </c>
      <c r="C2997" s="51" t="s">
        <v>367</v>
      </c>
      <c r="D2997" s="51"/>
      <c r="E2997" s="51"/>
      <c r="F2997" s="51"/>
      <c r="G2997" s="50" t="s">
        <v>18167</v>
      </c>
      <c r="H2997" s="52">
        <v>44682.94967592593</v>
      </c>
      <c r="I2997" s="50"/>
      <c r="J2997" s="50"/>
      <c r="K2997" s="50"/>
      <c r="L2997" s="50"/>
      <c r="M2997" s="50" t="s">
        <v>18168</v>
      </c>
      <c r="N2997" s="50"/>
      <c r="O2997" s="53" t="s">
        <v>92</v>
      </c>
      <c r="P2997" s="55" t="s">
        <v>18169</v>
      </c>
      <c r="Q2997" s="50">
        <v>135.0</v>
      </c>
      <c r="R2997" s="50">
        <v>1187.0</v>
      </c>
      <c r="S2997" s="50"/>
      <c r="T2997" s="56" t="s">
        <v>18170</v>
      </c>
      <c r="U2997" s="53" t="s">
        <v>370</v>
      </c>
    </row>
    <row r="2998">
      <c r="A2998" s="54" t="s">
        <v>18171</v>
      </c>
      <c r="B2998" s="50" t="s">
        <v>15693</v>
      </c>
      <c r="C2998" s="51" t="s">
        <v>18172</v>
      </c>
      <c r="D2998" s="51"/>
      <c r="E2998" s="51"/>
      <c r="F2998" s="51"/>
      <c r="G2998" s="50" t="s">
        <v>18173</v>
      </c>
      <c r="H2998" s="52">
        <v>44682.94961805556</v>
      </c>
      <c r="I2998" s="50"/>
      <c r="J2998" s="50"/>
      <c r="K2998" s="50"/>
      <c r="L2998" s="50"/>
      <c r="M2998" s="50" t="s">
        <v>15696</v>
      </c>
      <c r="N2998" s="50"/>
      <c r="O2998" s="53" t="s">
        <v>60</v>
      </c>
      <c r="P2998" s="55" t="s">
        <v>15697</v>
      </c>
      <c r="Q2998" s="50">
        <v>1656.0</v>
      </c>
      <c r="R2998" s="50">
        <v>3134.0</v>
      </c>
      <c r="S2998" s="50" t="s">
        <v>5503</v>
      </c>
      <c r="T2998" s="56" t="s">
        <v>18174</v>
      </c>
      <c r="U2998" s="53" t="s">
        <v>18175</v>
      </c>
    </row>
    <row r="2999">
      <c r="A2999" s="54" t="s">
        <v>18176</v>
      </c>
      <c r="B2999" s="50" t="s">
        <v>18177</v>
      </c>
      <c r="C2999" s="51" t="s">
        <v>18178</v>
      </c>
      <c r="D2999" s="51"/>
      <c r="E2999" s="51"/>
      <c r="F2999" s="51"/>
      <c r="G2999" s="50" t="s">
        <v>18179</v>
      </c>
      <c r="H2999" s="52">
        <v>44682.94957175926</v>
      </c>
      <c r="I2999" s="50"/>
      <c r="J2999" s="50"/>
      <c r="K2999" s="50"/>
      <c r="L2999" s="50"/>
      <c r="M2999" s="50" t="s">
        <v>18180</v>
      </c>
      <c r="N2999" s="50"/>
      <c r="O2999" s="53" t="s">
        <v>18181</v>
      </c>
      <c r="P2999" s="55" t="s">
        <v>18182</v>
      </c>
      <c r="Q2999" s="50">
        <v>713.0</v>
      </c>
      <c r="R2999" s="50"/>
      <c r="S2999" s="50"/>
      <c r="T2999" s="56" t="s">
        <v>18183</v>
      </c>
      <c r="U2999" s="53" t="s">
        <v>18184</v>
      </c>
    </row>
    <row r="3000">
      <c r="A3000" s="54" t="s">
        <v>18185</v>
      </c>
      <c r="B3000" s="50" t="s">
        <v>16973</v>
      </c>
      <c r="C3000" s="51" t="s">
        <v>18186</v>
      </c>
      <c r="D3000" s="51"/>
      <c r="E3000" s="51"/>
      <c r="F3000" s="51"/>
      <c r="G3000" s="50" t="s">
        <v>18187</v>
      </c>
      <c r="H3000" s="52">
        <v>44682.94956018518</v>
      </c>
      <c r="I3000" s="50"/>
      <c r="J3000" s="50"/>
      <c r="K3000" s="50" t="s">
        <v>3317</v>
      </c>
      <c r="L3000" s="50" t="s">
        <v>3318</v>
      </c>
      <c r="M3000" s="50" t="s">
        <v>16975</v>
      </c>
      <c r="N3000" s="50" t="s">
        <v>3426</v>
      </c>
      <c r="O3000" s="53" t="s">
        <v>70</v>
      </c>
      <c r="P3000" s="55" t="s">
        <v>16976</v>
      </c>
      <c r="Q3000" s="50">
        <v>7494.0</v>
      </c>
      <c r="R3000" s="50">
        <v>8209.0</v>
      </c>
      <c r="S3000" s="50" t="s">
        <v>16977</v>
      </c>
      <c r="T3000" s="56" t="s">
        <v>18188</v>
      </c>
      <c r="U3000" s="53" t="s">
        <v>18189</v>
      </c>
    </row>
    <row r="3001">
      <c r="A3001" s="54" t="s">
        <v>18190</v>
      </c>
      <c r="B3001" s="50" t="s">
        <v>18191</v>
      </c>
      <c r="C3001" s="51" t="s">
        <v>367</v>
      </c>
      <c r="D3001" s="51"/>
      <c r="E3001" s="51"/>
      <c r="F3001" s="51"/>
      <c r="G3001" s="50" t="s">
        <v>18192</v>
      </c>
      <c r="H3001" s="52">
        <v>44682.94944444444</v>
      </c>
      <c r="I3001" s="50"/>
      <c r="J3001" s="50"/>
      <c r="K3001" s="50"/>
      <c r="L3001" s="50"/>
      <c r="M3001" s="50" t="s">
        <v>18193</v>
      </c>
      <c r="N3001" s="50"/>
      <c r="O3001" s="53" t="s">
        <v>70</v>
      </c>
      <c r="P3001" s="55" t="s">
        <v>18194</v>
      </c>
      <c r="Q3001" s="50">
        <v>3743.0</v>
      </c>
      <c r="R3001" s="50">
        <v>4973.0</v>
      </c>
      <c r="S3001" s="50" t="s">
        <v>18195</v>
      </c>
      <c r="T3001" s="56" t="s">
        <v>18196</v>
      </c>
      <c r="U3001" s="53" t="s">
        <v>370</v>
      </c>
    </row>
    <row r="3002">
      <c r="A3002" s="54" t="s">
        <v>18197</v>
      </c>
      <c r="B3002" s="50" t="s">
        <v>18198</v>
      </c>
      <c r="C3002" s="51" t="s">
        <v>329</v>
      </c>
      <c r="D3002" s="51"/>
      <c r="E3002" s="51"/>
      <c r="F3002" s="51"/>
      <c r="G3002" s="50" t="s">
        <v>18199</v>
      </c>
      <c r="H3002" s="52">
        <v>44682.94939814815</v>
      </c>
      <c r="I3002" s="50"/>
      <c r="J3002" s="50"/>
      <c r="K3002" s="50"/>
      <c r="L3002" s="50"/>
      <c r="M3002" s="50" t="s">
        <v>18200</v>
      </c>
      <c r="N3002" s="50"/>
      <c r="O3002" s="53" t="s">
        <v>70</v>
      </c>
      <c r="P3002" s="55" t="s">
        <v>18201</v>
      </c>
      <c r="Q3002" s="50">
        <v>6572.0</v>
      </c>
      <c r="R3002" s="50">
        <v>6518.0</v>
      </c>
      <c r="S3002" s="50" t="s">
        <v>219</v>
      </c>
      <c r="T3002" s="56" t="s">
        <v>18202</v>
      </c>
      <c r="U3002" s="53" t="s">
        <v>332</v>
      </c>
    </row>
    <row r="3003">
      <c r="A3003" s="54" t="s">
        <v>18203</v>
      </c>
      <c r="B3003" s="50" t="s">
        <v>18204</v>
      </c>
      <c r="C3003" s="51" t="s">
        <v>367</v>
      </c>
      <c r="D3003" s="51"/>
      <c r="E3003" s="51"/>
      <c r="F3003" s="51"/>
      <c r="G3003" s="50" t="s">
        <v>18205</v>
      </c>
      <c r="H3003" s="52">
        <v>44682.94938657407</v>
      </c>
      <c r="I3003" s="50"/>
      <c r="J3003" s="50"/>
      <c r="K3003" s="50"/>
      <c r="L3003" s="50"/>
      <c r="M3003" s="50" t="s">
        <v>18206</v>
      </c>
      <c r="N3003" s="50"/>
      <c r="O3003" s="53" t="s">
        <v>70</v>
      </c>
      <c r="P3003" s="55" t="s">
        <v>18207</v>
      </c>
      <c r="Q3003" s="50">
        <v>255.0</v>
      </c>
      <c r="R3003" s="50">
        <v>91.0</v>
      </c>
      <c r="S3003" s="50" t="s">
        <v>4953</v>
      </c>
      <c r="T3003" s="56" t="s">
        <v>18208</v>
      </c>
      <c r="U3003" s="53" t="s">
        <v>370</v>
      </c>
    </row>
    <row r="3004">
      <c r="A3004" s="54" t="s">
        <v>18209</v>
      </c>
      <c r="B3004" s="50" t="s">
        <v>18210</v>
      </c>
      <c r="C3004" s="51" t="s">
        <v>18211</v>
      </c>
      <c r="D3004" s="51"/>
      <c r="E3004" s="51"/>
      <c r="F3004" s="51"/>
      <c r="G3004" s="50" t="s">
        <v>18212</v>
      </c>
      <c r="H3004" s="52">
        <v>44682.94936342593</v>
      </c>
      <c r="I3004" s="50"/>
      <c r="J3004" s="50"/>
      <c r="K3004" s="50" t="s">
        <v>3317</v>
      </c>
      <c r="L3004" s="50" t="s">
        <v>3318</v>
      </c>
      <c r="M3004" s="50" t="s">
        <v>18213</v>
      </c>
      <c r="N3004" s="50" t="s">
        <v>3426</v>
      </c>
      <c r="O3004" s="53" t="s">
        <v>92</v>
      </c>
      <c r="P3004" s="55" t="s">
        <v>18214</v>
      </c>
      <c r="Q3004" s="50">
        <v>116.0</v>
      </c>
      <c r="R3004" s="50">
        <v>899.0</v>
      </c>
      <c r="S3004" s="50" t="s">
        <v>1311</v>
      </c>
      <c r="T3004" s="56" t="s">
        <v>18215</v>
      </c>
      <c r="U3004" s="53" t="s">
        <v>18216</v>
      </c>
    </row>
    <row r="3005">
      <c r="A3005" s="54" t="s">
        <v>18217</v>
      </c>
      <c r="B3005" s="50" t="s">
        <v>15864</v>
      </c>
      <c r="C3005" s="51" t="s">
        <v>18218</v>
      </c>
      <c r="D3005" s="51"/>
      <c r="E3005" s="51"/>
      <c r="F3005" s="51"/>
      <c r="G3005" s="50" t="s">
        <v>18219</v>
      </c>
      <c r="H3005" s="52">
        <v>44682.94929398148</v>
      </c>
      <c r="I3005" s="50"/>
      <c r="J3005" s="50"/>
      <c r="K3005" s="50" t="s">
        <v>3317</v>
      </c>
      <c r="L3005" s="50" t="s">
        <v>3318</v>
      </c>
      <c r="M3005" s="50" t="s">
        <v>15867</v>
      </c>
      <c r="N3005" s="50" t="s">
        <v>3426</v>
      </c>
      <c r="O3005" s="53" t="s">
        <v>60</v>
      </c>
      <c r="P3005" s="55" t="s">
        <v>15868</v>
      </c>
      <c r="Q3005" s="50">
        <v>3024.0</v>
      </c>
      <c r="R3005" s="50">
        <v>2833.0</v>
      </c>
      <c r="S3005" s="50"/>
      <c r="T3005" s="56" t="s">
        <v>18220</v>
      </c>
      <c r="U3005" s="53" t="s">
        <v>18221</v>
      </c>
    </row>
    <row r="3006">
      <c r="A3006" s="54" t="s">
        <v>18222</v>
      </c>
      <c r="B3006" s="50" t="s">
        <v>18223</v>
      </c>
      <c r="C3006" s="51" t="s">
        <v>18033</v>
      </c>
      <c r="D3006" s="51"/>
      <c r="E3006" s="51"/>
      <c r="F3006" s="51"/>
      <c r="G3006" s="50" t="s">
        <v>18224</v>
      </c>
      <c r="H3006" s="52">
        <v>44682.94928240741</v>
      </c>
      <c r="I3006" s="50"/>
      <c r="J3006" s="50"/>
      <c r="K3006" s="50"/>
      <c r="L3006" s="50"/>
      <c r="M3006" s="50" t="s">
        <v>18225</v>
      </c>
      <c r="N3006" s="50"/>
      <c r="O3006" s="53" t="s">
        <v>217</v>
      </c>
      <c r="P3006" s="55" t="s">
        <v>18226</v>
      </c>
      <c r="Q3006" s="50">
        <v>4491.0</v>
      </c>
      <c r="R3006" s="50">
        <v>4921.0</v>
      </c>
      <c r="S3006" s="50" t="s">
        <v>11440</v>
      </c>
      <c r="T3006" s="56" t="s">
        <v>18227</v>
      </c>
      <c r="U3006" s="53" t="s">
        <v>18038</v>
      </c>
    </row>
    <row r="3007">
      <c r="A3007" s="54" t="s">
        <v>18228</v>
      </c>
      <c r="B3007" s="50" t="s">
        <v>17514</v>
      </c>
      <c r="C3007" s="51" t="s">
        <v>18229</v>
      </c>
      <c r="D3007" s="51"/>
      <c r="E3007" s="51"/>
      <c r="F3007" s="51"/>
      <c r="G3007" s="50" t="s">
        <v>18230</v>
      </c>
      <c r="H3007" s="52">
        <v>44682.94925925926</v>
      </c>
      <c r="I3007" s="50"/>
      <c r="J3007" s="50"/>
      <c r="K3007" s="50" t="s">
        <v>18231</v>
      </c>
      <c r="L3007" s="50" t="s">
        <v>18232</v>
      </c>
      <c r="M3007" s="50" t="s">
        <v>17519</v>
      </c>
      <c r="N3007" s="50" t="s">
        <v>18233</v>
      </c>
      <c r="O3007" s="53" t="s">
        <v>60</v>
      </c>
      <c r="P3007" s="55" t="s">
        <v>17521</v>
      </c>
      <c r="Q3007" s="50">
        <v>1289.0</v>
      </c>
      <c r="R3007" s="50">
        <v>1504.0</v>
      </c>
      <c r="S3007" s="50" t="s">
        <v>17522</v>
      </c>
      <c r="T3007" s="56" t="s">
        <v>18234</v>
      </c>
      <c r="U3007" s="53" t="s">
        <v>18235</v>
      </c>
    </row>
    <row r="3008">
      <c r="A3008" s="54" t="s">
        <v>18236</v>
      </c>
      <c r="B3008" s="50" t="s">
        <v>17858</v>
      </c>
      <c r="C3008" s="51" t="s">
        <v>367</v>
      </c>
      <c r="D3008" s="51"/>
      <c r="E3008" s="51"/>
      <c r="F3008" s="51"/>
      <c r="G3008" s="50" t="s">
        <v>18237</v>
      </c>
      <c r="H3008" s="52">
        <v>44682.94915509259</v>
      </c>
      <c r="I3008" s="50"/>
      <c r="J3008" s="50"/>
      <c r="K3008" s="50"/>
      <c r="L3008" s="50"/>
      <c r="M3008" s="50" t="s">
        <v>17860</v>
      </c>
      <c r="N3008" s="50"/>
      <c r="O3008" s="53" t="s">
        <v>60</v>
      </c>
      <c r="P3008" s="55" t="s">
        <v>17861</v>
      </c>
      <c r="Q3008" s="50">
        <v>14762.0</v>
      </c>
      <c r="R3008" s="50">
        <v>11655.0</v>
      </c>
      <c r="S3008" s="50" t="s">
        <v>17862</v>
      </c>
      <c r="T3008" s="56" t="s">
        <v>18238</v>
      </c>
      <c r="U3008" s="53" t="s">
        <v>370</v>
      </c>
    </row>
    <row r="3009">
      <c r="A3009" s="59"/>
      <c r="B3009" s="60"/>
      <c r="C3009" s="61"/>
      <c r="D3009" s="61"/>
      <c r="E3009" s="61"/>
      <c r="F3009" s="61"/>
      <c r="G3009" s="60"/>
      <c r="H3009" s="62"/>
      <c r="I3009" s="60"/>
      <c r="J3009" s="60"/>
      <c r="K3009" s="60"/>
      <c r="L3009" s="60"/>
      <c r="M3009" s="60"/>
      <c r="N3009" s="60"/>
      <c r="O3009" s="60"/>
      <c r="P3009" s="60"/>
      <c r="Q3009" s="60"/>
      <c r="R3009" s="60"/>
      <c r="S3009" s="63"/>
      <c r="T3009" s="63"/>
      <c r="U3009" s="60"/>
    </row>
  </sheetData>
  <dataValidations>
    <dataValidation type="list" allowBlank="1" sqref="D1:D3009">
      <formula1>"Leave,Remain,Silent"</formula1>
    </dataValidation>
    <dataValidation type="list" allowBlank="1" sqref="E1:E3009">
      <formula1>"Male,Female"</formula1>
    </dataValidation>
  </dataValidations>
  <hyperlinks>
    <hyperlink r:id="rId1" ref="P2"/>
    <hyperlink r:id="rId2" ref="T2"/>
    <hyperlink r:id="rId3" ref="P3"/>
    <hyperlink r:id="rId4" ref="T3"/>
    <hyperlink r:id="rId5" ref="P4"/>
    <hyperlink r:id="rId6" ref="T4"/>
    <hyperlink r:id="rId7" ref="P5"/>
    <hyperlink r:id="rId8" ref="T5"/>
    <hyperlink r:id="rId9" ref="P6"/>
    <hyperlink r:id="rId10" ref="T6"/>
    <hyperlink r:id="rId11" ref="P7"/>
    <hyperlink r:id="rId12" ref="T7"/>
    <hyperlink r:id="rId13" ref="P8"/>
    <hyperlink r:id="rId14" ref="T8"/>
    <hyperlink r:id="rId15" ref="P9"/>
    <hyperlink r:id="rId16" ref="T9"/>
    <hyperlink r:id="rId17" ref="P10"/>
    <hyperlink r:id="rId18" ref="T10"/>
    <hyperlink r:id="rId19" ref="P11"/>
    <hyperlink r:id="rId20" ref="T11"/>
    <hyperlink r:id="rId21" ref="P12"/>
    <hyperlink r:id="rId22" ref="T12"/>
    <hyperlink r:id="rId23" ref="P13"/>
    <hyperlink r:id="rId24" ref="T13"/>
    <hyperlink r:id="rId25" ref="P14"/>
    <hyperlink r:id="rId26" ref="T14"/>
    <hyperlink r:id="rId27" ref="P15"/>
    <hyperlink r:id="rId28" ref="T15"/>
    <hyperlink r:id="rId29" ref="P16"/>
    <hyperlink r:id="rId30" ref="T16"/>
    <hyperlink r:id="rId31" ref="P17"/>
    <hyperlink r:id="rId32" ref="T17"/>
    <hyperlink r:id="rId33" ref="P18"/>
    <hyperlink r:id="rId34" ref="T18"/>
    <hyperlink r:id="rId35" ref="P19"/>
    <hyperlink r:id="rId36" ref="T19"/>
    <hyperlink r:id="rId37" ref="P20"/>
    <hyperlink r:id="rId38" ref="T20"/>
    <hyperlink r:id="rId39" ref="P21"/>
    <hyperlink r:id="rId40" ref="T21"/>
    <hyperlink r:id="rId41" ref="P22"/>
    <hyperlink r:id="rId42" ref="T22"/>
    <hyperlink r:id="rId43" ref="P23"/>
    <hyperlink r:id="rId44" ref="T23"/>
    <hyperlink r:id="rId45" ref="P24"/>
    <hyperlink r:id="rId46" ref="T24"/>
    <hyperlink r:id="rId47" ref="P25"/>
    <hyperlink r:id="rId48" ref="T25"/>
    <hyperlink r:id="rId49" ref="P26"/>
    <hyperlink r:id="rId50" ref="T26"/>
    <hyperlink r:id="rId51" ref="P27"/>
    <hyperlink r:id="rId52" ref="T27"/>
    <hyperlink r:id="rId53" ref="P28"/>
    <hyperlink r:id="rId54" ref="T28"/>
    <hyperlink r:id="rId55" ref="P29"/>
    <hyperlink r:id="rId56" ref="T29"/>
    <hyperlink r:id="rId57" ref="P30"/>
    <hyperlink r:id="rId58" ref="T30"/>
    <hyperlink r:id="rId59" ref="P31"/>
    <hyperlink r:id="rId60" ref="T31"/>
    <hyperlink r:id="rId61" ref="P32"/>
    <hyperlink r:id="rId62" ref="T32"/>
    <hyperlink r:id="rId63" ref="P33"/>
    <hyperlink r:id="rId64" ref="T33"/>
    <hyperlink r:id="rId65" ref="P34"/>
    <hyperlink r:id="rId66" ref="T34"/>
    <hyperlink r:id="rId67" ref="P35"/>
    <hyperlink r:id="rId68" ref="T35"/>
    <hyperlink r:id="rId69" ref="P36"/>
    <hyperlink r:id="rId70" ref="T36"/>
    <hyperlink r:id="rId71" ref="P37"/>
    <hyperlink r:id="rId72" ref="T37"/>
    <hyperlink r:id="rId73" ref="P38"/>
    <hyperlink r:id="rId74" ref="T38"/>
    <hyperlink r:id="rId75" ref="P39"/>
    <hyperlink r:id="rId76" ref="T39"/>
    <hyperlink r:id="rId77" ref="P40"/>
    <hyperlink r:id="rId78" ref="T40"/>
    <hyperlink r:id="rId79" ref="P41"/>
    <hyperlink r:id="rId80" ref="T41"/>
    <hyperlink r:id="rId81" ref="P42"/>
    <hyperlink r:id="rId82" ref="T42"/>
    <hyperlink r:id="rId83" ref="P43"/>
    <hyperlink r:id="rId84" ref="T43"/>
    <hyperlink r:id="rId85" ref="P44"/>
    <hyperlink r:id="rId86" ref="T44"/>
    <hyperlink r:id="rId87" ref="P45"/>
    <hyperlink r:id="rId88" ref="T45"/>
    <hyperlink r:id="rId89" ref="P46"/>
    <hyperlink r:id="rId90" ref="T46"/>
    <hyperlink r:id="rId91" ref="P47"/>
    <hyperlink r:id="rId92" ref="T47"/>
    <hyperlink r:id="rId93" ref="P48"/>
    <hyperlink r:id="rId94" ref="T48"/>
    <hyperlink r:id="rId95" ref="P49"/>
    <hyperlink r:id="rId96" ref="T49"/>
    <hyperlink r:id="rId97" ref="P50"/>
    <hyperlink r:id="rId98" ref="T50"/>
    <hyperlink r:id="rId99" ref="P51"/>
    <hyperlink r:id="rId100" ref="T51"/>
    <hyperlink r:id="rId101" ref="P52"/>
    <hyperlink r:id="rId102" ref="T52"/>
    <hyperlink r:id="rId103" ref="P53"/>
    <hyperlink r:id="rId104" ref="T53"/>
    <hyperlink r:id="rId105" ref="P54"/>
    <hyperlink r:id="rId106" ref="T54"/>
    <hyperlink r:id="rId107" ref="P55"/>
    <hyperlink r:id="rId108" ref="T55"/>
    <hyperlink r:id="rId109" ref="P56"/>
    <hyperlink r:id="rId110" ref="T56"/>
    <hyperlink r:id="rId111" ref="P57"/>
    <hyperlink r:id="rId112" ref="T57"/>
    <hyperlink r:id="rId113" ref="P58"/>
    <hyperlink r:id="rId114" ref="T58"/>
    <hyperlink r:id="rId115" ref="P59"/>
    <hyperlink r:id="rId116" ref="T59"/>
    <hyperlink r:id="rId117" ref="P60"/>
    <hyperlink r:id="rId118" ref="T60"/>
    <hyperlink r:id="rId119" ref="P61"/>
    <hyperlink r:id="rId120" ref="T61"/>
    <hyperlink r:id="rId121" ref="P62"/>
    <hyperlink r:id="rId122" ref="T62"/>
    <hyperlink r:id="rId123" ref="P63"/>
    <hyperlink r:id="rId124" ref="T63"/>
    <hyperlink r:id="rId125" ref="P64"/>
    <hyperlink r:id="rId126" ref="T64"/>
    <hyperlink r:id="rId127" ref="P65"/>
    <hyperlink r:id="rId128" ref="T65"/>
    <hyperlink r:id="rId129" ref="P66"/>
    <hyperlink r:id="rId130" ref="T66"/>
    <hyperlink r:id="rId131" ref="P67"/>
    <hyperlink r:id="rId132" ref="T67"/>
    <hyperlink r:id="rId133" ref="P68"/>
    <hyperlink r:id="rId134" ref="T68"/>
    <hyperlink r:id="rId135" ref="P69"/>
    <hyperlink r:id="rId136" ref="T69"/>
    <hyperlink r:id="rId137" ref="P70"/>
    <hyperlink r:id="rId138" ref="T70"/>
    <hyperlink r:id="rId139" ref="P71"/>
    <hyperlink r:id="rId140" ref="T71"/>
    <hyperlink r:id="rId141" ref="P72"/>
    <hyperlink r:id="rId142" ref="T72"/>
    <hyperlink r:id="rId143" ref="P73"/>
    <hyperlink r:id="rId144" ref="T73"/>
    <hyperlink r:id="rId145" ref="P74"/>
    <hyperlink r:id="rId146" ref="T74"/>
    <hyperlink r:id="rId147" ref="P75"/>
    <hyperlink r:id="rId148" ref="T75"/>
    <hyperlink r:id="rId149" ref="P76"/>
    <hyperlink r:id="rId150" ref="T76"/>
    <hyperlink r:id="rId151" ref="P77"/>
    <hyperlink r:id="rId152" ref="T77"/>
    <hyperlink r:id="rId153" ref="P78"/>
    <hyperlink r:id="rId154" ref="T78"/>
    <hyperlink r:id="rId155" ref="P79"/>
    <hyperlink r:id="rId156" ref="T79"/>
    <hyperlink r:id="rId157" ref="P80"/>
    <hyperlink r:id="rId158" ref="T80"/>
    <hyperlink r:id="rId159" ref="P81"/>
    <hyperlink r:id="rId160" ref="T81"/>
    <hyperlink r:id="rId161" ref="P82"/>
    <hyperlink r:id="rId162" ref="T82"/>
    <hyperlink r:id="rId163" ref="P83"/>
    <hyperlink r:id="rId164" ref="T83"/>
    <hyperlink r:id="rId165" ref="P84"/>
    <hyperlink r:id="rId166" ref="T84"/>
    <hyperlink r:id="rId167" ref="P85"/>
    <hyperlink r:id="rId168" ref="T85"/>
    <hyperlink r:id="rId169" ref="P86"/>
    <hyperlink r:id="rId170" ref="T86"/>
    <hyperlink r:id="rId171" ref="P87"/>
    <hyperlink r:id="rId172" ref="T87"/>
    <hyperlink r:id="rId173" ref="P88"/>
    <hyperlink r:id="rId174" ref="T88"/>
    <hyperlink r:id="rId175" ref="P89"/>
    <hyperlink r:id="rId176" ref="T89"/>
    <hyperlink r:id="rId177" ref="P90"/>
    <hyperlink r:id="rId178" ref="T90"/>
    <hyperlink r:id="rId179" ref="P91"/>
    <hyperlink r:id="rId180" ref="T91"/>
    <hyperlink r:id="rId181" ref="P92"/>
    <hyperlink r:id="rId182" ref="T92"/>
    <hyperlink r:id="rId183" ref="P93"/>
    <hyperlink r:id="rId184" ref="T93"/>
    <hyperlink r:id="rId185" ref="P94"/>
    <hyperlink r:id="rId186" ref="T94"/>
    <hyperlink r:id="rId187" ref="P95"/>
    <hyperlink r:id="rId188" ref="T95"/>
    <hyperlink r:id="rId189" ref="P96"/>
    <hyperlink r:id="rId190" ref="T96"/>
    <hyperlink r:id="rId191" ref="P97"/>
    <hyperlink r:id="rId192" ref="T97"/>
    <hyperlink r:id="rId193" ref="P98"/>
    <hyperlink r:id="rId194" ref="T98"/>
    <hyperlink r:id="rId195" ref="P99"/>
    <hyperlink r:id="rId196" ref="T99"/>
    <hyperlink r:id="rId197" ref="P100"/>
    <hyperlink r:id="rId198" ref="T100"/>
    <hyperlink r:id="rId199" ref="P101"/>
    <hyperlink r:id="rId200" ref="T101"/>
    <hyperlink r:id="rId201" ref="P102"/>
    <hyperlink r:id="rId202" ref="T102"/>
    <hyperlink r:id="rId203" ref="P103"/>
    <hyperlink r:id="rId204" ref="T103"/>
    <hyperlink r:id="rId205" ref="P104"/>
    <hyperlink r:id="rId206" ref="T104"/>
    <hyperlink r:id="rId207" ref="P105"/>
    <hyperlink r:id="rId208" ref="T105"/>
    <hyperlink r:id="rId209" ref="P106"/>
    <hyperlink r:id="rId210" ref="T106"/>
    <hyperlink r:id="rId211" ref="P107"/>
    <hyperlink r:id="rId212" ref="T107"/>
    <hyperlink r:id="rId213" ref="P108"/>
    <hyperlink r:id="rId214" ref="T108"/>
    <hyperlink r:id="rId215" ref="P109"/>
    <hyperlink r:id="rId216" ref="T109"/>
    <hyperlink r:id="rId217" ref="P110"/>
    <hyperlink r:id="rId218" ref="T110"/>
    <hyperlink r:id="rId219" ref="P111"/>
    <hyperlink r:id="rId220" ref="T111"/>
    <hyperlink r:id="rId221" ref="P112"/>
    <hyperlink r:id="rId222" ref="T112"/>
    <hyperlink r:id="rId223" ref="P113"/>
    <hyperlink r:id="rId224" ref="T113"/>
    <hyperlink r:id="rId225" ref="P114"/>
    <hyperlink r:id="rId226" ref="T114"/>
    <hyperlink r:id="rId227" ref="P115"/>
    <hyperlink r:id="rId228" ref="T115"/>
    <hyperlink r:id="rId229" ref="P116"/>
    <hyperlink r:id="rId230" ref="T116"/>
    <hyperlink r:id="rId231" ref="P117"/>
    <hyperlink r:id="rId232" ref="T117"/>
    <hyperlink r:id="rId233" ref="P118"/>
    <hyperlink r:id="rId234" ref="T118"/>
    <hyperlink r:id="rId235" ref="P119"/>
    <hyperlink r:id="rId236" ref="T119"/>
    <hyperlink r:id="rId237" ref="P120"/>
    <hyperlink r:id="rId238" ref="T120"/>
    <hyperlink r:id="rId239" ref="P121"/>
    <hyperlink r:id="rId240" ref="T121"/>
    <hyperlink r:id="rId241" ref="P122"/>
    <hyperlink r:id="rId242" ref="T122"/>
    <hyperlink r:id="rId243" ref="P123"/>
    <hyperlink r:id="rId244" ref="T123"/>
    <hyperlink r:id="rId245" ref="P124"/>
    <hyperlink r:id="rId246" ref="T124"/>
    <hyperlink r:id="rId247" ref="P125"/>
    <hyperlink r:id="rId248" ref="T125"/>
    <hyperlink r:id="rId249" ref="P126"/>
    <hyperlink r:id="rId250" ref="T126"/>
    <hyperlink r:id="rId251" ref="P127"/>
    <hyperlink r:id="rId252" ref="T127"/>
    <hyperlink r:id="rId253" ref="P128"/>
    <hyperlink r:id="rId254" ref="T128"/>
    <hyperlink r:id="rId255" ref="P129"/>
    <hyperlink r:id="rId256" ref="T129"/>
    <hyperlink r:id="rId257" ref="P130"/>
    <hyperlink r:id="rId258" ref="T130"/>
    <hyperlink r:id="rId259" ref="P131"/>
    <hyperlink r:id="rId260" ref="T131"/>
    <hyperlink r:id="rId261" ref="P132"/>
    <hyperlink r:id="rId262" ref="T132"/>
    <hyperlink r:id="rId263" ref="P133"/>
    <hyperlink r:id="rId264" ref="T133"/>
    <hyperlink r:id="rId265" ref="P134"/>
    <hyperlink r:id="rId266" ref="T134"/>
    <hyperlink r:id="rId267" ref="P135"/>
    <hyperlink r:id="rId268" ref="T135"/>
    <hyperlink r:id="rId269" ref="P136"/>
    <hyperlink r:id="rId270" ref="T136"/>
    <hyperlink r:id="rId271" ref="P137"/>
    <hyperlink r:id="rId272" ref="T137"/>
    <hyperlink r:id="rId273" ref="P138"/>
    <hyperlink r:id="rId274" ref="T138"/>
    <hyperlink r:id="rId275" ref="P139"/>
    <hyperlink r:id="rId276" ref="T139"/>
    <hyperlink r:id="rId277" ref="P140"/>
    <hyperlink r:id="rId278" ref="T140"/>
    <hyperlink r:id="rId279" ref="P141"/>
    <hyperlink r:id="rId280" ref="T141"/>
    <hyperlink r:id="rId281" ref="P142"/>
    <hyperlink r:id="rId282" ref="T142"/>
    <hyperlink r:id="rId283" ref="P143"/>
    <hyperlink r:id="rId284" ref="T143"/>
    <hyperlink r:id="rId285" ref="P144"/>
    <hyperlink r:id="rId286" ref="T144"/>
    <hyperlink r:id="rId287" ref="P145"/>
    <hyperlink r:id="rId288" ref="T145"/>
    <hyperlink r:id="rId289" ref="P146"/>
    <hyperlink r:id="rId290" ref="T146"/>
    <hyperlink r:id="rId291" ref="P147"/>
    <hyperlink r:id="rId292" ref="T147"/>
    <hyperlink r:id="rId293" ref="P148"/>
    <hyperlink r:id="rId294" ref="T148"/>
    <hyperlink r:id="rId295" ref="P149"/>
    <hyperlink r:id="rId296" ref="T149"/>
    <hyperlink r:id="rId297" ref="P150"/>
    <hyperlink r:id="rId298" ref="T150"/>
    <hyperlink r:id="rId299" ref="P151"/>
    <hyperlink r:id="rId300" ref="T151"/>
    <hyperlink r:id="rId301" ref="P152"/>
    <hyperlink r:id="rId302" ref="T152"/>
    <hyperlink r:id="rId303" ref="P153"/>
    <hyperlink r:id="rId304" ref="T153"/>
    <hyperlink r:id="rId305" ref="P154"/>
    <hyperlink r:id="rId306" ref="T154"/>
    <hyperlink r:id="rId307" ref="P155"/>
    <hyperlink r:id="rId308" ref="T155"/>
    <hyperlink r:id="rId309" ref="P156"/>
    <hyperlink r:id="rId310" ref="T156"/>
    <hyperlink r:id="rId311" ref="P157"/>
    <hyperlink r:id="rId312" ref="T157"/>
    <hyperlink r:id="rId313" ref="P158"/>
    <hyperlink r:id="rId314" ref="T158"/>
    <hyperlink r:id="rId315" ref="P159"/>
    <hyperlink r:id="rId316" ref="T159"/>
    <hyperlink r:id="rId317" ref="P160"/>
    <hyperlink r:id="rId318" ref="T160"/>
    <hyperlink r:id="rId319" ref="P161"/>
    <hyperlink r:id="rId320" ref="T161"/>
    <hyperlink r:id="rId321" ref="P162"/>
    <hyperlink r:id="rId322" ref="T162"/>
    <hyperlink r:id="rId323" ref="P163"/>
    <hyperlink r:id="rId324" ref="T163"/>
    <hyperlink r:id="rId325" ref="P164"/>
    <hyperlink r:id="rId326" ref="T164"/>
    <hyperlink r:id="rId327" ref="P165"/>
    <hyperlink r:id="rId328" ref="T165"/>
    <hyperlink r:id="rId329" ref="P166"/>
    <hyperlink r:id="rId330" ref="T166"/>
    <hyperlink r:id="rId331" ref="P167"/>
    <hyperlink r:id="rId332" ref="T167"/>
    <hyperlink r:id="rId333" ref="P168"/>
    <hyperlink r:id="rId334" ref="T168"/>
    <hyperlink r:id="rId335" ref="P169"/>
    <hyperlink r:id="rId336" ref="T169"/>
    <hyperlink r:id="rId337" ref="P170"/>
    <hyperlink r:id="rId338" ref="T170"/>
    <hyperlink r:id="rId339" ref="P171"/>
    <hyperlink r:id="rId340" ref="T171"/>
    <hyperlink r:id="rId341" ref="P172"/>
    <hyperlink r:id="rId342" ref="T172"/>
    <hyperlink r:id="rId343" ref="P173"/>
    <hyperlink r:id="rId344" ref="T173"/>
    <hyperlink r:id="rId345" ref="P174"/>
    <hyperlink r:id="rId346" ref="T174"/>
    <hyperlink r:id="rId347" ref="P175"/>
    <hyperlink r:id="rId348" ref="T175"/>
    <hyperlink r:id="rId349" ref="P176"/>
    <hyperlink r:id="rId350" ref="T176"/>
    <hyperlink r:id="rId351" ref="P177"/>
    <hyperlink r:id="rId352" ref="T177"/>
    <hyperlink r:id="rId353" ref="P178"/>
    <hyperlink r:id="rId354" ref="T178"/>
    <hyperlink r:id="rId355" ref="P179"/>
    <hyperlink r:id="rId356" ref="T179"/>
    <hyperlink r:id="rId357" ref="P180"/>
    <hyperlink r:id="rId358" ref="T180"/>
    <hyperlink r:id="rId359" ref="P181"/>
    <hyperlink r:id="rId360" ref="T181"/>
    <hyperlink r:id="rId361" ref="P182"/>
    <hyperlink r:id="rId362" ref="T182"/>
    <hyperlink r:id="rId363" ref="P183"/>
    <hyperlink r:id="rId364" ref="T183"/>
    <hyperlink r:id="rId365" ref="P184"/>
    <hyperlink r:id="rId366" ref="T184"/>
    <hyperlink r:id="rId367" ref="P185"/>
    <hyperlink r:id="rId368" ref="T185"/>
    <hyperlink r:id="rId369" ref="P186"/>
    <hyperlink r:id="rId370" ref="T186"/>
    <hyperlink r:id="rId371" ref="P187"/>
    <hyperlink r:id="rId372" ref="T187"/>
    <hyperlink r:id="rId373" ref="P188"/>
    <hyperlink r:id="rId374" ref="T188"/>
    <hyperlink r:id="rId375" ref="P189"/>
    <hyperlink r:id="rId376" ref="T189"/>
    <hyperlink r:id="rId377" ref="P190"/>
    <hyperlink r:id="rId378" ref="T190"/>
    <hyperlink r:id="rId379" ref="P191"/>
    <hyperlink r:id="rId380" ref="T191"/>
    <hyperlink r:id="rId381" ref="P192"/>
    <hyperlink r:id="rId382" ref="T192"/>
    <hyperlink r:id="rId383" ref="P193"/>
    <hyperlink r:id="rId384" ref="T193"/>
    <hyperlink r:id="rId385" ref="P194"/>
    <hyperlink r:id="rId386" ref="T194"/>
    <hyperlink r:id="rId387" ref="P195"/>
    <hyperlink r:id="rId388" ref="T195"/>
    <hyperlink r:id="rId389" ref="P196"/>
    <hyperlink r:id="rId390" ref="T196"/>
    <hyperlink r:id="rId391" ref="P197"/>
    <hyperlink r:id="rId392" ref="T197"/>
    <hyperlink r:id="rId393" ref="P198"/>
    <hyperlink r:id="rId394" ref="T198"/>
    <hyperlink r:id="rId395" ref="P199"/>
    <hyperlink r:id="rId396" ref="T199"/>
    <hyperlink r:id="rId397" ref="P200"/>
    <hyperlink r:id="rId398" ref="T200"/>
    <hyperlink r:id="rId399" ref="P201"/>
    <hyperlink r:id="rId400" ref="T201"/>
    <hyperlink r:id="rId401" ref="P202"/>
    <hyperlink r:id="rId402" ref="T202"/>
    <hyperlink r:id="rId403" ref="P203"/>
    <hyperlink r:id="rId404" ref="T203"/>
    <hyperlink r:id="rId405" ref="P204"/>
    <hyperlink r:id="rId406" ref="T204"/>
    <hyperlink r:id="rId407" ref="P205"/>
    <hyperlink r:id="rId408" ref="T205"/>
    <hyperlink r:id="rId409" ref="P206"/>
    <hyperlink r:id="rId410" ref="T206"/>
    <hyperlink r:id="rId411" ref="P207"/>
    <hyperlink r:id="rId412" ref="T207"/>
    <hyperlink r:id="rId413" ref="P208"/>
    <hyperlink r:id="rId414" ref="T208"/>
    <hyperlink r:id="rId415" ref="P209"/>
    <hyperlink r:id="rId416" ref="T209"/>
    <hyperlink r:id="rId417" ref="P210"/>
    <hyperlink r:id="rId418" ref="T210"/>
    <hyperlink r:id="rId419" ref="P211"/>
    <hyperlink r:id="rId420" ref="T211"/>
    <hyperlink r:id="rId421" ref="P212"/>
    <hyperlink r:id="rId422" ref="T212"/>
    <hyperlink r:id="rId423" ref="P213"/>
    <hyperlink r:id="rId424" ref="T213"/>
    <hyperlink r:id="rId425" ref="P214"/>
    <hyperlink r:id="rId426" ref="T214"/>
    <hyperlink r:id="rId427" ref="P215"/>
    <hyperlink r:id="rId428" ref="T215"/>
    <hyperlink r:id="rId429" ref="P216"/>
    <hyperlink r:id="rId430" ref="T216"/>
    <hyperlink r:id="rId431" ref="P217"/>
    <hyperlink r:id="rId432" ref="T217"/>
    <hyperlink r:id="rId433" ref="P218"/>
    <hyperlink r:id="rId434" ref="T218"/>
    <hyperlink r:id="rId435" ref="P219"/>
    <hyperlink r:id="rId436" ref="T219"/>
    <hyperlink r:id="rId437" ref="P220"/>
    <hyperlink r:id="rId438" ref="T220"/>
    <hyperlink r:id="rId439" ref="P221"/>
    <hyperlink r:id="rId440" ref="T221"/>
    <hyperlink r:id="rId441" ref="P222"/>
    <hyperlink r:id="rId442" ref="T222"/>
    <hyperlink r:id="rId443" ref="P223"/>
    <hyperlink r:id="rId444" ref="T223"/>
    <hyperlink r:id="rId445" ref="P224"/>
    <hyperlink r:id="rId446" ref="T224"/>
    <hyperlink r:id="rId447" ref="P225"/>
    <hyperlink r:id="rId448" ref="T225"/>
    <hyperlink r:id="rId449" ref="P226"/>
    <hyperlink r:id="rId450" ref="T226"/>
    <hyperlink r:id="rId451" ref="P227"/>
    <hyperlink r:id="rId452" ref="T227"/>
    <hyperlink r:id="rId453" ref="P228"/>
    <hyperlink r:id="rId454" ref="T228"/>
    <hyperlink r:id="rId455" ref="P229"/>
    <hyperlink r:id="rId456" ref="T229"/>
    <hyperlink r:id="rId457" ref="P230"/>
    <hyperlink r:id="rId458" ref="T230"/>
    <hyperlink r:id="rId459" ref="P231"/>
    <hyperlink r:id="rId460" ref="T231"/>
    <hyperlink r:id="rId461" ref="P232"/>
    <hyperlink r:id="rId462" ref="T232"/>
    <hyperlink r:id="rId463" ref="P233"/>
    <hyperlink r:id="rId464" ref="T233"/>
    <hyperlink r:id="rId465" ref="P234"/>
    <hyperlink r:id="rId466" ref="T234"/>
    <hyperlink r:id="rId467" ref="P235"/>
    <hyperlink r:id="rId468" ref="T235"/>
    <hyperlink r:id="rId469" ref="P236"/>
    <hyperlink r:id="rId470" ref="T236"/>
    <hyperlink r:id="rId471" ref="P237"/>
    <hyperlink r:id="rId472" ref="T237"/>
    <hyperlink r:id="rId473" ref="P238"/>
    <hyperlink r:id="rId474" ref="T238"/>
    <hyperlink r:id="rId475" ref="P239"/>
    <hyperlink r:id="rId476" ref="T239"/>
    <hyperlink r:id="rId477" ref="P240"/>
    <hyperlink r:id="rId478" ref="T240"/>
    <hyperlink r:id="rId479" ref="P241"/>
    <hyperlink r:id="rId480" ref="T241"/>
    <hyperlink r:id="rId481" ref="P242"/>
    <hyperlink r:id="rId482" ref="T242"/>
    <hyperlink r:id="rId483" ref="P243"/>
    <hyperlink r:id="rId484" ref="T243"/>
    <hyperlink r:id="rId485" ref="P244"/>
    <hyperlink r:id="rId486" ref="T244"/>
    <hyperlink r:id="rId487" ref="P245"/>
    <hyperlink r:id="rId488" ref="T245"/>
    <hyperlink r:id="rId489" ref="P246"/>
    <hyperlink r:id="rId490" ref="T246"/>
    <hyperlink r:id="rId491" ref="P247"/>
    <hyperlink r:id="rId492" ref="T247"/>
    <hyperlink r:id="rId493" ref="P248"/>
    <hyperlink r:id="rId494" ref="T248"/>
    <hyperlink r:id="rId495" ref="P249"/>
    <hyperlink r:id="rId496" ref="T249"/>
    <hyperlink r:id="rId497" ref="P250"/>
    <hyperlink r:id="rId498" ref="T250"/>
    <hyperlink r:id="rId499" ref="P251"/>
    <hyperlink r:id="rId500" ref="T251"/>
    <hyperlink r:id="rId501" ref="P252"/>
    <hyperlink r:id="rId502" ref="T252"/>
    <hyperlink r:id="rId503" ref="P253"/>
    <hyperlink r:id="rId504" ref="T253"/>
    <hyperlink r:id="rId505" ref="P254"/>
    <hyperlink r:id="rId506" ref="T254"/>
    <hyperlink r:id="rId507" ref="P255"/>
    <hyperlink r:id="rId508" ref="T255"/>
    <hyperlink r:id="rId509" ref="P256"/>
    <hyperlink r:id="rId510" ref="T256"/>
    <hyperlink r:id="rId511" ref="P257"/>
    <hyperlink r:id="rId512" ref="T257"/>
    <hyperlink r:id="rId513" ref="P258"/>
    <hyperlink r:id="rId514" ref="T258"/>
    <hyperlink r:id="rId515" ref="P259"/>
    <hyperlink r:id="rId516" ref="T259"/>
    <hyperlink r:id="rId517" ref="P260"/>
    <hyperlink r:id="rId518" ref="T260"/>
    <hyperlink r:id="rId519" ref="P261"/>
    <hyperlink r:id="rId520" ref="T261"/>
    <hyperlink r:id="rId521" ref="P262"/>
    <hyperlink r:id="rId522" ref="T262"/>
    <hyperlink r:id="rId523" ref="P263"/>
    <hyperlink r:id="rId524" ref="T263"/>
    <hyperlink r:id="rId525" ref="P264"/>
    <hyperlink r:id="rId526" ref="T264"/>
    <hyperlink r:id="rId527" ref="P265"/>
    <hyperlink r:id="rId528" ref="T265"/>
    <hyperlink r:id="rId529" ref="P266"/>
    <hyperlink r:id="rId530" ref="T266"/>
    <hyperlink r:id="rId531" ref="P267"/>
    <hyperlink r:id="rId532" ref="T267"/>
    <hyperlink r:id="rId533" ref="P268"/>
    <hyperlink r:id="rId534" ref="T268"/>
    <hyperlink r:id="rId535" ref="P269"/>
    <hyperlink r:id="rId536" ref="T269"/>
    <hyperlink r:id="rId537" ref="P270"/>
    <hyperlink r:id="rId538" ref="T270"/>
    <hyperlink r:id="rId539" ref="P271"/>
    <hyperlink r:id="rId540" ref="T271"/>
    <hyperlink r:id="rId541" ref="P272"/>
    <hyperlink r:id="rId542" ref="T272"/>
    <hyperlink r:id="rId543" ref="P273"/>
    <hyperlink r:id="rId544" ref="T273"/>
    <hyperlink r:id="rId545" ref="P274"/>
    <hyperlink r:id="rId546" ref="T274"/>
    <hyperlink r:id="rId547" ref="P275"/>
    <hyperlink r:id="rId548" ref="T275"/>
    <hyperlink r:id="rId549" ref="P276"/>
    <hyperlink r:id="rId550" ref="T276"/>
    <hyperlink r:id="rId551" ref="P277"/>
    <hyperlink r:id="rId552" ref="T277"/>
    <hyperlink r:id="rId553" ref="P278"/>
    <hyperlink r:id="rId554" ref="T278"/>
    <hyperlink r:id="rId555" ref="P279"/>
    <hyperlink r:id="rId556" ref="T279"/>
    <hyperlink r:id="rId557" ref="P280"/>
    <hyperlink r:id="rId558" ref="T280"/>
    <hyperlink r:id="rId559" ref="P281"/>
    <hyperlink r:id="rId560" ref="T281"/>
    <hyperlink r:id="rId561" ref="P282"/>
    <hyperlink r:id="rId562" ref="T282"/>
    <hyperlink r:id="rId563" ref="P283"/>
    <hyperlink r:id="rId564" ref="T283"/>
    <hyperlink r:id="rId565" ref="P284"/>
    <hyperlink r:id="rId566" ref="T284"/>
    <hyperlink r:id="rId567" ref="P285"/>
    <hyperlink r:id="rId568" ref="T285"/>
    <hyperlink r:id="rId569" ref="P286"/>
    <hyperlink r:id="rId570" ref="T286"/>
    <hyperlink r:id="rId571" ref="P287"/>
    <hyperlink r:id="rId572" ref="T287"/>
    <hyperlink r:id="rId573" ref="P288"/>
    <hyperlink r:id="rId574" ref="T288"/>
    <hyperlink r:id="rId575" ref="P289"/>
    <hyperlink r:id="rId576" ref="T289"/>
    <hyperlink r:id="rId577" ref="P290"/>
    <hyperlink r:id="rId578" ref="T290"/>
    <hyperlink r:id="rId579" ref="P291"/>
    <hyperlink r:id="rId580" ref="T291"/>
    <hyperlink r:id="rId581" ref="P292"/>
    <hyperlink r:id="rId582" ref="T292"/>
    <hyperlink r:id="rId583" ref="P293"/>
    <hyperlink r:id="rId584" ref="T293"/>
    <hyperlink r:id="rId585" ref="P294"/>
    <hyperlink r:id="rId586" ref="T294"/>
    <hyperlink r:id="rId587" ref="P295"/>
    <hyperlink r:id="rId588" ref="T295"/>
    <hyperlink r:id="rId589" ref="P296"/>
    <hyperlink r:id="rId590" ref="T296"/>
    <hyperlink r:id="rId591" ref="P297"/>
    <hyperlink r:id="rId592" ref="T297"/>
    <hyperlink r:id="rId593" ref="P298"/>
    <hyperlink r:id="rId594" ref="T298"/>
    <hyperlink r:id="rId595" ref="P299"/>
    <hyperlink r:id="rId596" ref="T299"/>
    <hyperlink r:id="rId597" ref="P300"/>
    <hyperlink r:id="rId598" ref="T300"/>
    <hyperlink r:id="rId599" ref="P301"/>
    <hyperlink r:id="rId600" ref="T301"/>
    <hyperlink r:id="rId601" ref="P302"/>
    <hyperlink r:id="rId602" ref="T302"/>
    <hyperlink r:id="rId603" ref="P303"/>
    <hyperlink r:id="rId604" ref="T303"/>
    <hyperlink r:id="rId605" ref="P304"/>
    <hyperlink r:id="rId606" ref="T304"/>
    <hyperlink r:id="rId607" ref="P305"/>
    <hyperlink r:id="rId608" ref="T305"/>
    <hyperlink r:id="rId609" ref="P306"/>
    <hyperlink r:id="rId610" ref="T306"/>
    <hyperlink r:id="rId611" ref="P307"/>
    <hyperlink r:id="rId612" ref="T307"/>
    <hyperlink r:id="rId613" ref="P308"/>
    <hyperlink r:id="rId614" ref="T308"/>
    <hyperlink r:id="rId615" ref="P309"/>
    <hyperlink r:id="rId616" ref="T309"/>
    <hyperlink r:id="rId617" ref="P310"/>
    <hyperlink r:id="rId618" ref="T310"/>
    <hyperlink r:id="rId619" ref="P311"/>
    <hyperlink r:id="rId620" ref="T311"/>
    <hyperlink r:id="rId621" ref="P312"/>
    <hyperlink r:id="rId622" ref="T312"/>
    <hyperlink r:id="rId623" ref="P313"/>
    <hyperlink r:id="rId624" ref="T313"/>
    <hyperlink r:id="rId625" ref="P314"/>
    <hyperlink r:id="rId626" ref="T314"/>
    <hyperlink r:id="rId627" ref="P315"/>
    <hyperlink r:id="rId628" ref="T315"/>
    <hyperlink r:id="rId629" ref="P316"/>
    <hyperlink r:id="rId630" ref="T316"/>
    <hyperlink r:id="rId631" ref="P317"/>
    <hyperlink r:id="rId632" ref="T317"/>
    <hyperlink r:id="rId633" ref="P318"/>
    <hyperlink r:id="rId634" ref="T318"/>
    <hyperlink r:id="rId635" ref="P319"/>
    <hyperlink r:id="rId636" ref="T319"/>
    <hyperlink r:id="rId637" ref="P320"/>
    <hyperlink r:id="rId638" ref="T320"/>
    <hyperlink r:id="rId639" ref="P321"/>
    <hyperlink r:id="rId640" ref="T321"/>
    <hyperlink r:id="rId641" ref="P322"/>
    <hyperlink r:id="rId642" ref="T322"/>
    <hyperlink r:id="rId643" ref="P323"/>
    <hyperlink r:id="rId644" ref="T323"/>
    <hyperlink r:id="rId645" ref="P324"/>
    <hyperlink r:id="rId646" ref="T324"/>
    <hyperlink r:id="rId647" ref="P325"/>
    <hyperlink r:id="rId648" ref="T325"/>
    <hyperlink r:id="rId649" ref="P326"/>
    <hyperlink r:id="rId650" ref="T326"/>
    <hyperlink r:id="rId651" ref="P327"/>
    <hyperlink r:id="rId652" ref="T327"/>
    <hyperlink r:id="rId653" ref="P328"/>
    <hyperlink r:id="rId654" ref="T328"/>
    <hyperlink r:id="rId655" ref="P329"/>
    <hyperlink r:id="rId656" ref="T329"/>
    <hyperlink r:id="rId657" ref="P330"/>
    <hyperlink r:id="rId658" ref="T330"/>
    <hyperlink r:id="rId659" ref="P331"/>
    <hyperlink r:id="rId660" ref="T331"/>
    <hyperlink r:id="rId661" ref="P332"/>
    <hyperlink r:id="rId662" ref="T332"/>
    <hyperlink r:id="rId663" ref="P333"/>
    <hyperlink r:id="rId664" ref="T333"/>
    <hyperlink r:id="rId665" ref="P334"/>
    <hyperlink r:id="rId666" ref="T334"/>
    <hyperlink r:id="rId667" ref="P335"/>
    <hyperlink r:id="rId668" ref="T335"/>
    <hyperlink r:id="rId669" ref="P336"/>
    <hyperlink r:id="rId670" ref="T336"/>
    <hyperlink r:id="rId671" ref="P337"/>
    <hyperlink r:id="rId672" ref="T337"/>
    <hyperlink r:id="rId673" ref="P338"/>
    <hyperlink r:id="rId674" ref="T338"/>
    <hyperlink r:id="rId675" ref="P339"/>
    <hyperlink r:id="rId676" ref="T339"/>
    <hyperlink r:id="rId677" ref="P340"/>
    <hyperlink r:id="rId678" ref="T340"/>
    <hyperlink r:id="rId679" ref="P341"/>
    <hyperlink r:id="rId680" ref="T341"/>
    <hyperlink r:id="rId681" ref="P342"/>
    <hyperlink r:id="rId682" ref="T342"/>
    <hyperlink r:id="rId683" ref="P343"/>
    <hyperlink r:id="rId684" ref="T343"/>
    <hyperlink r:id="rId685" ref="P344"/>
    <hyperlink r:id="rId686" ref="T344"/>
    <hyperlink r:id="rId687" ref="P345"/>
    <hyperlink r:id="rId688" ref="T345"/>
    <hyperlink r:id="rId689" ref="P346"/>
    <hyperlink r:id="rId690" ref="T346"/>
    <hyperlink r:id="rId691" ref="P347"/>
    <hyperlink r:id="rId692" ref="T347"/>
    <hyperlink r:id="rId693" ref="P348"/>
    <hyperlink r:id="rId694" ref="T348"/>
    <hyperlink r:id="rId695" ref="P349"/>
    <hyperlink r:id="rId696" ref="T349"/>
    <hyperlink r:id="rId697" ref="P350"/>
    <hyperlink r:id="rId698" ref="T350"/>
    <hyperlink r:id="rId699" ref="P351"/>
    <hyperlink r:id="rId700" ref="T351"/>
    <hyperlink r:id="rId701" ref="P352"/>
    <hyperlink r:id="rId702" ref="T352"/>
    <hyperlink r:id="rId703" ref="P353"/>
    <hyperlink r:id="rId704" ref="T353"/>
    <hyperlink r:id="rId705" ref="P354"/>
    <hyperlink r:id="rId706" ref="T354"/>
    <hyperlink r:id="rId707" ref="P355"/>
    <hyperlink r:id="rId708" ref="T355"/>
    <hyperlink r:id="rId709" ref="P356"/>
    <hyperlink r:id="rId710" ref="T356"/>
    <hyperlink r:id="rId711" ref="P357"/>
    <hyperlink r:id="rId712" ref="T357"/>
    <hyperlink r:id="rId713" ref="P358"/>
    <hyperlink r:id="rId714" ref="T358"/>
    <hyperlink r:id="rId715" ref="P359"/>
    <hyperlink r:id="rId716" ref="T359"/>
    <hyperlink r:id="rId717" ref="P360"/>
    <hyperlink r:id="rId718" ref="T360"/>
    <hyperlink r:id="rId719" ref="P361"/>
    <hyperlink r:id="rId720" ref="T361"/>
    <hyperlink r:id="rId721" ref="P362"/>
    <hyperlink r:id="rId722" ref="T362"/>
    <hyperlink r:id="rId723" ref="P363"/>
    <hyperlink r:id="rId724" ref="T363"/>
    <hyperlink r:id="rId725" ref="P364"/>
    <hyperlink r:id="rId726" ref="T364"/>
    <hyperlink r:id="rId727" ref="P365"/>
    <hyperlink r:id="rId728" ref="T365"/>
    <hyperlink r:id="rId729" ref="P366"/>
    <hyperlink r:id="rId730" ref="T366"/>
    <hyperlink r:id="rId731" ref="P367"/>
    <hyperlink r:id="rId732" ref="T367"/>
    <hyperlink r:id="rId733" ref="P368"/>
    <hyperlink r:id="rId734" ref="T368"/>
    <hyperlink r:id="rId735" ref="P369"/>
    <hyperlink r:id="rId736" ref="T369"/>
    <hyperlink r:id="rId737" ref="P370"/>
    <hyperlink r:id="rId738" ref="T370"/>
    <hyperlink r:id="rId739" ref="P371"/>
    <hyperlink r:id="rId740" ref="T371"/>
    <hyperlink r:id="rId741" ref="P372"/>
    <hyperlink r:id="rId742" ref="T372"/>
    <hyperlink r:id="rId743" ref="P373"/>
    <hyperlink r:id="rId744" ref="T373"/>
    <hyperlink r:id="rId745" ref="P374"/>
    <hyperlink r:id="rId746" ref="T374"/>
    <hyperlink r:id="rId747" ref="P375"/>
    <hyperlink r:id="rId748" ref="T375"/>
    <hyperlink r:id="rId749" ref="P376"/>
    <hyperlink r:id="rId750" ref="T376"/>
    <hyperlink r:id="rId751" ref="P377"/>
    <hyperlink r:id="rId752" ref="T377"/>
    <hyperlink r:id="rId753" ref="P378"/>
    <hyperlink r:id="rId754" ref="T378"/>
    <hyperlink r:id="rId755" ref="P379"/>
    <hyperlink r:id="rId756" ref="T379"/>
    <hyperlink r:id="rId757" ref="P380"/>
    <hyperlink r:id="rId758" ref="T380"/>
    <hyperlink r:id="rId759" ref="P381"/>
    <hyperlink r:id="rId760" ref="T381"/>
    <hyperlink r:id="rId761" ref="P382"/>
    <hyperlink r:id="rId762" ref="T382"/>
    <hyperlink r:id="rId763" ref="P383"/>
    <hyperlink r:id="rId764" ref="T383"/>
    <hyperlink r:id="rId765" ref="P384"/>
    <hyperlink r:id="rId766" ref="T384"/>
    <hyperlink r:id="rId767" ref="P385"/>
    <hyperlink r:id="rId768" ref="T385"/>
    <hyperlink r:id="rId769" ref="P386"/>
    <hyperlink r:id="rId770" ref="T386"/>
    <hyperlink r:id="rId771" ref="P387"/>
    <hyperlink r:id="rId772" ref="T387"/>
    <hyperlink r:id="rId773" ref="P388"/>
    <hyperlink r:id="rId774" ref="T388"/>
    <hyperlink r:id="rId775" ref="P389"/>
    <hyperlink r:id="rId776" ref="T389"/>
    <hyperlink r:id="rId777" ref="P390"/>
    <hyperlink r:id="rId778" ref="T390"/>
    <hyperlink r:id="rId779" ref="P391"/>
    <hyperlink r:id="rId780" ref="T391"/>
    <hyperlink r:id="rId781" ref="P392"/>
    <hyperlink r:id="rId782" ref="T392"/>
    <hyperlink r:id="rId783" ref="P393"/>
    <hyperlink r:id="rId784" ref="T393"/>
    <hyperlink r:id="rId785" ref="P394"/>
    <hyperlink r:id="rId786" ref="T394"/>
    <hyperlink r:id="rId787" ref="P395"/>
    <hyperlink r:id="rId788" ref="T395"/>
    <hyperlink r:id="rId789" ref="P396"/>
    <hyperlink r:id="rId790" ref="T396"/>
    <hyperlink r:id="rId791" ref="P397"/>
    <hyperlink r:id="rId792" ref="T397"/>
    <hyperlink r:id="rId793" ref="P398"/>
    <hyperlink r:id="rId794" ref="T398"/>
    <hyperlink r:id="rId795" ref="P399"/>
    <hyperlink r:id="rId796" ref="T399"/>
    <hyperlink r:id="rId797" ref="P400"/>
    <hyperlink r:id="rId798" ref="T400"/>
    <hyperlink r:id="rId799" ref="P401"/>
    <hyperlink r:id="rId800" ref="T401"/>
    <hyperlink r:id="rId801" ref="P402"/>
    <hyperlink r:id="rId802" ref="T402"/>
    <hyperlink r:id="rId803" ref="P403"/>
    <hyperlink r:id="rId804" ref="T403"/>
    <hyperlink r:id="rId805" ref="P404"/>
    <hyperlink r:id="rId806" ref="T404"/>
    <hyperlink r:id="rId807" ref="P405"/>
    <hyperlink r:id="rId808" ref="T405"/>
    <hyperlink r:id="rId809" ref="P406"/>
    <hyperlink r:id="rId810" ref="T406"/>
    <hyperlink r:id="rId811" ref="P407"/>
    <hyperlink r:id="rId812" ref="T407"/>
    <hyperlink r:id="rId813" ref="P408"/>
    <hyperlink r:id="rId814" ref="T408"/>
    <hyperlink r:id="rId815" ref="P409"/>
    <hyperlink r:id="rId816" ref="T409"/>
    <hyperlink r:id="rId817" ref="P410"/>
    <hyperlink r:id="rId818" ref="T410"/>
    <hyperlink r:id="rId819" ref="P411"/>
    <hyperlink r:id="rId820" ref="T411"/>
    <hyperlink r:id="rId821" ref="P412"/>
    <hyperlink r:id="rId822" ref="T412"/>
    <hyperlink r:id="rId823" ref="P413"/>
    <hyperlink r:id="rId824" ref="T413"/>
    <hyperlink r:id="rId825" ref="P414"/>
    <hyperlink r:id="rId826" ref="T414"/>
    <hyperlink r:id="rId827" ref="P415"/>
    <hyperlink r:id="rId828" ref="T415"/>
    <hyperlink r:id="rId829" ref="P416"/>
    <hyperlink r:id="rId830" ref="T416"/>
    <hyperlink r:id="rId831" ref="P417"/>
    <hyperlink r:id="rId832" ref="T417"/>
    <hyperlink r:id="rId833" ref="P418"/>
    <hyperlink r:id="rId834" ref="T418"/>
    <hyperlink r:id="rId835" ref="P419"/>
    <hyperlink r:id="rId836" ref="T419"/>
    <hyperlink r:id="rId837" ref="P420"/>
    <hyperlink r:id="rId838" ref="T420"/>
    <hyperlink r:id="rId839" ref="P421"/>
    <hyperlink r:id="rId840" ref="T421"/>
    <hyperlink r:id="rId841" ref="P422"/>
    <hyperlink r:id="rId842" ref="T422"/>
    <hyperlink r:id="rId843" ref="P423"/>
    <hyperlink r:id="rId844" ref="T423"/>
    <hyperlink r:id="rId845" ref="P424"/>
    <hyperlink r:id="rId846" ref="T424"/>
    <hyperlink r:id="rId847" ref="P425"/>
    <hyperlink r:id="rId848" ref="T425"/>
    <hyperlink r:id="rId849" ref="P426"/>
    <hyperlink r:id="rId850" ref="T426"/>
    <hyperlink r:id="rId851" ref="P427"/>
    <hyperlink r:id="rId852" ref="T427"/>
    <hyperlink r:id="rId853" ref="P428"/>
    <hyperlink r:id="rId854" ref="T428"/>
    <hyperlink r:id="rId855" ref="P429"/>
    <hyperlink r:id="rId856" ref="T429"/>
    <hyperlink r:id="rId857" ref="P430"/>
    <hyperlink r:id="rId858" ref="T430"/>
    <hyperlink r:id="rId859" ref="P431"/>
    <hyperlink r:id="rId860" ref="T431"/>
    <hyperlink r:id="rId861" ref="P432"/>
    <hyperlink r:id="rId862" ref="T432"/>
    <hyperlink r:id="rId863" ref="P433"/>
    <hyperlink r:id="rId864" ref="T433"/>
    <hyperlink r:id="rId865" ref="P434"/>
    <hyperlink r:id="rId866" ref="T434"/>
    <hyperlink r:id="rId867" ref="P435"/>
    <hyperlink r:id="rId868" ref="T435"/>
    <hyperlink r:id="rId869" ref="P436"/>
    <hyperlink r:id="rId870" ref="T436"/>
    <hyperlink r:id="rId871" ref="P437"/>
    <hyperlink r:id="rId872" ref="T437"/>
    <hyperlink r:id="rId873" ref="P438"/>
    <hyperlink r:id="rId874" ref="T438"/>
    <hyperlink r:id="rId875" ref="P439"/>
    <hyperlink r:id="rId876" ref="T439"/>
    <hyperlink r:id="rId877" ref="P440"/>
    <hyperlink r:id="rId878" ref="T440"/>
    <hyperlink r:id="rId879" ref="P441"/>
    <hyperlink r:id="rId880" ref="T441"/>
    <hyperlink r:id="rId881" ref="P442"/>
    <hyperlink r:id="rId882" ref="T442"/>
    <hyperlink r:id="rId883" ref="P443"/>
    <hyperlink r:id="rId884" ref="T443"/>
    <hyperlink r:id="rId885" ref="P444"/>
    <hyperlink r:id="rId886" ref="T444"/>
    <hyperlink r:id="rId887" ref="P445"/>
    <hyperlink r:id="rId888" ref="T445"/>
    <hyperlink r:id="rId889" ref="P446"/>
    <hyperlink r:id="rId890" ref="T446"/>
    <hyperlink r:id="rId891" ref="P447"/>
    <hyperlink r:id="rId892" ref="T447"/>
    <hyperlink r:id="rId893" ref="P448"/>
    <hyperlink r:id="rId894" ref="T448"/>
    <hyperlink r:id="rId895" ref="P449"/>
    <hyperlink r:id="rId896" ref="T449"/>
    <hyperlink r:id="rId897" ref="P450"/>
    <hyperlink r:id="rId898" ref="T450"/>
    <hyperlink r:id="rId899" ref="P451"/>
    <hyperlink r:id="rId900" ref="T451"/>
    <hyperlink r:id="rId901" ref="P452"/>
    <hyperlink r:id="rId902" ref="T452"/>
    <hyperlink r:id="rId903" ref="P453"/>
    <hyperlink r:id="rId904" ref="T453"/>
    <hyperlink r:id="rId905" ref="P454"/>
    <hyperlink r:id="rId906" ref="T454"/>
    <hyperlink r:id="rId907" ref="P455"/>
    <hyperlink r:id="rId908" ref="T455"/>
    <hyperlink r:id="rId909" ref="P456"/>
    <hyperlink r:id="rId910" ref="T456"/>
    <hyperlink r:id="rId911" ref="P457"/>
    <hyperlink r:id="rId912" ref="T457"/>
    <hyperlink r:id="rId913" ref="P458"/>
    <hyperlink r:id="rId914" ref="T458"/>
    <hyperlink r:id="rId915" ref="P459"/>
    <hyperlink r:id="rId916" ref="T459"/>
    <hyperlink r:id="rId917" ref="P460"/>
    <hyperlink r:id="rId918" ref="T460"/>
    <hyperlink r:id="rId919" ref="P461"/>
    <hyperlink r:id="rId920" ref="T461"/>
    <hyperlink r:id="rId921" ref="P462"/>
    <hyperlink r:id="rId922" ref="T462"/>
    <hyperlink r:id="rId923" ref="P463"/>
    <hyperlink r:id="rId924" ref="T463"/>
    <hyperlink r:id="rId925" ref="P464"/>
    <hyperlink r:id="rId926" ref="T464"/>
    <hyperlink r:id="rId927" ref="P465"/>
    <hyperlink r:id="rId928" ref="T465"/>
    <hyperlink r:id="rId929" ref="P466"/>
    <hyperlink r:id="rId930" ref="T466"/>
    <hyperlink r:id="rId931" ref="P467"/>
    <hyperlink r:id="rId932" ref="T467"/>
    <hyperlink r:id="rId933" ref="P468"/>
    <hyperlink r:id="rId934" ref="T468"/>
    <hyperlink r:id="rId935" ref="P469"/>
    <hyperlink r:id="rId936" ref="T469"/>
    <hyperlink r:id="rId937" ref="P470"/>
    <hyperlink r:id="rId938" ref="T470"/>
    <hyperlink r:id="rId939" ref="P471"/>
    <hyperlink r:id="rId940" ref="T471"/>
    <hyperlink r:id="rId941" ref="P472"/>
    <hyperlink r:id="rId942" ref="T472"/>
    <hyperlink r:id="rId943" ref="P473"/>
    <hyperlink r:id="rId944" ref="T473"/>
    <hyperlink r:id="rId945" ref="P474"/>
    <hyperlink r:id="rId946" ref="T474"/>
    <hyperlink r:id="rId947" ref="P475"/>
    <hyperlink r:id="rId948" ref="T475"/>
    <hyperlink r:id="rId949" ref="P476"/>
    <hyperlink r:id="rId950" ref="T476"/>
    <hyperlink r:id="rId951" ref="P477"/>
    <hyperlink r:id="rId952" ref="T477"/>
    <hyperlink r:id="rId953" ref="P478"/>
    <hyperlink r:id="rId954" ref="T478"/>
    <hyperlink r:id="rId955" ref="P479"/>
    <hyperlink r:id="rId956" ref="T479"/>
    <hyperlink r:id="rId957" ref="P480"/>
    <hyperlink r:id="rId958" ref="T480"/>
    <hyperlink r:id="rId959" ref="P481"/>
    <hyperlink r:id="rId960" ref="T481"/>
    <hyperlink r:id="rId961" ref="P482"/>
    <hyperlink r:id="rId962" ref="T482"/>
    <hyperlink r:id="rId963" ref="P483"/>
    <hyperlink r:id="rId964" ref="T483"/>
    <hyperlink r:id="rId965" ref="P484"/>
    <hyperlink r:id="rId966" ref="T484"/>
    <hyperlink r:id="rId967" ref="P485"/>
    <hyperlink r:id="rId968" ref="T485"/>
    <hyperlink r:id="rId969" ref="P486"/>
    <hyperlink r:id="rId970" ref="T486"/>
    <hyperlink r:id="rId971" ref="P487"/>
    <hyperlink r:id="rId972" ref="T487"/>
    <hyperlink r:id="rId973" ref="P488"/>
    <hyperlink r:id="rId974" ref="T488"/>
    <hyperlink r:id="rId975" ref="P489"/>
    <hyperlink r:id="rId976" ref="T489"/>
    <hyperlink r:id="rId977" ref="P490"/>
    <hyperlink r:id="rId978" ref="T490"/>
    <hyperlink r:id="rId979" ref="P491"/>
    <hyperlink r:id="rId980" ref="T491"/>
    <hyperlink r:id="rId981" ref="P492"/>
    <hyperlink r:id="rId982" ref="T492"/>
    <hyperlink r:id="rId983" ref="P493"/>
    <hyperlink r:id="rId984" ref="T493"/>
    <hyperlink r:id="rId985" ref="P494"/>
    <hyperlink r:id="rId986" ref="T494"/>
    <hyperlink r:id="rId987" ref="P495"/>
    <hyperlink r:id="rId988" ref="T495"/>
    <hyperlink r:id="rId989" ref="P496"/>
    <hyperlink r:id="rId990" ref="T496"/>
    <hyperlink r:id="rId991" ref="P497"/>
    <hyperlink r:id="rId992" ref="T497"/>
    <hyperlink r:id="rId993" ref="P498"/>
    <hyperlink r:id="rId994" ref="T498"/>
    <hyperlink r:id="rId995" ref="P499"/>
    <hyperlink r:id="rId996" ref="T499"/>
    <hyperlink r:id="rId997" ref="P500"/>
    <hyperlink r:id="rId998" ref="T500"/>
    <hyperlink r:id="rId999" ref="P501"/>
    <hyperlink r:id="rId1000" ref="T501"/>
    <hyperlink r:id="rId1001" ref="P502"/>
    <hyperlink r:id="rId1002" ref="T502"/>
    <hyperlink r:id="rId1003" ref="P503"/>
    <hyperlink r:id="rId1004" ref="T503"/>
    <hyperlink r:id="rId1005" ref="P504"/>
    <hyperlink r:id="rId1006" ref="T504"/>
    <hyperlink r:id="rId1007" ref="P505"/>
    <hyperlink r:id="rId1008" ref="T505"/>
    <hyperlink r:id="rId1009" ref="P506"/>
    <hyperlink r:id="rId1010" ref="T506"/>
    <hyperlink r:id="rId1011" ref="P507"/>
    <hyperlink r:id="rId1012" ref="T507"/>
    <hyperlink r:id="rId1013" ref="P508"/>
    <hyperlink r:id="rId1014" ref="T508"/>
    <hyperlink r:id="rId1015" ref="P509"/>
    <hyperlink r:id="rId1016" ref="T509"/>
    <hyperlink r:id="rId1017" ref="P510"/>
    <hyperlink r:id="rId1018" ref="T510"/>
    <hyperlink r:id="rId1019" ref="P511"/>
    <hyperlink r:id="rId1020" ref="T511"/>
    <hyperlink r:id="rId1021" ref="P512"/>
    <hyperlink r:id="rId1022" ref="T512"/>
    <hyperlink r:id="rId1023" ref="P513"/>
    <hyperlink r:id="rId1024" ref="T513"/>
    <hyperlink r:id="rId1025" ref="P514"/>
    <hyperlink r:id="rId1026" ref="T514"/>
    <hyperlink r:id="rId1027" ref="P515"/>
    <hyperlink r:id="rId1028" ref="T515"/>
    <hyperlink r:id="rId1029" ref="P516"/>
    <hyperlink r:id="rId1030" ref="T516"/>
    <hyperlink r:id="rId1031" ref="P517"/>
    <hyperlink r:id="rId1032" ref="T517"/>
    <hyperlink r:id="rId1033" ref="P518"/>
    <hyperlink r:id="rId1034" ref="T518"/>
    <hyperlink r:id="rId1035" ref="P519"/>
    <hyperlink r:id="rId1036" ref="T519"/>
    <hyperlink r:id="rId1037" ref="P520"/>
    <hyperlink r:id="rId1038" ref="T520"/>
    <hyperlink r:id="rId1039" ref="P521"/>
    <hyperlink r:id="rId1040" ref="T521"/>
    <hyperlink r:id="rId1041" ref="P522"/>
    <hyperlink r:id="rId1042" ref="T522"/>
    <hyperlink r:id="rId1043" ref="P523"/>
    <hyperlink r:id="rId1044" ref="T523"/>
    <hyperlink r:id="rId1045" ref="P524"/>
    <hyperlink r:id="rId1046" ref="T524"/>
    <hyperlink r:id="rId1047" ref="P525"/>
    <hyperlink r:id="rId1048" ref="T525"/>
    <hyperlink r:id="rId1049" ref="P526"/>
    <hyperlink r:id="rId1050" ref="T526"/>
    <hyperlink r:id="rId1051" ref="P527"/>
    <hyperlink r:id="rId1052" ref="T527"/>
    <hyperlink r:id="rId1053" ref="P528"/>
    <hyperlink r:id="rId1054" ref="T528"/>
    <hyperlink r:id="rId1055" ref="P529"/>
    <hyperlink r:id="rId1056" ref="T529"/>
    <hyperlink r:id="rId1057" ref="P530"/>
    <hyperlink r:id="rId1058" ref="T530"/>
    <hyperlink r:id="rId1059" ref="P531"/>
    <hyperlink r:id="rId1060" ref="T531"/>
    <hyperlink r:id="rId1061" ref="P532"/>
    <hyperlink r:id="rId1062" ref="T532"/>
    <hyperlink r:id="rId1063" ref="P533"/>
    <hyperlink r:id="rId1064" ref="T533"/>
    <hyperlink r:id="rId1065" ref="P534"/>
    <hyperlink r:id="rId1066" ref="T534"/>
    <hyperlink r:id="rId1067" ref="P535"/>
    <hyperlink r:id="rId1068" ref="T535"/>
    <hyperlink r:id="rId1069" ref="P536"/>
    <hyperlink r:id="rId1070" ref="T536"/>
    <hyperlink r:id="rId1071" ref="P537"/>
    <hyperlink r:id="rId1072" ref="T537"/>
    <hyperlink r:id="rId1073" ref="P538"/>
    <hyperlink r:id="rId1074" ref="T538"/>
    <hyperlink r:id="rId1075" ref="P539"/>
    <hyperlink r:id="rId1076" ref="T539"/>
    <hyperlink r:id="rId1077" ref="P540"/>
    <hyperlink r:id="rId1078" ref="T540"/>
    <hyperlink r:id="rId1079" ref="P541"/>
    <hyperlink r:id="rId1080" ref="T541"/>
    <hyperlink r:id="rId1081" ref="P542"/>
    <hyperlink r:id="rId1082" ref="T542"/>
    <hyperlink r:id="rId1083" ref="P543"/>
    <hyperlink r:id="rId1084" ref="T543"/>
    <hyperlink r:id="rId1085" ref="P544"/>
    <hyperlink r:id="rId1086" ref="T544"/>
    <hyperlink r:id="rId1087" ref="P545"/>
    <hyperlink r:id="rId1088" ref="T545"/>
    <hyperlink r:id="rId1089" ref="P546"/>
    <hyperlink r:id="rId1090" ref="T546"/>
    <hyperlink r:id="rId1091" ref="P547"/>
    <hyperlink r:id="rId1092" ref="T547"/>
    <hyperlink r:id="rId1093" ref="P548"/>
    <hyperlink r:id="rId1094" ref="T548"/>
    <hyperlink r:id="rId1095" ref="P549"/>
    <hyperlink r:id="rId1096" ref="T549"/>
    <hyperlink r:id="rId1097" ref="P550"/>
    <hyperlink r:id="rId1098" ref="T550"/>
    <hyperlink r:id="rId1099" ref="P551"/>
    <hyperlink r:id="rId1100" ref="T551"/>
    <hyperlink r:id="rId1101" ref="P552"/>
    <hyperlink r:id="rId1102" ref="T552"/>
    <hyperlink r:id="rId1103" ref="P553"/>
    <hyperlink r:id="rId1104" ref="T553"/>
    <hyperlink r:id="rId1105" ref="P554"/>
    <hyperlink r:id="rId1106" ref="T554"/>
    <hyperlink r:id="rId1107" ref="P555"/>
    <hyperlink r:id="rId1108" ref="T555"/>
    <hyperlink r:id="rId1109" ref="P556"/>
    <hyperlink r:id="rId1110" ref="T556"/>
    <hyperlink r:id="rId1111" ref="P557"/>
    <hyperlink r:id="rId1112" ref="T557"/>
    <hyperlink r:id="rId1113" ref="P558"/>
    <hyperlink r:id="rId1114" ref="T558"/>
    <hyperlink r:id="rId1115" ref="P559"/>
    <hyperlink r:id="rId1116" ref="T559"/>
    <hyperlink r:id="rId1117" ref="P560"/>
    <hyperlink r:id="rId1118" ref="T560"/>
    <hyperlink r:id="rId1119" ref="P561"/>
    <hyperlink r:id="rId1120" ref="T561"/>
    <hyperlink r:id="rId1121" ref="P562"/>
    <hyperlink r:id="rId1122" ref="T562"/>
    <hyperlink r:id="rId1123" ref="P563"/>
    <hyperlink r:id="rId1124" ref="T563"/>
    <hyperlink r:id="rId1125" ref="P564"/>
    <hyperlink r:id="rId1126" ref="T564"/>
    <hyperlink r:id="rId1127" ref="P565"/>
    <hyperlink r:id="rId1128" ref="T565"/>
    <hyperlink r:id="rId1129" ref="P566"/>
    <hyperlink r:id="rId1130" ref="T566"/>
    <hyperlink r:id="rId1131" ref="P567"/>
    <hyperlink r:id="rId1132" ref="T567"/>
    <hyperlink r:id="rId1133" ref="P568"/>
    <hyperlink r:id="rId1134" ref="T568"/>
    <hyperlink r:id="rId1135" ref="P569"/>
    <hyperlink r:id="rId1136" ref="T569"/>
    <hyperlink r:id="rId1137" ref="P570"/>
    <hyperlink r:id="rId1138" ref="T570"/>
    <hyperlink r:id="rId1139" ref="P571"/>
    <hyperlink r:id="rId1140" ref="T571"/>
    <hyperlink r:id="rId1141" ref="P572"/>
    <hyperlink r:id="rId1142" ref="T572"/>
    <hyperlink r:id="rId1143" ref="P573"/>
    <hyperlink r:id="rId1144" ref="T573"/>
    <hyperlink r:id="rId1145" ref="P574"/>
    <hyperlink r:id="rId1146" ref="T574"/>
    <hyperlink r:id="rId1147" ref="P575"/>
    <hyperlink r:id="rId1148" ref="T575"/>
    <hyperlink r:id="rId1149" ref="P576"/>
    <hyperlink r:id="rId1150" ref="T576"/>
    <hyperlink r:id="rId1151" ref="P577"/>
    <hyperlink r:id="rId1152" ref="T577"/>
    <hyperlink r:id="rId1153" ref="P578"/>
    <hyperlink r:id="rId1154" ref="T578"/>
    <hyperlink r:id="rId1155" ref="P579"/>
    <hyperlink r:id="rId1156" ref="T579"/>
    <hyperlink r:id="rId1157" ref="P580"/>
    <hyperlink r:id="rId1158" ref="T580"/>
    <hyperlink r:id="rId1159" ref="P581"/>
    <hyperlink r:id="rId1160" ref="T581"/>
    <hyperlink r:id="rId1161" ref="P582"/>
    <hyperlink r:id="rId1162" ref="T582"/>
    <hyperlink r:id="rId1163" ref="P583"/>
    <hyperlink r:id="rId1164" ref="T583"/>
    <hyperlink r:id="rId1165" ref="P584"/>
    <hyperlink r:id="rId1166" ref="T584"/>
    <hyperlink r:id="rId1167" ref="P585"/>
    <hyperlink r:id="rId1168" ref="T585"/>
    <hyperlink r:id="rId1169" ref="P586"/>
    <hyperlink r:id="rId1170" ref="T586"/>
    <hyperlink r:id="rId1171" ref="P587"/>
    <hyperlink r:id="rId1172" ref="T587"/>
    <hyperlink r:id="rId1173" ref="P588"/>
    <hyperlink r:id="rId1174" ref="T588"/>
    <hyperlink r:id="rId1175" ref="P589"/>
    <hyperlink r:id="rId1176" ref="T589"/>
    <hyperlink r:id="rId1177" ref="P590"/>
    <hyperlink r:id="rId1178" ref="T590"/>
    <hyperlink r:id="rId1179" ref="P591"/>
    <hyperlink r:id="rId1180" ref="T591"/>
    <hyperlink r:id="rId1181" ref="P592"/>
    <hyperlink r:id="rId1182" ref="T592"/>
    <hyperlink r:id="rId1183" ref="P593"/>
    <hyperlink r:id="rId1184" ref="T593"/>
    <hyperlink r:id="rId1185" ref="P594"/>
    <hyperlink r:id="rId1186" ref="T594"/>
    <hyperlink r:id="rId1187" ref="P595"/>
    <hyperlink r:id="rId1188" ref="T595"/>
    <hyperlink r:id="rId1189" ref="P596"/>
    <hyperlink r:id="rId1190" ref="T596"/>
    <hyperlink r:id="rId1191" ref="P597"/>
    <hyperlink r:id="rId1192" ref="T597"/>
    <hyperlink r:id="rId1193" ref="P598"/>
    <hyperlink r:id="rId1194" ref="T598"/>
    <hyperlink r:id="rId1195" ref="P599"/>
    <hyperlink r:id="rId1196" ref="T599"/>
    <hyperlink r:id="rId1197" ref="P600"/>
    <hyperlink r:id="rId1198" ref="T600"/>
    <hyperlink r:id="rId1199" ref="P601"/>
    <hyperlink r:id="rId1200" ref="T601"/>
    <hyperlink r:id="rId1201" ref="P602"/>
    <hyperlink r:id="rId1202" ref="T602"/>
    <hyperlink r:id="rId1203" ref="P603"/>
    <hyperlink r:id="rId1204" ref="T603"/>
    <hyperlink r:id="rId1205" ref="P604"/>
    <hyperlink r:id="rId1206" ref="T604"/>
    <hyperlink r:id="rId1207" ref="P605"/>
    <hyperlink r:id="rId1208" ref="T605"/>
    <hyperlink r:id="rId1209" ref="P606"/>
    <hyperlink r:id="rId1210" ref="T606"/>
    <hyperlink r:id="rId1211" ref="P607"/>
    <hyperlink r:id="rId1212" ref="T607"/>
    <hyperlink r:id="rId1213" ref="P608"/>
    <hyperlink r:id="rId1214" ref="T608"/>
    <hyperlink r:id="rId1215" ref="P609"/>
    <hyperlink r:id="rId1216" ref="T609"/>
    <hyperlink r:id="rId1217" ref="P610"/>
    <hyperlink r:id="rId1218" ref="T610"/>
    <hyperlink r:id="rId1219" ref="P611"/>
    <hyperlink r:id="rId1220" ref="T611"/>
    <hyperlink r:id="rId1221" ref="P612"/>
    <hyperlink r:id="rId1222" ref="T612"/>
    <hyperlink r:id="rId1223" ref="P613"/>
    <hyperlink r:id="rId1224" ref="T613"/>
    <hyperlink r:id="rId1225" ref="P614"/>
    <hyperlink r:id="rId1226" ref="T614"/>
    <hyperlink r:id="rId1227" ref="P615"/>
    <hyperlink r:id="rId1228" ref="T615"/>
    <hyperlink r:id="rId1229" ref="P616"/>
    <hyperlink r:id="rId1230" ref="T616"/>
    <hyperlink r:id="rId1231" ref="P617"/>
    <hyperlink r:id="rId1232" ref="T617"/>
    <hyperlink r:id="rId1233" ref="P618"/>
    <hyperlink r:id="rId1234" ref="T618"/>
    <hyperlink r:id="rId1235" ref="P619"/>
    <hyperlink r:id="rId1236" ref="T619"/>
    <hyperlink r:id="rId1237" ref="P620"/>
    <hyperlink r:id="rId1238" ref="T620"/>
    <hyperlink r:id="rId1239" ref="P621"/>
    <hyperlink r:id="rId1240" ref="T621"/>
    <hyperlink r:id="rId1241" ref="P622"/>
    <hyperlink r:id="rId1242" ref="T622"/>
    <hyperlink r:id="rId1243" ref="P623"/>
    <hyperlink r:id="rId1244" ref="T623"/>
    <hyperlink r:id="rId1245" ref="P624"/>
    <hyperlink r:id="rId1246" ref="T624"/>
    <hyperlink r:id="rId1247" ref="P625"/>
    <hyperlink r:id="rId1248" ref="T625"/>
    <hyperlink r:id="rId1249" ref="P626"/>
    <hyperlink r:id="rId1250" ref="T626"/>
    <hyperlink r:id="rId1251" ref="P627"/>
    <hyperlink r:id="rId1252" ref="T627"/>
    <hyperlink r:id="rId1253" ref="P628"/>
    <hyperlink r:id="rId1254" ref="T628"/>
    <hyperlink r:id="rId1255" ref="P629"/>
    <hyperlink r:id="rId1256" ref="T629"/>
    <hyperlink r:id="rId1257" ref="P630"/>
    <hyperlink r:id="rId1258" ref="T630"/>
    <hyperlink r:id="rId1259" ref="P631"/>
    <hyperlink r:id="rId1260" ref="T631"/>
    <hyperlink r:id="rId1261" ref="P632"/>
    <hyperlink r:id="rId1262" ref="T632"/>
    <hyperlink r:id="rId1263" ref="P633"/>
    <hyperlink r:id="rId1264" ref="T633"/>
    <hyperlink r:id="rId1265" ref="P634"/>
    <hyperlink r:id="rId1266" ref="T634"/>
    <hyperlink r:id="rId1267" ref="P635"/>
    <hyperlink r:id="rId1268" ref="T635"/>
    <hyperlink r:id="rId1269" ref="P636"/>
    <hyperlink r:id="rId1270" ref="T636"/>
    <hyperlink r:id="rId1271" ref="P637"/>
    <hyperlink r:id="rId1272" ref="T637"/>
    <hyperlink r:id="rId1273" ref="P638"/>
    <hyperlink r:id="rId1274" ref="T638"/>
    <hyperlink r:id="rId1275" ref="P639"/>
    <hyperlink r:id="rId1276" ref="T639"/>
    <hyperlink r:id="rId1277" ref="P640"/>
    <hyperlink r:id="rId1278" ref="T640"/>
    <hyperlink r:id="rId1279" ref="P641"/>
    <hyperlink r:id="rId1280" ref="T641"/>
    <hyperlink r:id="rId1281" ref="P642"/>
    <hyperlink r:id="rId1282" ref="T642"/>
    <hyperlink r:id="rId1283" ref="P643"/>
    <hyperlink r:id="rId1284" ref="T643"/>
    <hyperlink r:id="rId1285" ref="P644"/>
    <hyperlink r:id="rId1286" ref="T644"/>
    <hyperlink r:id="rId1287" ref="P645"/>
    <hyperlink r:id="rId1288" ref="T645"/>
    <hyperlink r:id="rId1289" ref="P646"/>
    <hyperlink r:id="rId1290" ref="T646"/>
    <hyperlink r:id="rId1291" ref="P647"/>
    <hyperlink r:id="rId1292" ref="T647"/>
    <hyperlink r:id="rId1293" ref="P648"/>
    <hyperlink r:id="rId1294" ref="T648"/>
    <hyperlink r:id="rId1295" ref="P649"/>
    <hyperlink r:id="rId1296" ref="T649"/>
    <hyperlink r:id="rId1297" ref="P650"/>
    <hyperlink r:id="rId1298" ref="T650"/>
    <hyperlink r:id="rId1299" ref="P651"/>
    <hyperlink r:id="rId1300" ref="T651"/>
    <hyperlink r:id="rId1301" ref="P652"/>
    <hyperlink r:id="rId1302" ref="T652"/>
    <hyperlink r:id="rId1303" ref="P653"/>
    <hyperlink r:id="rId1304" ref="T653"/>
    <hyperlink r:id="rId1305" ref="P654"/>
    <hyperlink r:id="rId1306" ref="T654"/>
    <hyperlink r:id="rId1307" ref="P655"/>
    <hyperlink r:id="rId1308" ref="T655"/>
    <hyperlink r:id="rId1309" ref="P656"/>
    <hyperlink r:id="rId1310" ref="T656"/>
    <hyperlink r:id="rId1311" ref="P657"/>
    <hyperlink r:id="rId1312" ref="T657"/>
    <hyperlink r:id="rId1313" ref="P658"/>
    <hyperlink r:id="rId1314" ref="T658"/>
    <hyperlink r:id="rId1315" ref="P659"/>
    <hyperlink r:id="rId1316" ref="T659"/>
    <hyperlink r:id="rId1317" ref="P660"/>
    <hyperlink r:id="rId1318" ref="T660"/>
    <hyperlink r:id="rId1319" ref="P661"/>
    <hyperlink r:id="rId1320" ref="T661"/>
    <hyperlink r:id="rId1321" ref="P662"/>
    <hyperlink r:id="rId1322" ref="T662"/>
    <hyperlink r:id="rId1323" ref="P663"/>
    <hyperlink r:id="rId1324" ref="T663"/>
    <hyperlink r:id="rId1325" ref="P664"/>
    <hyperlink r:id="rId1326" ref="T664"/>
    <hyperlink r:id="rId1327" ref="P665"/>
    <hyperlink r:id="rId1328" ref="T665"/>
    <hyperlink r:id="rId1329" ref="P666"/>
    <hyperlink r:id="rId1330" ref="T666"/>
    <hyperlink r:id="rId1331" ref="P667"/>
    <hyperlink r:id="rId1332" ref="T667"/>
    <hyperlink r:id="rId1333" ref="P668"/>
    <hyperlink r:id="rId1334" ref="T668"/>
    <hyperlink r:id="rId1335" ref="P669"/>
    <hyperlink r:id="rId1336" ref="T669"/>
    <hyperlink r:id="rId1337" ref="P670"/>
    <hyperlink r:id="rId1338" ref="T670"/>
    <hyperlink r:id="rId1339" ref="P671"/>
    <hyperlink r:id="rId1340" ref="T671"/>
    <hyperlink r:id="rId1341" ref="P672"/>
    <hyperlink r:id="rId1342" ref="T672"/>
    <hyperlink r:id="rId1343" ref="P673"/>
    <hyperlink r:id="rId1344" ref="T673"/>
    <hyperlink r:id="rId1345" ref="P674"/>
    <hyperlink r:id="rId1346" ref="T674"/>
    <hyperlink r:id="rId1347" ref="P675"/>
    <hyperlink r:id="rId1348" ref="T675"/>
    <hyperlink r:id="rId1349" ref="P676"/>
    <hyperlink r:id="rId1350" ref="T676"/>
    <hyperlink r:id="rId1351" ref="P677"/>
    <hyperlink r:id="rId1352" ref="T677"/>
    <hyperlink r:id="rId1353" ref="P678"/>
    <hyperlink r:id="rId1354" ref="T678"/>
    <hyperlink r:id="rId1355" ref="P679"/>
    <hyperlink r:id="rId1356" ref="T679"/>
    <hyperlink r:id="rId1357" ref="P680"/>
    <hyperlink r:id="rId1358" ref="T680"/>
    <hyperlink r:id="rId1359" ref="P681"/>
    <hyperlink r:id="rId1360" ref="T681"/>
    <hyperlink r:id="rId1361" ref="P682"/>
    <hyperlink r:id="rId1362" ref="T682"/>
    <hyperlink r:id="rId1363" ref="P683"/>
    <hyperlink r:id="rId1364" ref="T683"/>
    <hyperlink r:id="rId1365" ref="P684"/>
    <hyperlink r:id="rId1366" ref="T684"/>
    <hyperlink r:id="rId1367" ref="P685"/>
    <hyperlink r:id="rId1368" ref="T685"/>
    <hyperlink r:id="rId1369" ref="P686"/>
    <hyperlink r:id="rId1370" ref="T686"/>
    <hyperlink r:id="rId1371" ref="P687"/>
    <hyperlink r:id="rId1372" ref="T687"/>
    <hyperlink r:id="rId1373" ref="P688"/>
    <hyperlink r:id="rId1374" ref="T688"/>
    <hyperlink r:id="rId1375" ref="P689"/>
    <hyperlink r:id="rId1376" ref="T689"/>
    <hyperlink r:id="rId1377" ref="P690"/>
    <hyperlink r:id="rId1378" ref="T690"/>
    <hyperlink r:id="rId1379" ref="P691"/>
    <hyperlink r:id="rId1380" ref="T691"/>
    <hyperlink r:id="rId1381" ref="P692"/>
    <hyperlink r:id="rId1382" ref="T692"/>
    <hyperlink r:id="rId1383" ref="P693"/>
    <hyperlink r:id="rId1384" ref="T693"/>
    <hyperlink r:id="rId1385" ref="P694"/>
    <hyperlink r:id="rId1386" ref="T694"/>
    <hyperlink r:id="rId1387" ref="P695"/>
    <hyperlink r:id="rId1388" ref="T695"/>
    <hyperlink r:id="rId1389" ref="P696"/>
    <hyperlink r:id="rId1390" ref="T696"/>
    <hyperlink r:id="rId1391" ref="P697"/>
    <hyperlink r:id="rId1392" ref="T697"/>
    <hyperlink r:id="rId1393" ref="P698"/>
    <hyperlink r:id="rId1394" ref="T698"/>
    <hyperlink r:id="rId1395" ref="P699"/>
    <hyperlink r:id="rId1396" ref="T699"/>
    <hyperlink r:id="rId1397" ref="P700"/>
    <hyperlink r:id="rId1398" ref="T700"/>
    <hyperlink r:id="rId1399" ref="P701"/>
    <hyperlink r:id="rId1400" ref="T701"/>
    <hyperlink r:id="rId1401" ref="P702"/>
    <hyperlink r:id="rId1402" ref="T702"/>
    <hyperlink r:id="rId1403" ref="P703"/>
    <hyperlink r:id="rId1404" ref="T703"/>
    <hyperlink r:id="rId1405" ref="P704"/>
    <hyperlink r:id="rId1406" ref="T704"/>
    <hyperlink r:id="rId1407" ref="P705"/>
    <hyperlink r:id="rId1408" ref="T705"/>
    <hyperlink r:id="rId1409" ref="P706"/>
    <hyperlink r:id="rId1410" ref="T706"/>
    <hyperlink r:id="rId1411" ref="P707"/>
    <hyperlink r:id="rId1412" ref="T707"/>
    <hyperlink r:id="rId1413" ref="P708"/>
    <hyperlink r:id="rId1414" ref="T708"/>
    <hyperlink r:id="rId1415" ref="P709"/>
    <hyperlink r:id="rId1416" ref="T709"/>
    <hyperlink r:id="rId1417" ref="P710"/>
    <hyperlink r:id="rId1418" ref="T710"/>
    <hyperlink r:id="rId1419" ref="P711"/>
    <hyperlink r:id="rId1420" ref="T711"/>
    <hyperlink r:id="rId1421" ref="P712"/>
    <hyperlink r:id="rId1422" ref="T712"/>
    <hyperlink r:id="rId1423" ref="P713"/>
    <hyperlink r:id="rId1424" ref="T713"/>
    <hyperlink r:id="rId1425" ref="P714"/>
    <hyperlink r:id="rId1426" ref="T714"/>
    <hyperlink r:id="rId1427" ref="P715"/>
    <hyperlink r:id="rId1428" ref="T715"/>
    <hyperlink r:id="rId1429" ref="P716"/>
    <hyperlink r:id="rId1430" ref="T716"/>
    <hyperlink r:id="rId1431" ref="P717"/>
    <hyperlink r:id="rId1432" ref="T717"/>
    <hyperlink r:id="rId1433" ref="P718"/>
    <hyperlink r:id="rId1434" ref="T718"/>
    <hyperlink r:id="rId1435" ref="P719"/>
    <hyperlink r:id="rId1436" ref="T719"/>
    <hyperlink r:id="rId1437" ref="P720"/>
    <hyperlink r:id="rId1438" ref="T720"/>
    <hyperlink r:id="rId1439" ref="P721"/>
    <hyperlink r:id="rId1440" ref="T721"/>
    <hyperlink r:id="rId1441" ref="P722"/>
    <hyperlink r:id="rId1442" ref="T722"/>
    <hyperlink r:id="rId1443" ref="P723"/>
    <hyperlink r:id="rId1444" ref="T723"/>
    <hyperlink r:id="rId1445" ref="P724"/>
    <hyperlink r:id="rId1446" ref="T724"/>
    <hyperlink r:id="rId1447" ref="P725"/>
    <hyperlink r:id="rId1448" ref="T725"/>
    <hyperlink r:id="rId1449" ref="P726"/>
    <hyperlink r:id="rId1450" ref="T726"/>
    <hyperlink r:id="rId1451" ref="P727"/>
    <hyperlink r:id="rId1452" ref="T727"/>
    <hyperlink r:id="rId1453" ref="P728"/>
    <hyperlink r:id="rId1454" ref="T728"/>
    <hyperlink r:id="rId1455" ref="P729"/>
    <hyperlink r:id="rId1456" ref="T729"/>
    <hyperlink r:id="rId1457" ref="P730"/>
    <hyperlink r:id="rId1458" ref="T730"/>
    <hyperlink r:id="rId1459" ref="P731"/>
    <hyperlink r:id="rId1460" ref="T731"/>
    <hyperlink r:id="rId1461" ref="P732"/>
    <hyperlink r:id="rId1462" ref="T732"/>
    <hyperlink r:id="rId1463" ref="P733"/>
    <hyperlink r:id="rId1464" ref="T733"/>
    <hyperlink r:id="rId1465" ref="P734"/>
    <hyperlink r:id="rId1466" ref="T734"/>
    <hyperlink r:id="rId1467" ref="P735"/>
    <hyperlink r:id="rId1468" ref="T735"/>
    <hyperlink r:id="rId1469" ref="P736"/>
    <hyperlink r:id="rId1470" ref="T736"/>
    <hyperlink r:id="rId1471" ref="P737"/>
    <hyperlink r:id="rId1472" ref="T737"/>
    <hyperlink r:id="rId1473" ref="P738"/>
    <hyperlink r:id="rId1474" ref="T738"/>
    <hyperlink r:id="rId1475" ref="P739"/>
    <hyperlink r:id="rId1476" ref="T739"/>
    <hyperlink r:id="rId1477" ref="P740"/>
    <hyperlink r:id="rId1478" ref="T740"/>
    <hyperlink r:id="rId1479" ref="P741"/>
    <hyperlink r:id="rId1480" ref="T741"/>
    <hyperlink r:id="rId1481" ref="P742"/>
    <hyperlink r:id="rId1482" ref="T742"/>
    <hyperlink r:id="rId1483" ref="P743"/>
    <hyperlink r:id="rId1484" ref="T743"/>
    <hyperlink r:id="rId1485" ref="P744"/>
    <hyperlink r:id="rId1486" ref="T744"/>
    <hyperlink r:id="rId1487" ref="P745"/>
    <hyperlink r:id="rId1488" ref="T745"/>
    <hyperlink r:id="rId1489" ref="P746"/>
    <hyperlink r:id="rId1490" ref="T746"/>
    <hyperlink r:id="rId1491" ref="P747"/>
    <hyperlink r:id="rId1492" ref="T747"/>
    <hyperlink r:id="rId1493" ref="P748"/>
    <hyperlink r:id="rId1494" ref="T748"/>
    <hyperlink r:id="rId1495" ref="P749"/>
    <hyperlink r:id="rId1496" ref="T749"/>
    <hyperlink r:id="rId1497" ref="P750"/>
    <hyperlink r:id="rId1498" ref="T750"/>
    <hyperlink r:id="rId1499" ref="P751"/>
    <hyperlink r:id="rId1500" ref="T751"/>
    <hyperlink r:id="rId1501" ref="P752"/>
    <hyperlink r:id="rId1502" ref="T752"/>
    <hyperlink r:id="rId1503" ref="P753"/>
    <hyperlink r:id="rId1504" ref="T753"/>
    <hyperlink r:id="rId1505" ref="P754"/>
    <hyperlink r:id="rId1506" ref="T754"/>
    <hyperlink r:id="rId1507" ref="P755"/>
    <hyperlink r:id="rId1508" ref="T755"/>
    <hyperlink r:id="rId1509" ref="P756"/>
    <hyperlink r:id="rId1510" ref="T756"/>
    <hyperlink r:id="rId1511" ref="P757"/>
    <hyperlink r:id="rId1512" ref="T757"/>
    <hyperlink r:id="rId1513" ref="P758"/>
    <hyperlink r:id="rId1514" ref="T758"/>
    <hyperlink r:id="rId1515" ref="P759"/>
    <hyperlink r:id="rId1516" ref="T759"/>
    <hyperlink r:id="rId1517" ref="P760"/>
    <hyperlink r:id="rId1518" ref="T760"/>
    <hyperlink r:id="rId1519" ref="P761"/>
    <hyperlink r:id="rId1520" ref="T761"/>
    <hyperlink r:id="rId1521" ref="P762"/>
    <hyperlink r:id="rId1522" ref="T762"/>
    <hyperlink r:id="rId1523" ref="P763"/>
    <hyperlink r:id="rId1524" ref="T763"/>
    <hyperlink r:id="rId1525" ref="P764"/>
    <hyperlink r:id="rId1526" ref="T764"/>
    <hyperlink r:id="rId1527" ref="P765"/>
    <hyperlink r:id="rId1528" ref="T765"/>
    <hyperlink r:id="rId1529" ref="P766"/>
    <hyperlink r:id="rId1530" ref="T766"/>
    <hyperlink r:id="rId1531" ref="P767"/>
    <hyperlink r:id="rId1532" ref="T767"/>
    <hyperlink r:id="rId1533" ref="P768"/>
    <hyperlink r:id="rId1534" ref="T768"/>
    <hyperlink r:id="rId1535" ref="P769"/>
    <hyperlink r:id="rId1536" ref="T769"/>
    <hyperlink r:id="rId1537" ref="P770"/>
    <hyperlink r:id="rId1538" ref="T770"/>
    <hyperlink r:id="rId1539" ref="P771"/>
    <hyperlink r:id="rId1540" ref="T771"/>
    <hyperlink r:id="rId1541" ref="P772"/>
    <hyperlink r:id="rId1542" ref="T772"/>
    <hyperlink r:id="rId1543" ref="P773"/>
    <hyperlink r:id="rId1544" ref="T773"/>
    <hyperlink r:id="rId1545" ref="P774"/>
    <hyperlink r:id="rId1546" ref="T774"/>
    <hyperlink r:id="rId1547" ref="P775"/>
    <hyperlink r:id="rId1548" ref="T775"/>
    <hyperlink r:id="rId1549" ref="P776"/>
    <hyperlink r:id="rId1550" ref="T776"/>
    <hyperlink r:id="rId1551" ref="P777"/>
    <hyperlink r:id="rId1552" ref="T777"/>
    <hyperlink r:id="rId1553" ref="P778"/>
    <hyperlink r:id="rId1554" ref="T778"/>
    <hyperlink r:id="rId1555" ref="P779"/>
    <hyperlink r:id="rId1556" ref="T779"/>
    <hyperlink r:id="rId1557" ref="P780"/>
    <hyperlink r:id="rId1558" ref="T780"/>
    <hyperlink r:id="rId1559" ref="P781"/>
    <hyperlink r:id="rId1560" ref="T781"/>
    <hyperlink r:id="rId1561" ref="P782"/>
    <hyperlink r:id="rId1562" ref="T782"/>
    <hyperlink r:id="rId1563" ref="P783"/>
    <hyperlink r:id="rId1564" ref="T783"/>
    <hyperlink r:id="rId1565" ref="P784"/>
    <hyperlink r:id="rId1566" ref="T784"/>
    <hyperlink r:id="rId1567" ref="P785"/>
    <hyperlink r:id="rId1568" ref="T785"/>
    <hyperlink r:id="rId1569" ref="P786"/>
    <hyperlink r:id="rId1570" ref="T786"/>
    <hyperlink r:id="rId1571" ref="P787"/>
    <hyperlink r:id="rId1572" ref="T787"/>
    <hyperlink r:id="rId1573" ref="P788"/>
    <hyperlink r:id="rId1574" ref="T788"/>
    <hyperlink r:id="rId1575" ref="P789"/>
    <hyperlink r:id="rId1576" ref="T789"/>
    <hyperlink r:id="rId1577" ref="P790"/>
    <hyperlink r:id="rId1578" ref="T790"/>
    <hyperlink r:id="rId1579" ref="P791"/>
    <hyperlink r:id="rId1580" ref="T791"/>
    <hyperlink r:id="rId1581" ref="P792"/>
    <hyperlink r:id="rId1582" ref="T792"/>
    <hyperlink r:id="rId1583" ref="P793"/>
    <hyperlink r:id="rId1584" ref="T793"/>
    <hyperlink r:id="rId1585" ref="P794"/>
    <hyperlink r:id="rId1586" ref="T794"/>
    <hyperlink r:id="rId1587" ref="P795"/>
    <hyperlink r:id="rId1588" ref="T795"/>
    <hyperlink r:id="rId1589" ref="P796"/>
    <hyperlink r:id="rId1590" ref="T796"/>
    <hyperlink r:id="rId1591" ref="P797"/>
    <hyperlink r:id="rId1592" ref="T797"/>
    <hyperlink r:id="rId1593" ref="P798"/>
    <hyperlink r:id="rId1594" ref="T798"/>
    <hyperlink r:id="rId1595" ref="P799"/>
    <hyperlink r:id="rId1596" ref="T799"/>
    <hyperlink r:id="rId1597" ref="P800"/>
    <hyperlink r:id="rId1598" ref="T800"/>
    <hyperlink r:id="rId1599" ref="P801"/>
    <hyperlink r:id="rId1600" ref="T801"/>
    <hyperlink r:id="rId1601" ref="P802"/>
    <hyperlink r:id="rId1602" ref="T802"/>
    <hyperlink r:id="rId1603" ref="P803"/>
    <hyperlink r:id="rId1604" ref="T803"/>
    <hyperlink r:id="rId1605" ref="P804"/>
    <hyperlink r:id="rId1606" ref="T804"/>
    <hyperlink r:id="rId1607" ref="P805"/>
    <hyperlink r:id="rId1608" ref="T805"/>
    <hyperlink r:id="rId1609" ref="P806"/>
    <hyperlink r:id="rId1610" ref="T806"/>
    <hyperlink r:id="rId1611" ref="P807"/>
    <hyperlink r:id="rId1612" ref="T807"/>
    <hyperlink r:id="rId1613" ref="P808"/>
    <hyperlink r:id="rId1614" ref="T808"/>
    <hyperlink r:id="rId1615" ref="P809"/>
    <hyperlink r:id="rId1616" ref="T809"/>
    <hyperlink r:id="rId1617" ref="P810"/>
    <hyperlink r:id="rId1618" ref="T810"/>
    <hyperlink r:id="rId1619" ref="P811"/>
    <hyperlink r:id="rId1620" ref="T811"/>
    <hyperlink r:id="rId1621" ref="P812"/>
    <hyperlink r:id="rId1622" ref="T812"/>
    <hyperlink r:id="rId1623" ref="P813"/>
    <hyperlink r:id="rId1624" ref="T813"/>
    <hyperlink r:id="rId1625" ref="P814"/>
    <hyperlink r:id="rId1626" ref="T814"/>
    <hyperlink r:id="rId1627" ref="P815"/>
    <hyperlink r:id="rId1628" ref="T815"/>
    <hyperlink r:id="rId1629" ref="P816"/>
    <hyperlink r:id="rId1630" ref="T816"/>
    <hyperlink r:id="rId1631" ref="P817"/>
    <hyperlink r:id="rId1632" ref="T817"/>
    <hyperlink r:id="rId1633" ref="P818"/>
    <hyperlink r:id="rId1634" ref="T818"/>
    <hyperlink r:id="rId1635" ref="P819"/>
    <hyperlink r:id="rId1636" ref="T819"/>
    <hyperlink r:id="rId1637" ref="P820"/>
    <hyperlink r:id="rId1638" ref="T820"/>
    <hyperlink r:id="rId1639" ref="P821"/>
    <hyperlink r:id="rId1640" ref="T821"/>
    <hyperlink r:id="rId1641" ref="P822"/>
    <hyperlink r:id="rId1642" ref="T822"/>
    <hyperlink r:id="rId1643" ref="P823"/>
    <hyperlink r:id="rId1644" ref="T823"/>
    <hyperlink r:id="rId1645" ref="P824"/>
    <hyperlink r:id="rId1646" ref="T824"/>
    <hyperlink r:id="rId1647" ref="P825"/>
    <hyperlink r:id="rId1648" ref="T825"/>
    <hyperlink r:id="rId1649" ref="P826"/>
    <hyperlink r:id="rId1650" ref="T826"/>
    <hyperlink r:id="rId1651" ref="P827"/>
    <hyperlink r:id="rId1652" ref="T827"/>
    <hyperlink r:id="rId1653" ref="P828"/>
    <hyperlink r:id="rId1654" ref="T828"/>
    <hyperlink r:id="rId1655" ref="P829"/>
    <hyperlink r:id="rId1656" ref="T829"/>
    <hyperlink r:id="rId1657" ref="P830"/>
    <hyperlink r:id="rId1658" ref="T830"/>
    <hyperlink r:id="rId1659" ref="P831"/>
    <hyperlink r:id="rId1660" ref="T831"/>
    <hyperlink r:id="rId1661" ref="P832"/>
    <hyperlink r:id="rId1662" ref="T832"/>
    <hyperlink r:id="rId1663" ref="P833"/>
    <hyperlink r:id="rId1664" ref="T833"/>
    <hyperlink r:id="rId1665" ref="P834"/>
    <hyperlink r:id="rId1666" ref="T834"/>
    <hyperlink r:id="rId1667" ref="P835"/>
    <hyperlink r:id="rId1668" ref="T835"/>
    <hyperlink r:id="rId1669" ref="P836"/>
    <hyperlink r:id="rId1670" ref="T836"/>
    <hyperlink r:id="rId1671" ref="P837"/>
    <hyperlink r:id="rId1672" ref="T837"/>
    <hyperlink r:id="rId1673" ref="P838"/>
    <hyperlink r:id="rId1674" ref="T838"/>
    <hyperlink r:id="rId1675" ref="P839"/>
    <hyperlink r:id="rId1676" ref="T839"/>
    <hyperlink r:id="rId1677" ref="P840"/>
    <hyperlink r:id="rId1678" ref="T840"/>
    <hyperlink r:id="rId1679" ref="P841"/>
    <hyperlink r:id="rId1680" ref="T841"/>
    <hyperlink r:id="rId1681" ref="P842"/>
    <hyperlink r:id="rId1682" ref="T842"/>
    <hyperlink r:id="rId1683" ref="P843"/>
    <hyperlink r:id="rId1684" ref="T843"/>
    <hyperlink r:id="rId1685" ref="P844"/>
    <hyperlink r:id="rId1686" ref="T844"/>
    <hyperlink r:id="rId1687" ref="P845"/>
    <hyperlink r:id="rId1688" ref="T845"/>
    <hyperlink r:id="rId1689" ref="P846"/>
    <hyperlink r:id="rId1690" ref="T846"/>
    <hyperlink r:id="rId1691" ref="P847"/>
    <hyperlink r:id="rId1692" ref="T847"/>
    <hyperlink r:id="rId1693" ref="P848"/>
    <hyperlink r:id="rId1694" ref="T848"/>
    <hyperlink r:id="rId1695" ref="P849"/>
    <hyperlink r:id="rId1696" ref="T849"/>
    <hyperlink r:id="rId1697" ref="P850"/>
    <hyperlink r:id="rId1698" ref="T850"/>
    <hyperlink r:id="rId1699" ref="P851"/>
    <hyperlink r:id="rId1700" ref="T851"/>
    <hyperlink r:id="rId1701" ref="P852"/>
    <hyperlink r:id="rId1702" ref="T852"/>
    <hyperlink r:id="rId1703" ref="P853"/>
    <hyperlink r:id="rId1704" ref="T853"/>
    <hyperlink r:id="rId1705" ref="P854"/>
    <hyperlink r:id="rId1706" ref="T854"/>
    <hyperlink r:id="rId1707" ref="P855"/>
    <hyperlink r:id="rId1708" ref="T855"/>
    <hyperlink r:id="rId1709" ref="P856"/>
    <hyperlink r:id="rId1710" ref="T856"/>
    <hyperlink r:id="rId1711" ref="P857"/>
    <hyperlink r:id="rId1712" ref="T857"/>
    <hyperlink r:id="rId1713" ref="P858"/>
    <hyperlink r:id="rId1714" ref="T858"/>
    <hyperlink r:id="rId1715" ref="P859"/>
    <hyperlink r:id="rId1716" ref="T859"/>
    <hyperlink r:id="rId1717" ref="P860"/>
    <hyperlink r:id="rId1718" ref="T860"/>
    <hyperlink r:id="rId1719" ref="P861"/>
    <hyperlink r:id="rId1720" ref="T861"/>
    <hyperlink r:id="rId1721" ref="P862"/>
    <hyperlink r:id="rId1722" ref="T862"/>
    <hyperlink r:id="rId1723" ref="P863"/>
    <hyperlink r:id="rId1724" ref="T863"/>
    <hyperlink r:id="rId1725" ref="P864"/>
    <hyperlink r:id="rId1726" ref="T864"/>
    <hyperlink r:id="rId1727" ref="P865"/>
    <hyperlink r:id="rId1728" ref="T865"/>
    <hyperlink r:id="rId1729" ref="P866"/>
    <hyperlink r:id="rId1730" ref="T866"/>
    <hyperlink r:id="rId1731" ref="P867"/>
    <hyperlink r:id="rId1732" ref="T867"/>
    <hyperlink r:id="rId1733" ref="P868"/>
    <hyperlink r:id="rId1734" ref="T868"/>
    <hyperlink r:id="rId1735" ref="P869"/>
    <hyperlink r:id="rId1736" ref="T869"/>
    <hyperlink r:id="rId1737" ref="P870"/>
    <hyperlink r:id="rId1738" ref="T870"/>
    <hyperlink r:id="rId1739" ref="P871"/>
    <hyperlink r:id="rId1740" ref="T871"/>
    <hyperlink r:id="rId1741" ref="P872"/>
    <hyperlink r:id="rId1742" ref="T872"/>
    <hyperlink r:id="rId1743" ref="P873"/>
    <hyperlink r:id="rId1744" ref="T873"/>
    <hyperlink r:id="rId1745" ref="P874"/>
    <hyperlink r:id="rId1746" ref="T874"/>
    <hyperlink r:id="rId1747" ref="P875"/>
    <hyperlink r:id="rId1748" ref="T875"/>
    <hyperlink r:id="rId1749" ref="P876"/>
    <hyperlink r:id="rId1750" ref="T876"/>
    <hyperlink r:id="rId1751" ref="P877"/>
    <hyperlink r:id="rId1752" ref="T877"/>
    <hyperlink r:id="rId1753" ref="P878"/>
    <hyperlink r:id="rId1754" ref="T878"/>
    <hyperlink r:id="rId1755" ref="P879"/>
    <hyperlink r:id="rId1756" ref="T879"/>
    <hyperlink r:id="rId1757" ref="P880"/>
    <hyperlink r:id="rId1758" ref="T880"/>
    <hyperlink r:id="rId1759" ref="P881"/>
    <hyperlink r:id="rId1760" ref="T881"/>
    <hyperlink r:id="rId1761" ref="P882"/>
    <hyperlink r:id="rId1762" ref="T882"/>
    <hyperlink r:id="rId1763" ref="P883"/>
    <hyperlink r:id="rId1764" ref="T883"/>
    <hyperlink r:id="rId1765" ref="P884"/>
    <hyperlink r:id="rId1766" ref="T884"/>
    <hyperlink r:id="rId1767" ref="P885"/>
    <hyperlink r:id="rId1768" ref="T885"/>
    <hyperlink r:id="rId1769" ref="P886"/>
    <hyperlink r:id="rId1770" ref="T886"/>
    <hyperlink r:id="rId1771" ref="P887"/>
    <hyperlink r:id="rId1772" ref="T887"/>
    <hyperlink r:id="rId1773" ref="P888"/>
    <hyperlink r:id="rId1774" ref="T888"/>
    <hyperlink r:id="rId1775" ref="P889"/>
    <hyperlink r:id="rId1776" ref="T889"/>
    <hyperlink r:id="rId1777" ref="P890"/>
    <hyperlink r:id="rId1778" ref="T890"/>
    <hyperlink r:id="rId1779" ref="P891"/>
    <hyperlink r:id="rId1780" ref="T891"/>
    <hyperlink r:id="rId1781" ref="P892"/>
    <hyperlink r:id="rId1782" ref="T892"/>
    <hyperlink r:id="rId1783" ref="P893"/>
    <hyperlink r:id="rId1784" ref="T893"/>
    <hyperlink r:id="rId1785" ref="P894"/>
    <hyperlink r:id="rId1786" ref="T894"/>
    <hyperlink r:id="rId1787" ref="P895"/>
    <hyperlink r:id="rId1788" ref="T895"/>
    <hyperlink r:id="rId1789" ref="P896"/>
    <hyperlink r:id="rId1790" ref="T896"/>
    <hyperlink r:id="rId1791" ref="P897"/>
    <hyperlink r:id="rId1792" ref="T897"/>
    <hyperlink r:id="rId1793" ref="P898"/>
    <hyperlink r:id="rId1794" ref="T898"/>
    <hyperlink r:id="rId1795" ref="P899"/>
    <hyperlink r:id="rId1796" ref="T899"/>
    <hyperlink r:id="rId1797" ref="P900"/>
    <hyperlink r:id="rId1798" ref="T900"/>
    <hyperlink r:id="rId1799" ref="P901"/>
    <hyperlink r:id="rId1800" ref="T901"/>
    <hyperlink r:id="rId1801" ref="P902"/>
    <hyperlink r:id="rId1802" ref="T902"/>
    <hyperlink r:id="rId1803" ref="P903"/>
    <hyperlink r:id="rId1804" ref="T903"/>
    <hyperlink r:id="rId1805" ref="P904"/>
    <hyperlink r:id="rId1806" ref="T904"/>
    <hyperlink r:id="rId1807" ref="P905"/>
    <hyperlink r:id="rId1808" ref="T905"/>
    <hyperlink r:id="rId1809" ref="P906"/>
    <hyperlink r:id="rId1810" ref="T906"/>
    <hyperlink r:id="rId1811" ref="P907"/>
    <hyperlink r:id="rId1812" ref="T907"/>
    <hyperlink r:id="rId1813" ref="P908"/>
    <hyperlink r:id="rId1814" ref="T908"/>
    <hyperlink r:id="rId1815" ref="P909"/>
    <hyperlink r:id="rId1816" ref="T909"/>
    <hyperlink r:id="rId1817" ref="P910"/>
    <hyperlink r:id="rId1818" ref="T910"/>
    <hyperlink r:id="rId1819" ref="P911"/>
    <hyperlink r:id="rId1820" ref="T911"/>
    <hyperlink r:id="rId1821" ref="P912"/>
    <hyperlink r:id="rId1822" ref="T912"/>
    <hyperlink r:id="rId1823" ref="P913"/>
    <hyperlink r:id="rId1824" ref="T913"/>
    <hyperlink r:id="rId1825" ref="P914"/>
    <hyperlink r:id="rId1826" ref="T914"/>
    <hyperlink r:id="rId1827" ref="P915"/>
    <hyperlink r:id="rId1828" ref="T915"/>
    <hyperlink r:id="rId1829" ref="P916"/>
    <hyperlink r:id="rId1830" ref="T916"/>
    <hyperlink r:id="rId1831" ref="P917"/>
    <hyperlink r:id="rId1832" ref="T917"/>
    <hyperlink r:id="rId1833" ref="P918"/>
    <hyperlink r:id="rId1834" ref="T918"/>
    <hyperlink r:id="rId1835" ref="P919"/>
    <hyperlink r:id="rId1836" ref="T919"/>
    <hyperlink r:id="rId1837" ref="P920"/>
    <hyperlink r:id="rId1838" ref="T920"/>
    <hyperlink r:id="rId1839" ref="P921"/>
    <hyperlink r:id="rId1840" ref="T921"/>
    <hyperlink r:id="rId1841" ref="P922"/>
    <hyperlink r:id="rId1842" ref="T922"/>
    <hyperlink r:id="rId1843" ref="P923"/>
    <hyperlink r:id="rId1844" ref="T923"/>
    <hyperlink r:id="rId1845" ref="P924"/>
    <hyperlink r:id="rId1846" ref="T924"/>
    <hyperlink r:id="rId1847" ref="P925"/>
    <hyperlink r:id="rId1848" ref="T925"/>
    <hyperlink r:id="rId1849" ref="P926"/>
    <hyperlink r:id="rId1850" ref="T926"/>
    <hyperlink r:id="rId1851" ref="P927"/>
    <hyperlink r:id="rId1852" ref="T927"/>
    <hyperlink r:id="rId1853" ref="P928"/>
    <hyperlink r:id="rId1854" ref="T928"/>
    <hyperlink r:id="rId1855" ref="P929"/>
    <hyperlink r:id="rId1856" ref="T929"/>
    <hyperlink r:id="rId1857" ref="P930"/>
    <hyperlink r:id="rId1858" ref="T930"/>
    <hyperlink r:id="rId1859" ref="P931"/>
    <hyperlink r:id="rId1860" ref="T931"/>
    <hyperlink r:id="rId1861" ref="P932"/>
    <hyperlink r:id="rId1862" ref="T932"/>
    <hyperlink r:id="rId1863" ref="P933"/>
    <hyperlink r:id="rId1864" ref="T933"/>
    <hyperlink r:id="rId1865" ref="P934"/>
    <hyperlink r:id="rId1866" ref="T934"/>
    <hyperlink r:id="rId1867" ref="P935"/>
    <hyperlink r:id="rId1868" ref="T935"/>
    <hyperlink r:id="rId1869" ref="P936"/>
    <hyperlink r:id="rId1870" ref="T936"/>
    <hyperlink r:id="rId1871" ref="P937"/>
    <hyperlink r:id="rId1872" ref="T937"/>
    <hyperlink r:id="rId1873" ref="P938"/>
    <hyperlink r:id="rId1874" ref="T938"/>
    <hyperlink r:id="rId1875" ref="P939"/>
    <hyperlink r:id="rId1876" ref="T939"/>
    <hyperlink r:id="rId1877" ref="P940"/>
    <hyperlink r:id="rId1878" ref="T940"/>
    <hyperlink r:id="rId1879" ref="P941"/>
    <hyperlink r:id="rId1880" ref="T941"/>
    <hyperlink r:id="rId1881" ref="P942"/>
    <hyperlink r:id="rId1882" ref="T942"/>
    <hyperlink r:id="rId1883" ref="P943"/>
    <hyperlink r:id="rId1884" ref="T943"/>
    <hyperlink r:id="rId1885" ref="P944"/>
    <hyperlink r:id="rId1886" ref="T944"/>
    <hyperlink r:id="rId1887" ref="P945"/>
    <hyperlink r:id="rId1888" ref="T945"/>
    <hyperlink r:id="rId1889" ref="P946"/>
    <hyperlink r:id="rId1890" ref="T946"/>
    <hyperlink r:id="rId1891" ref="P947"/>
    <hyperlink r:id="rId1892" ref="T947"/>
    <hyperlink r:id="rId1893" ref="P948"/>
    <hyperlink r:id="rId1894" ref="T948"/>
    <hyperlink r:id="rId1895" ref="P949"/>
    <hyperlink r:id="rId1896" ref="T949"/>
    <hyperlink r:id="rId1897" ref="P950"/>
    <hyperlink r:id="rId1898" ref="T950"/>
    <hyperlink r:id="rId1899" ref="P951"/>
    <hyperlink r:id="rId1900" ref="T951"/>
    <hyperlink r:id="rId1901" ref="P952"/>
    <hyperlink r:id="rId1902" ref="T952"/>
    <hyperlink r:id="rId1903" ref="P953"/>
    <hyperlink r:id="rId1904" ref="T953"/>
    <hyperlink r:id="rId1905" ref="P954"/>
    <hyperlink r:id="rId1906" ref="T954"/>
    <hyperlink r:id="rId1907" ref="P955"/>
    <hyperlink r:id="rId1908" ref="T955"/>
    <hyperlink r:id="rId1909" ref="P956"/>
    <hyperlink r:id="rId1910" ref="T956"/>
    <hyperlink r:id="rId1911" ref="P957"/>
    <hyperlink r:id="rId1912" ref="T957"/>
    <hyperlink r:id="rId1913" ref="P958"/>
    <hyperlink r:id="rId1914" ref="T958"/>
    <hyperlink r:id="rId1915" ref="P959"/>
    <hyperlink r:id="rId1916" ref="T959"/>
    <hyperlink r:id="rId1917" ref="P960"/>
    <hyperlink r:id="rId1918" ref="T960"/>
    <hyperlink r:id="rId1919" ref="P961"/>
    <hyperlink r:id="rId1920" ref="T961"/>
    <hyperlink r:id="rId1921" ref="P962"/>
    <hyperlink r:id="rId1922" ref="T962"/>
    <hyperlink r:id="rId1923" ref="P963"/>
    <hyperlink r:id="rId1924" ref="T963"/>
    <hyperlink r:id="rId1925" ref="P964"/>
    <hyperlink r:id="rId1926" ref="T964"/>
    <hyperlink r:id="rId1927" ref="P965"/>
    <hyperlink r:id="rId1928" ref="T965"/>
    <hyperlink r:id="rId1929" ref="P966"/>
    <hyperlink r:id="rId1930" ref="T966"/>
    <hyperlink r:id="rId1931" ref="P967"/>
    <hyperlink r:id="rId1932" ref="T967"/>
    <hyperlink r:id="rId1933" ref="P968"/>
    <hyperlink r:id="rId1934" ref="T968"/>
    <hyperlink r:id="rId1935" ref="P969"/>
    <hyperlink r:id="rId1936" ref="T969"/>
    <hyperlink r:id="rId1937" ref="P970"/>
    <hyperlink r:id="rId1938" ref="T970"/>
    <hyperlink r:id="rId1939" ref="P971"/>
    <hyperlink r:id="rId1940" ref="T971"/>
    <hyperlink r:id="rId1941" ref="P972"/>
    <hyperlink r:id="rId1942" ref="T972"/>
    <hyperlink r:id="rId1943" ref="P973"/>
    <hyperlink r:id="rId1944" ref="T973"/>
    <hyperlink r:id="rId1945" ref="P974"/>
    <hyperlink r:id="rId1946" ref="T974"/>
    <hyperlink r:id="rId1947" ref="P975"/>
    <hyperlink r:id="rId1948" ref="T975"/>
    <hyperlink r:id="rId1949" ref="P976"/>
    <hyperlink r:id="rId1950" ref="T976"/>
    <hyperlink r:id="rId1951" ref="P977"/>
    <hyperlink r:id="rId1952" ref="T977"/>
    <hyperlink r:id="rId1953" ref="P978"/>
    <hyperlink r:id="rId1954" ref="T978"/>
    <hyperlink r:id="rId1955" ref="P979"/>
    <hyperlink r:id="rId1956" ref="T979"/>
    <hyperlink r:id="rId1957" ref="P980"/>
    <hyperlink r:id="rId1958" ref="T980"/>
    <hyperlink r:id="rId1959" ref="P981"/>
    <hyperlink r:id="rId1960" ref="T981"/>
    <hyperlink r:id="rId1961" ref="P982"/>
    <hyperlink r:id="rId1962" ref="T982"/>
    <hyperlink r:id="rId1963" ref="P983"/>
    <hyperlink r:id="rId1964" ref="T983"/>
    <hyperlink r:id="rId1965" ref="P984"/>
    <hyperlink r:id="rId1966" ref="T984"/>
    <hyperlink r:id="rId1967" ref="P985"/>
    <hyperlink r:id="rId1968" ref="T985"/>
    <hyperlink r:id="rId1969" ref="P986"/>
    <hyperlink r:id="rId1970" ref="T986"/>
    <hyperlink r:id="rId1971" ref="P987"/>
    <hyperlink r:id="rId1972" ref="T987"/>
    <hyperlink r:id="rId1973" ref="P988"/>
    <hyperlink r:id="rId1974" ref="T988"/>
    <hyperlink r:id="rId1975" ref="P989"/>
    <hyperlink r:id="rId1976" ref="T989"/>
    <hyperlink r:id="rId1977" ref="P990"/>
    <hyperlink r:id="rId1978" ref="T990"/>
    <hyperlink r:id="rId1979" ref="P991"/>
    <hyperlink r:id="rId1980" ref="T991"/>
    <hyperlink r:id="rId1981" ref="P992"/>
    <hyperlink r:id="rId1982" ref="T992"/>
    <hyperlink r:id="rId1983" ref="P993"/>
    <hyperlink r:id="rId1984" ref="T993"/>
    <hyperlink r:id="rId1985" ref="P994"/>
    <hyperlink r:id="rId1986" ref="T994"/>
    <hyperlink r:id="rId1987" ref="P995"/>
    <hyperlink r:id="rId1988" ref="T995"/>
    <hyperlink r:id="rId1989" ref="P996"/>
    <hyperlink r:id="rId1990" ref="T996"/>
    <hyperlink r:id="rId1991" ref="P997"/>
    <hyperlink r:id="rId1992" ref="T997"/>
    <hyperlink r:id="rId1993" ref="P998"/>
    <hyperlink r:id="rId1994" ref="T998"/>
    <hyperlink r:id="rId1995" ref="P999"/>
    <hyperlink r:id="rId1996" ref="T999"/>
    <hyperlink r:id="rId1997" ref="P1000"/>
    <hyperlink r:id="rId1998" ref="T1000"/>
    <hyperlink r:id="rId1999" ref="P1001"/>
    <hyperlink r:id="rId2000" ref="T1001"/>
    <hyperlink r:id="rId2001" ref="P1002"/>
    <hyperlink r:id="rId2002" ref="T1002"/>
    <hyperlink r:id="rId2003" ref="P1003"/>
    <hyperlink r:id="rId2004" ref="T1003"/>
    <hyperlink r:id="rId2005" ref="P1004"/>
    <hyperlink r:id="rId2006" ref="T1004"/>
    <hyperlink r:id="rId2007" ref="P1005"/>
    <hyperlink r:id="rId2008" ref="T1005"/>
    <hyperlink r:id="rId2009" ref="P1006"/>
    <hyperlink r:id="rId2010" ref="T1006"/>
    <hyperlink r:id="rId2011" ref="P1007"/>
    <hyperlink r:id="rId2012" ref="T1007"/>
    <hyperlink r:id="rId2013" ref="P1008"/>
    <hyperlink r:id="rId2014" ref="T1008"/>
    <hyperlink r:id="rId2015" ref="P1009"/>
    <hyperlink r:id="rId2016" ref="T1009"/>
    <hyperlink r:id="rId2017" ref="P1010"/>
    <hyperlink r:id="rId2018" ref="T1010"/>
    <hyperlink r:id="rId2019" ref="P1011"/>
    <hyperlink r:id="rId2020" ref="T1011"/>
    <hyperlink r:id="rId2021" ref="P1012"/>
    <hyperlink r:id="rId2022" ref="T1012"/>
    <hyperlink r:id="rId2023" ref="P1013"/>
    <hyperlink r:id="rId2024" ref="T1013"/>
    <hyperlink r:id="rId2025" ref="P1014"/>
    <hyperlink r:id="rId2026" ref="T1014"/>
    <hyperlink r:id="rId2027" ref="P1015"/>
    <hyperlink r:id="rId2028" ref="T1015"/>
    <hyperlink r:id="rId2029" ref="P1016"/>
    <hyperlink r:id="rId2030" ref="T1016"/>
    <hyperlink r:id="rId2031" ref="P1017"/>
    <hyperlink r:id="rId2032" ref="T1017"/>
    <hyperlink r:id="rId2033" ref="P1018"/>
    <hyperlink r:id="rId2034" ref="T1018"/>
    <hyperlink r:id="rId2035" ref="P1019"/>
    <hyperlink r:id="rId2036" ref="T1019"/>
    <hyperlink r:id="rId2037" ref="P1020"/>
    <hyperlink r:id="rId2038" ref="T1020"/>
    <hyperlink r:id="rId2039" ref="P1021"/>
    <hyperlink r:id="rId2040" ref="T1021"/>
    <hyperlink r:id="rId2041" ref="P1022"/>
    <hyperlink r:id="rId2042" ref="T1022"/>
    <hyperlink r:id="rId2043" ref="P1023"/>
    <hyperlink r:id="rId2044" ref="T1023"/>
    <hyperlink r:id="rId2045" ref="P1024"/>
    <hyperlink r:id="rId2046" ref="T1024"/>
    <hyperlink r:id="rId2047" ref="P1025"/>
    <hyperlink r:id="rId2048" ref="T1025"/>
    <hyperlink r:id="rId2049" ref="P1026"/>
    <hyperlink r:id="rId2050" ref="T1026"/>
    <hyperlink r:id="rId2051" ref="P1027"/>
    <hyperlink r:id="rId2052" ref="T1027"/>
    <hyperlink r:id="rId2053" ref="P1028"/>
    <hyperlink r:id="rId2054" ref="T1028"/>
    <hyperlink r:id="rId2055" ref="P1029"/>
    <hyperlink r:id="rId2056" ref="T1029"/>
    <hyperlink r:id="rId2057" ref="P1030"/>
    <hyperlink r:id="rId2058" ref="T1030"/>
    <hyperlink r:id="rId2059" ref="P1031"/>
    <hyperlink r:id="rId2060" ref="T1031"/>
    <hyperlink r:id="rId2061" ref="P1032"/>
    <hyperlink r:id="rId2062" ref="T1032"/>
    <hyperlink r:id="rId2063" ref="P1033"/>
    <hyperlink r:id="rId2064" ref="T1033"/>
    <hyperlink r:id="rId2065" ref="P1034"/>
    <hyperlink r:id="rId2066" ref="T1034"/>
    <hyperlink r:id="rId2067" ref="P1035"/>
    <hyperlink r:id="rId2068" ref="T1035"/>
    <hyperlink r:id="rId2069" ref="P1036"/>
    <hyperlink r:id="rId2070" ref="T1036"/>
    <hyperlink r:id="rId2071" ref="P1037"/>
    <hyperlink r:id="rId2072" ref="T1037"/>
    <hyperlink r:id="rId2073" ref="P1038"/>
    <hyperlink r:id="rId2074" ref="T1038"/>
    <hyperlink r:id="rId2075" ref="P1039"/>
    <hyperlink r:id="rId2076" ref="T1039"/>
    <hyperlink r:id="rId2077" ref="P1040"/>
    <hyperlink r:id="rId2078" ref="T1040"/>
    <hyperlink r:id="rId2079" ref="P1041"/>
    <hyperlink r:id="rId2080" ref="T1041"/>
    <hyperlink r:id="rId2081" ref="P1042"/>
    <hyperlink r:id="rId2082" ref="T1042"/>
    <hyperlink r:id="rId2083" ref="P1043"/>
    <hyperlink r:id="rId2084" ref="T1043"/>
    <hyperlink r:id="rId2085" ref="P1044"/>
    <hyperlink r:id="rId2086" ref="T1044"/>
    <hyperlink r:id="rId2087" ref="P1045"/>
    <hyperlink r:id="rId2088" ref="T1045"/>
    <hyperlink r:id="rId2089" ref="P1046"/>
    <hyperlink r:id="rId2090" ref="T1046"/>
    <hyperlink r:id="rId2091" ref="P1047"/>
    <hyperlink r:id="rId2092" ref="T1047"/>
    <hyperlink r:id="rId2093" ref="P1048"/>
    <hyperlink r:id="rId2094" ref="T1048"/>
    <hyperlink r:id="rId2095" ref="P1049"/>
    <hyperlink r:id="rId2096" ref="T1049"/>
    <hyperlink r:id="rId2097" ref="P1050"/>
    <hyperlink r:id="rId2098" ref="T1050"/>
    <hyperlink r:id="rId2099" ref="P1051"/>
    <hyperlink r:id="rId2100" ref="T1051"/>
    <hyperlink r:id="rId2101" ref="P1052"/>
    <hyperlink r:id="rId2102" ref="T1052"/>
    <hyperlink r:id="rId2103" ref="P1053"/>
    <hyperlink r:id="rId2104" ref="T1053"/>
    <hyperlink r:id="rId2105" ref="P1054"/>
    <hyperlink r:id="rId2106" ref="T1054"/>
    <hyperlink r:id="rId2107" ref="P1055"/>
    <hyperlink r:id="rId2108" ref="T1055"/>
    <hyperlink r:id="rId2109" ref="P1056"/>
    <hyperlink r:id="rId2110" ref="T1056"/>
    <hyperlink r:id="rId2111" ref="P1057"/>
    <hyperlink r:id="rId2112" ref="T1057"/>
    <hyperlink r:id="rId2113" ref="P1058"/>
    <hyperlink r:id="rId2114" ref="T1058"/>
    <hyperlink r:id="rId2115" ref="P1059"/>
    <hyperlink r:id="rId2116" ref="T1059"/>
    <hyperlink r:id="rId2117" ref="P1060"/>
    <hyperlink r:id="rId2118" ref="T1060"/>
    <hyperlink r:id="rId2119" ref="P1061"/>
    <hyperlink r:id="rId2120" ref="T1061"/>
    <hyperlink r:id="rId2121" ref="P1062"/>
    <hyperlink r:id="rId2122" ref="T1062"/>
    <hyperlink r:id="rId2123" ref="P1063"/>
    <hyperlink r:id="rId2124" ref="T1063"/>
    <hyperlink r:id="rId2125" ref="P1064"/>
    <hyperlink r:id="rId2126" ref="T1064"/>
    <hyperlink r:id="rId2127" ref="P1065"/>
    <hyperlink r:id="rId2128" ref="T1065"/>
    <hyperlink r:id="rId2129" ref="P1066"/>
    <hyperlink r:id="rId2130" ref="T1066"/>
    <hyperlink r:id="rId2131" ref="P1067"/>
    <hyperlink r:id="rId2132" ref="T1067"/>
    <hyperlink r:id="rId2133" ref="P1068"/>
    <hyperlink r:id="rId2134" ref="T1068"/>
    <hyperlink r:id="rId2135" ref="P1069"/>
    <hyperlink r:id="rId2136" ref="T1069"/>
    <hyperlink r:id="rId2137" ref="P1070"/>
    <hyperlink r:id="rId2138" ref="T1070"/>
    <hyperlink r:id="rId2139" ref="P1071"/>
    <hyperlink r:id="rId2140" ref="T1071"/>
    <hyperlink r:id="rId2141" ref="P1072"/>
    <hyperlink r:id="rId2142" ref="T1072"/>
    <hyperlink r:id="rId2143" ref="P1073"/>
    <hyperlink r:id="rId2144" ref="T1073"/>
    <hyperlink r:id="rId2145" ref="P1074"/>
    <hyperlink r:id="rId2146" ref="T1074"/>
    <hyperlink r:id="rId2147" ref="P1075"/>
    <hyperlink r:id="rId2148" ref="T1075"/>
    <hyperlink r:id="rId2149" ref="P1076"/>
    <hyperlink r:id="rId2150" ref="T1076"/>
    <hyperlink r:id="rId2151" ref="P1077"/>
    <hyperlink r:id="rId2152" ref="T1077"/>
    <hyperlink r:id="rId2153" ref="P1078"/>
    <hyperlink r:id="rId2154" ref="T1078"/>
    <hyperlink r:id="rId2155" ref="P1079"/>
    <hyperlink r:id="rId2156" ref="T1079"/>
    <hyperlink r:id="rId2157" ref="P1080"/>
    <hyperlink r:id="rId2158" ref="T1080"/>
    <hyperlink r:id="rId2159" ref="P1081"/>
    <hyperlink r:id="rId2160" ref="T1081"/>
    <hyperlink r:id="rId2161" ref="P1082"/>
    <hyperlink r:id="rId2162" ref="T1082"/>
    <hyperlink r:id="rId2163" ref="P1083"/>
    <hyperlink r:id="rId2164" ref="T1083"/>
    <hyperlink r:id="rId2165" ref="P1084"/>
    <hyperlink r:id="rId2166" ref="T1084"/>
    <hyperlink r:id="rId2167" ref="P1085"/>
    <hyperlink r:id="rId2168" ref="T1085"/>
    <hyperlink r:id="rId2169" ref="P1086"/>
    <hyperlink r:id="rId2170" ref="T1086"/>
    <hyperlink r:id="rId2171" ref="P1087"/>
    <hyperlink r:id="rId2172" ref="T1087"/>
    <hyperlink r:id="rId2173" ref="P1088"/>
    <hyperlink r:id="rId2174" ref="T1088"/>
    <hyperlink r:id="rId2175" ref="P1089"/>
    <hyperlink r:id="rId2176" ref="T1089"/>
    <hyperlink r:id="rId2177" ref="P1090"/>
    <hyperlink r:id="rId2178" ref="T1090"/>
    <hyperlink r:id="rId2179" ref="P1091"/>
    <hyperlink r:id="rId2180" ref="T1091"/>
    <hyperlink r:id="rId2181" ref="P1092"/>
    <hyperlink r:id="rId2182" ref="T1092"/>
    <hyperlink r:id="rId2183" ref="P1093"/>
    <hyperlink r:id="rId2184" ref="T1093"/>
    <hyperlink r:id="rId2185" ref="P1094"/>
    <hyperlink r:id="rId2186" ref="T1094"/>
    <hyperlink r:id="rId2187" ref="P1095"/>
    <hyperlink r:id="rId2188" ref="T1095"/>
    <hyperlink r:id="rId2189" ref="P1096"/>
    <hyperlink r:id="rId2190" ref="T1096"/>
    <hyperlink r:id="rId2191" ref="P1097"/>
    <hyperlink r:id="rId2192" ref="T1097"/>
    <hyperlink r:id="rId2193" ref="P1098"/>
    <hyperlink r:id="rId2194" ref="T1098"/>
    <hyperlink r:id="rId2195" ref="P1099"/>
    <hyperlink r:id="rId2196" ref="T1099"/>
    <hyperlink r:id="rId2197" ref="P1100"/>
    <hyperlink r:id="rId2198" ref="T1100"/>
    <hyperlink r:id="rId2199" ref="P1101"/>
    <hyperlink r:id="rId2200" ref="T1101"/>
    <hyperlink r:id="rId2201" ref="P1102"/>
    <hyperlink r:id="rId2202" ref="T1102"/>
    <hyperlink r:id="rId2203" ref="P1103"/>
    <hyperlink r:id="rId2204" ref="T1103"/>
    <hyperlink r:id="rId2205" ref="P1104"/>
    <hyperlink r:id="rId2206" ref="T1104"/>
    <hyperlink r:id="rId2207" ref="P1105"/>
    <hyperlink r:id="rId2208" ref="T1105"/>
    <hyperlink r:id="rId2209" ref="P1106"/>
    <hyperlink r:id="rId2210" ref="T1106"/>
    <hyperlink r:id="rId2211" ref="P1107"/>
    <hyperlink r:id="rId2212" ref="T1107"/>
    <hyperlink r:id="rId2213" ref="P1108"/>
    <hyperlink r:id="rId2214" ref="T1108"/>
    <hyperlink r:id="rId2215" ref="P1109"/>
    <hyperlink r:id="rId2216" ref="T1109"/>
    <hyperlink r:id="rId2217" ref="P1110"/>
    <hyperlink r:id="rId2218" ref="T1110"/>
    <hyperlink r:id="rId2219" ref="P1111"/>
    <hyperlink r:id="rId2220" ref="T1111"/>
    <hyperlink r:id="rId2221" ref="P1112"/>
    <hyperlink r:id="rId2222" ref="T1112"/>
    <hyperlink r:id="rId2223" ref="P1113"/>
    <hyperlink r:id="rId2224" ref="T1113"/>
    <hyperlink r:id="rId2225" ref="P1114"/>
    <hyperlink r:id="rId2226" ref="T1114"/>
    <hyperlink r:id="rId2227" ref="P1115"/>
    <hyperlink r:id="rId2228" ref="T1115"/>
    <hyperlink r:id="rId2229" ref="P1116"/>
    <hyperlink r:id="rId2230" ref="T1116"/>
    <hyperlink r:id="rId2231" ref="P1117"/>
    <hyperlink r:id="rId2232" ref="T1117"/>
    <hyperlink r:id="rId2233" ref="P1118"/>
    <hyperlink r:id="rId2234" ref="T1118"/>
    <hyperlink r:id="rId2235" ref="P1119"/>
    <hyperlink r:id="rId2236" ref="T1119"/>
    <hyperlink r:id="rId2237" ref="P1120"/>
    <hyperlink r:id="rId2238" ref="T1120"/>
    <hyperlink r:id="rId2239" ref="P1121"/>
    <hyperlink r:id="rId2240" ref="T1121"/>
    <hyperlink r:id="rId2241" ref="P1122"/>
    <hyperlink r:id="rId2242" ref="T1122"/>
    <hyperlink r:id="rId2243" ref="P1123"/>
    <hyperlink r:id="rId2244" ref="T1123"/>
    <hyperlink r:id="rId2245" ref="P1124"/>
    <hyperlink r:id="rId2246" ref="T1124"/>
    <hyperlink r:id="rId2247" ref="P1125"/>
    <hyperlink r:id="rId2248" ref="T1125"/>
    <hyperlink r:id="rId2249" ref="P1126"/>
    <hyperlink r:id="rId2250" ref="T1126"/>
    <hyperlink r:id="rId2251" ref="P1127"/>
    <hyperlink r:id="rId2252" ref="T1127"/>
    <hyperlink r:id="rId2253" ref="P1128"/>
    <hyperlink r:id="rId2254" ref="T1128"/>
    <hyperlink r:id="rId2255" ref="P1129"/>
    <hyperlink r:id="rId2256" ref="T1129"/>
    <hyperlink r:id="rId2257" ref="P1130"/>
    <hyperlink r:id="rId2258" ref="T1130"/>
    <hyperlink r:id="rId2259" ref="P1131"/>
    <hyperlink r:id="rId2260" ref="T1131"/>
    <hyperlink r:id="rId2261" ref="P1132"/>
    <hyperlink r:id="rId2262" ref="T1132"/>
    <hyperlink r:id="rId2263" ref="P1133"/>
    <hyperlink r:id="rId2264" ref="T1133"/>
    <hyperlink r:id="rId2265" ref="P1134"/>
    <hyperlink r:id="rId2266" ref="T1134"/>
    <hyperlink r:id="rId2267" ref="P1135"/>
    <hyperlink r:id="rId2268" ref="T1135"/>
    <hyperlink r:id="rId2269" ref="P1136"/>
    <hyperlink r:id="rId2270" ref="T1136"/>
    <hyperlink r:id="rId2271" ref="P1137"/>
    <hyperlink r:id="rId2272" ref="T1137"/>
    <hyperlink r:id="rId2273" ref="P1138"/>
    <hyperlink r:id="rId2274" ref="T1138"/>
    <hyperlink r:id="rId2275" ref="P1139"/>
    <hyperlink r:id="rId2276" ref="T1139"/>
    <hyperlink r:id="rId2277" ref="P1140"/>
    <hyperlink r:id="rId2278" ref="T1140"/>
    <hyperlink r:id="rId2279" ref="P1141"/>
    <hyperlink r:id="rId2280" ref="T1141"/>
    <hyperlink r:id="rId2281" ref="P1142"/>
    <hyperlink r:id="rId2282" ref="T1142"/>
    <hyperlink r:id="rId2283" ref="P1143"/>
    <hyperlink r:id="rId2284" ref="T1143"/>
    <hyperlink r:id="rId2285" ref="P1144"/>
    <hyperlink r:id="rId2286" ref="T1144"/>
    <hyperlink r:id="rId2287" ref="P1145"/>
    <hyperlink r:id="rId2288" ref="T1145"/>
    <hyperlink r:id="rId2289" ref="P1146"/>
    <hyperlink r:id="rId2290" ref="T1146"/>
    <hyperlink r:id="rId2291" ref="P1147"/>
    <hyperlink r:id="rId2292" ref="T1147"/>
    <hyperlink r:id="rId2293" ref="P1148"/>
    <hyperlink r:id="rId2294" ref="T1148"/>
    <hyperlink r:id="rId2295" ref="P1149"/>
    <hyperlink r:id="rId2296" ref="T1149"/>
    <hyperlink r:id="rId2297" ref="P1150"/>
    <hyperlink r:id="rId2298" ref="T1150"/>
    <hyperlink r:id="rId2299" ref="P1151"/>
    <hyperlink r:id="rId2300" ref="T1151"/>
    <hyperlink r:id="rId2301" ref="P1152"/>
    <hyperlink r:id="rId2302" ref="T1152"/>
    <hyperlink r:id="rId2303" ref="P1153"/>
    <hyperlink r:id="rId2304" ref="T1153"/>
    <hyperlink r:id="rId2305" ref="P1154"/>
    <hyperlink r:id="rId2306" ref="T1154"/>
    <hyperlink r:id="rId2307" ref="P1155"/>
    <hyperlink r:id="rId2308" ref="T1155"/>
    <hyperlink r:id="rId2309" ref="P1156"/>
    <hyperlink r:id="rId2310" ref="T1156"/>
    <hyperlink r:id="rId2311" ref="P1157"/>
    <hyperlink r:id="rId2312" ref="T1157"/>
    <hyperlink r:id="rId2313" ref="P1158"/>
    <hyperlink r:id="rId2314" ref="T1158"/>
    <hyperlink r:id="rId2315" ref="P1159"/>
    <hyperlink r:id="rId2316" ref="T1159"/>
    <hyperlink r:id="rId2317" ref="P1160"/>
    <hyperlink r:id="rId2318" ref="T1160"/>
    <hyperlink r:id="rId2319" ref="P1161"/>
    <hyperlink r:id="rId2320" ref="T1161"/>
    <hyperlink r:id="rId2321" ref="P1162"/>
    <hyperlink r:id="rId2322" ref="T1162"/>
    <hyperlink r:id="rId2323" ref="P1163"/>
    <hyperlink r:id="rId2324" ref="T1163"/>
    <hyperlink r:id="rId2325" ref="P1164"/>
    <hyperlink r:id="rId2326" ref="T1164"/>
    <hyperlink r:id="rId2327" ref="P1165"/>
    <hyperlink r:id="rId2328" ref="T1165"/>
    <hyperlink r:id="rId2329" ref="P1166"/>
    <hyperlink r:id="rId2330" ref="T1166"/>
    <hyperlink r:id="rId2331" ref="P1167"/>
    <hyperlink r:id="rId2332" ref="T1167"/>
    <hyperlink r:id="rId2333" ref="P1168"/>
    <hyperlink r:id="rId2334" ref="T1168"/>
    <hyperlink r:id="rId2335" ref="P1169"/>
    <hyperlink r:id="rId2336" ref="T1169"/>
    <hyperlink r:id="rId2337" ref="P1170"/>
    <hyperlink r:id="rId2338" ref="T1170"/>
    <hyperlink r:id="rId2339" ref="P1171"/>
    <hyperlink r:id="rId2340" ref="T1171"/>
    <hyperlink r:id="rId2341" ref="P1172"/>
    <hyperlink r:id="rId2342" ref="T1172"/>
    <hyperlink r:id="rId2343" ref="P1173"/>
    <hyperlink r:id="rId2344" ref="T1173"/>
    <hyperlink r:id="rId2345" ref="P1174"/>
    <hyperlink r:id="rId2346" ref="T1174"/>
    <hyperlink r:id="rId2347" ref="P1175"/>
    <hyperlink r:id="rId2348" ref="T1175"/>
    <hyperlink r:id="rId2349" ref="P1176"/>
    <hyperlink r:id="rId2350" ref="T1176"/>
    <hyperlink r:id="rId2351" ref="P1177"/>
    <hyperlink r:id="rId2352" ref="T1177"/>
    <hyperlink r:id="rId2353" ref="P1178"/>
    <hyperlink r:id="rId2354" ref="T1178"/>
    <hyperlink r:id="rId2355" ref="P1179"/>
    <hyperlink r:id="rId2356" ref="T1179"/>
    <hyperlink r:id="rId2357" ref="P1180"/>
    <hyperlink r:id="rId2358" ref="T1180"/>
    <hyperlink r:id="rId2359" ref="P1181"/>
    <hyperlink r:id="rId2360" ref="T1181"/>
    <hyperlink r:id="rId2361" ref="P1182"/>
    <hyperlink r:id="rId2362" ref="T1182"/>
    <hyperlink r:id="rId2363" ref="P1183"/>
    <hyperlink r:id="rId2364" ref="T1183"/>
    <hyperlink r:id="rId2365" ref="P1184"/>
    <hyperlink r:id="rId2366" ref="T1184"/>
    <hyperlink r:id="rId2367" ref="P1185"/>
    <hyperlink r:id="rId2368" ref="T1185"/>
    <hyperlink r:id="rId2369" ref="P1186"/>
    <hyperlink r:id="rId2370" ref="T1186"/>
    <hyperlink r:id="rId2371" ref="P1187"/>
    <hyperlink r:id="rId2372" ref="T1187"/>
    <hyperlink r:id="rId2373" ref="P1188"/>
    <hyperlink r:id="rId2374" ref="T1188"/>
    <hyperlink r:id="rId2375" ref="P1189"/>
    <hyperlink r:id="rId2376" ref="T1189"/>
    <hyperlink r:id="rId2377" ref="P1190"/>
    <hyperlink r:id="rId2378" ref="T1190"/>
    <hyperlink r:id="rId2379" ref="P1191"/>
    <hyperlink r:id="rId2380" ref="T1191"/>
    <hyperlink r:id="rId2381" ref="P1192"/>
    <hyperlink r:id="rId2382" ref="T1192"/>
    <hyperlink r:id="rId2383" ref="P1193"/>
    <hyperlink r:id="rId2384" ref="T1193"/>
    <hyperlink r:id="rId2385" ref="P1194"/>
    <hyperlink r:id="rId2386" ref="T1194"/>
    <hyperlink r:id="rId2387" ref="P1195"/>
    <hyperlink r:id="rId2388" ref="T1195"/>
    <hyperlink r:id="rId2389" ref="P1196"/>
    <hyperlink r:id="rId2390" ref="T1196"/>
    <hyperlink r:id="rId2391" ref="P1197"/>
    <hyperlink r:id="rId2392" ref="T1197"/>
    <hyperlink r:id="rId2393" ref="P1198"/>
    <hyperlink r:id="rId2394" ref="T1198"/>
    <hyperlink r:id="rId2395" ref="P1199"/>
    <hyperlink r:id="rId2396" ref="T1199"/>
    <hyperlink r:id="rId2397" ref="P1200"/>
    <hyperlink r:id="rId2398" ref="T1200"/>
    <hyperlink r:id="rId2399" ref="P1201"/>
    <hyperlink r:id="rId2400" ref="T1201"/>
    <hyperlink r:id="rId2401" ref="P1202"/>
    <hyperlink r:id="rId2402" ref="T1202"/>
    <hyperlink r:id="rId2403" ref="P1203"/>
    <hyperlink r:id="rId2404" ref="T1203"/>
    <hyperlink r:id="rId2405" ref="P1204"/>
    <hyperlink r:id="rId2406" ref="T1204"/>
    <hyperlink r:id="rId2407" ref="P1205"/>
    <hyperlink r:id="rId2408" ref="T1205"/>
    <hyperlink r:id="rId2409" ref="P1206"/>
    <hyperlink r:id="rId2410" ref="T1206"/>
    <hyperlink r:id="rId2411" ref="P1207"/>
    <hyperlink r:id="rId2412" ref="T1207"/>
    <hyperlink r:id="rId2413" ref="P1208"/>
    <hyperlink r:id="rId2414" ref="T1208"/>
    <hyperlink r:id="rId2415" ref="P1209"/>
    <hyperlink r:id="rId2416" ref="T1209"/>
    <hyperlink r:id="rId2417" ref="P1210"/>
    <hyperlink r:id="rId2418" ref="T1210"/>
    <hyperlink r:id="rId2419" ref="P1211"/>
    <hyperlink r:id="rId2420" ref="T1211"/>
    <hyperlink r:id="rId2421" ref="P1212"/>
    <hyperlink r:id="rId2422" ref="T1212"/>
    <hyperlink r:id="rId2423" ref="P1213"/>
    <hyperlink r:id="rId2424" ref="T1213"/>
    <hyperlink r:id="rId2425" ref="P1214"/>
    <hyperlink r:id="rId2426" ref="T1214"/>
    <hyperlink r:id="rId2427" ref="P1215"/>
    <hyperlink r:id="rId2428" ref="T1215"/>
    <hyperlink r:id="rId2429" ref="P1216"/>
    <hyperlink r:id="rId2430" ref="T1216"/>
    <hyperlink r:id="rId2431" ref="P1217"/>
    <hyperlink r:id="rId2432" ref="T1217"/>
    <hyperlink r:id="rId2433" ref="P1218"/>
    <hyperlink r:id="rId2434" ref="T1218"/>
    <hyperlink r:id="rId2435" ref="P1219"/>
    <hyperlink r:id="rId2436" ref="T1219"/>
    <hyperlink r:id="rId2437" ref="P1220"/>
    <hyperlink r:id="rId2438" ref="T1220"/>
    <hyperlink r:id="rId2439" ref="P1221"/>
    <hyperlink r:id="rId2440" ref="T1221"/>
    <hyperlink r:id="rId2441" ref="P1222"/>
    <hyperlink r:id="rId2442" ref="T1222"/>
    <hyperlink r:id="rId2443" ref="P1223"/>
    <hyperlink r:id="rId2444" ref="T1223"/>
    <hyperlink r:id="rId2445" ref="P1224"/>
    <hyperlink r:id="rId2446" ref="T1224"/>
    <hyperlink r:id="rId2447" ref="P1225"/>
    <hyperlink r:id="rId2448" ref="T1225"/>
    <hyperlink r:id="rId2449" ref="P1226"/>
    <hyperlink r:id="rId2450" ref="T1226"/>
    <hyperlink r:id="rId2451" ref="P1227"/>
    <hyperlink r:id="rId2452" ref="T1227"/>
    <hyperlink r:id="rId2453" ref="P1228"/>
    <hyperlink r:id="rId2454" ref="T1228"/>
    <hyperlink r:id="rId2455" ref="P1229"/>
    <hyperlink r:id="rId2456" ref="T1229"/>
    <hyperlink r:id="rId2457" ref="P1230"/>
    <hyperlink r:id="rId2458" ref="T1230"/>
    <hyperlink r:id="rId2459" ref="P1231"/>
    <hyperlink r:id="rId2460" ref="T1231"/>
    <hyperlink r:id="rId2461" ref="P1232"/>
    <hyperlink r:id="rId2462" ref="T1232"/>
    <hyperlink r:id="rId2463" ref="P1233"/>
    <hyperlink r:id="rId2464" ref="T1233"/>
    <hyperlink r:id="rId2465" ref="P1234"/>
    <hyperlink r:id="rId2466" ref="T1234"/>
    <hyperlink r:id="rId2467" ref="P1235"/>
    <hyperlink r:id="rId2468" ref="T1235"/>
    <hyperlink r:id="rId2469" ref="P1236"/>
    <hyperlink r:id="rId2470" ref="T1236"/>
    <hyperlink r:id="rId2471" ref="P1237"/>
    <hyperlink r:id="rId2472" ref="T1237"/>
    <hyperlink r:id="rId2473" ref="P1238"/>
    <hyperlink r:id="rId2474" ref="T1238"/>
    <hyperlink r:id="rId2475" ref="P1239"/>
    <hyperlink r:id="rId2476" ref="T1239"/>
    <hyperlink r:id="rId2477" ref="P1240"/>
    <hyperlink r:id="rId2478" ref="T1240"/>
    <hyperlink r:id="rId2479" ref="P1241"/>
    <hyperlink r:id="rId2480" ref="T1241"/>
    <hyperlink r:id="rId2481" ref="P1242"/>
    <hyperlink r:id="rId2482" ref="T1242"/>
    <hyperlink r:id="rId2483" ref="P1243"/>
    <hyperlink r:id="rId2484" ref="T1243"/>
    <hyperlink r:id="rId2485" ref="P1244"/>
    <hyperlink r:id="rId2486" ref="T1244"/>
    <hyperlink r:id="rId2487" ref="P1245"/>
    <hyperlink r:id="rId2488" ref="T1245"/>
    <hyperlink r:id="rId2489" ref="P1246"/>
    <hyperlink r:id="rId2490" ref="T1246"/>
    <hyperlink r:id="rId2491" ref="P1247"/>
    <hyperlink r:id="rId2492" ref="T1247"/>
    <hyperlink r:id="rId2493" ref="P1248"/>
    <hyperlink r:id="rId2494" ref="T1248"/>
    <hyperlink r:id="rId2495" ref="P1249"/>
    <hyperlink r:id="rId2496" ref="T1249"/>
    <hyperlink r:id="rId2497" ref="P1250"/>
    <hyperlink r:id="rId2498" ref="T1250"/>
    <hyperlink r:id="rId2499" ref="P1251"/>
    <hyperlink r:id="rId2500" ref="T1251"/>
    <hyperlink r:id="rId2501" ref="P1252"/>
    <hyperlink r:id="rId2502" ref="T1252"/>
    <hyperlink r:id="rId2503" ref="P1253"/>
    <hyperlink r:id="rId2504" ref="T1253"/>
    <hyperlink r:id="rId2505" ref="P1254"/>
    <hyperlink r:id="rId2506" ref="T1254"/>
    <hyperlink r:id="rId2507" ref="P1255"/>
    <hyperlink r:id="rId2508" ref="T1255"/>
    <hyperlink r:id="rId2509" ref="P1256"/>
    <hyperlink r:id="rId2510" ref="T1256"/>
    <hyperlink r:id="rId2511" ref="P1257"/>
    <hyperlink r:id="rId2512" ref="T1257"/>
    <hyperlink r:id="rId2513" ref="P1258"/>
    <hyperlink r:id="rId2514" ref="T1258"/>
    <hyperlink r:id="rId2515" ref="P1259"/>
    <hyperlink r:id="rId2516" ref="T1259"/>
    <hyperlink r:id="rId2517" ref="P1260"/>
    <hyperlink r:id="rId2518" ref="T1260"/>
    <hyperlink r:id="rId2519" ref="P1261"/>
    <hyperlink r:id="rId2520" ref="T1261"/>
    <hyperlink r:id="rId2521" ref="P1262"/>
    <hyperlink r:id="rId2522" ref="T1262"/>
    <hyperlink r:id="rId2523" ref="P1263"/>
    <hyperlink r:id="rId2524" ref="T1263"/>
    <hyperlink r:id="rId2525" ref="P1264"/>
    <hyperlink r:id="rId2526" ref="T1264"/>
    <hyperlink r:id="rId2527" ref="P1265"/>
    <hyperlink r:id="rId2528" ref="T1265"/>
    <hyperlink r:id="rId2529" ref="P1266"/>
    <hyperlink r:id="rId2530" ref="T1266"/>
    <hyperlink r:id="rId2531" ref="P1267"/>
    <hyperlink r:id="rId2532" ref="T1267"/>
    <hyperlink r:id="rId2533" ref="P1268"/>
    <hyperlink r:id="rId2534" ref="T1268"/>
    <hyperlink r:id="rId2535" ref="P1269"/>
    <hyperlink r:id="rId2536" ref="T1269"/>
    <hyperlink r:id="rId2537" ref="P1270"/>
    <hyperlink r:id="rId2538" ref="T1270"/>
    <hyperlink r:id="rId2539" ref="P1271"/>
    <hyperlink r:id="rId2540" ref="T1271"/>
    <hyperlink r:id="rId2541" ref="P1272"/>
    <hyperlink r:id="rId2542" ref="T1272"/>
    <hyperlink r:id="rId2543" ref="P1273"/>
    <hyperlink r:id="rId2544" ref="T1273"/>
    <hyperlink r:id="rId2545" ref="P1274"/>
    <hyperlink r:id="rId2546" ref="T1274"/>
    <hyperlink r:id="rId2547" ref="P1275"/>
    <hyperlink r:id="rId2548" ref="T1275"/>
    <hyperlink r:id="rId2549" ref="P1276"/>
    <hyperlink r:id="rId2550" ref="T1276"/>
    <hyperlink r:id="rId2551" ref="P1277"/>
    <hyperlink r:id="rId2552" ref="T1277"/>
    <hyperlink r:id="rId2553" ref="P1278"/>
    <hyperlink r:id="rId2554" ref="T1278"/>
    <hyperlink r:id="rId2555" ref="P1279"/>
    <hyperlink r:id="rId2556" ref="T1279"/>
    <hyperlink r:id="rId2557" ref="P1280"/>
    <hyperlink r:id="rId2558" ref="T1280"/>
    <hyperlink r:id="rId2559" ref="P1281"/>
    <hyperlink r:id="rId2560" ref="T1281"/>
    <hyperlink r:id="rId2561" ref="P1282"/>
    <hyperlink r:id="rId2562" ref="T1282"/>
    <hyperlink r:id="rId2563" ref="P1283"/>
    <hyperlink r:id="rId2564" ref="T1283"/>
    <hyperlink r:id="rId2565" ref="P1284"/>
    <hyperlink r:id="rId2566" ref="T1284"/>
    <hyperlink r:id="rId2567" ref="P1285"/>
    <hyperlink r:id="rId2568" ref="T1285"/>
    <hyperlink r:id="rId2569" ref="P1286"/>
    <hyperlink r:id="rId2570" ref="T1286"/>
    <hyperlink r:id="rId2571" ref="P1287"/>
    <hyperlink r:id="rId2572" ref="T1287"/>
    <hyperlink r:id="rId2573" ref="P1288"/>
    <hyperlink r:id="rId2574" ref="T1288"/>
    <hyperlink r:id="rId2575" ref="P1289"/>
    <hyperlink r:id="rId2576" ref="T1289"/>
    <hyperlink r:id="rId2577" ref="P1290"/>
    <hyperlink r:id="rId2578" ref="T1290"/>
    <hyperlink r:id="rId2579" ref="P1291"/>
    <hyperlink r:id="rId2580" ref="T1291"/>
    <hyperlink r:id="rId2581" ref="P1292"/>
    <hyperlink r:id="rId2582" ref="T1292"/>
    <hyperlink r:id="rId2583" ref="P1293"/>
    <hyperlink r:id="rId2584" ref="T1293"/>
    <hyperlink r:id="rId2585" ref="P1294"/>
    <hyperlink r:id="rId2586" ref="T1294"/>
    <hyperlink r:id="rId2587" ref="P1295"/>
    <hyperlink r:id="rId2588" ref="T1295"/>
    <hyperlink r:id="rId2589" ref="P1296"/>
    <hyperlink r:id="rId2590" ref="T1296"/>
    <hyperlink r:id="rId2591" ref="P1297"/>
    <hyperlink r:id="rId2592" ref="T1297"/>
    <hyperlink r:id="rId2593" ref="P1298"/>
    <hyperlink r:id="rId2594" ref="T1298"/>
    <hyperlink r:id="rId2595" ref="P1299"/>
    <hyperlink r:id="rId2596" ref="T1299"/>
    <hyperlink r:id="rId2597" ref="P1300"/>
    <hyperlink r:id="rId2598" ref="T1300"/>
    <hyperlink r:id="rId2599" ref="P1301"/>
    <hyperlink r:id="rId2600" ref="T1301"/>
    <hyperlink r:id="rId2601" ref="P1302"/>
    <hyperlink r:id="rId2602" ref="T1302"/>
    <hyperlink r:id="rId2603" ref="P1303"/>
    <hyperlink r:id="rId2604" ref="T1303"/>
    <hyperlink r:id="rId2605" ref="P1304"/>
    <hyperlink r:id="rId2606" ref="T1304"/>
    <hyperlink r:id="rId2607" ref="P1305"/>
    <hyperlink r:id="rId2608" ref="T1305"/>
    <hyperlink r:id="rId2609" ref="P1306"/>
    <hyperlink r:id="rId2610" ref="T1306"/>
    <hyperlink r:id="rId2611" ref="P1307"/>
    <hyperlink r:id="rId2612" ref="T1307"/>
    <hyperlink r:id="rId2613" ref="P1308"/>
    <hyperlink r:id="rId2614" ref="T1308"/>
    <hyperlink r:id="rId2615" ref="P1309"/>
    <hyperlink r:id="rId2616" ref="T1309"/>
    <hyperlink r:id="rId2617" ref="P1310"/>
    <hyperlink r:id="rId2618" ref="T1310"/>
    <hyperlink r:id="rId2619" ref="P1311"/>
    <hyperlink r:id="rId2620" ref="T1311"/>
    <hyperlink r:id="rId2621" ref="P1312"/>
    <hyperlink r:id="rId2622" ref="T1312"/>
    <hyperlink r:id="rId2623" ref="P1313"/>
    <hyperlink r:id="rId2624" ref="T1313"/>
    <hyperlink r:id="rId2625" ref="P1314"/>
    <hyperlink r:id="rId2626" ref="T1314"/>
    <hyperlink r:id="rId2627" ref="P1315"/>
    <hyperlink r:id="rId2628" ref="T1315"/>
    <hyperlink r:id="rId2629" ref="P1316"/>
    <hyperlink r:id="rId2630" ref="T1316"/>
    <hyperlink r:id="rId2631" ref="P1317"/>
    <hyperlink r:id="rId2632" ref="T1317"/>
    <hyperlink r:id="rId2633" ref="P1318"/>
    <hyperlink r:id="rId2634" ref="T1318"/>
    <hyperlink r:id="rId2635" ref="P1319"/>
    <hyperlink r:id="rId2636" ref="T1319"/>
    <hyperlink r:id="rId2637" ref="P1320"/>
    <hyperlink r:id="rId2638" ref="T1320"/>
    <hyperlink r:id="rId2639" ref="P1321"/>
    <hyperlink r:id="rId2640" ref="T1321"/>
    <hyperlink r:id="rId2641" ref="P1322"/>
    <hyperlink r:id="rId2642" ref="T1322"/>
    <hyperlink r:id="rId2643" ref="P1323"/>
    <hyperlink r:id="rId2644" ref="T1323"/>
    <hyperlink r:id="rId2645" ref="P1324"/>
    <hyperlink r:id="rId2646" ref="T1324"/>
    <hyperlink r:id="rId2647" ref="P1325"/>
    <hyperlink r:id="rId2648" ref="T1325"/>
    <hyperlink r:id="rId2649" ref="P1326"/>
    <hyperlink r:id="rId2650" ref="T1326"/>
    <hyperlink r:id="rId2651" ref="P1327"/>
    <hyperlink r:id="rId2652" ref="T1327"/>
    <hyperlink r:id="rId2653" ref="P1328"/>
    <hyperlink r:id="rId2654" ref="T1328"/>
    <hyperlink r:id="rId2655" ref="P1329"/>
    <hyperlink r:id="rId2656" ref="T1329"/>
    <hyperlink r:id="rId2657" ref="P1330"/>
    <hyperlink r:id="rId2658" ref="T1330"/>
    <hyperlink r:id="rId2659" ref="P1331"/>
    <hyperlink r:id="rId2660" ref="T1331"/>
    <hyperlink r:id="rId2661" ref="P1332"/>
    <hyperlink r:id="rId2662" ref="T1332"/>
    <hyperlink r:id="rId2663" ref="P1333"/>
    <hyperlink r:id="rId2664" ref="T1333"/>
    <hyperlink r:id="rId2665" ref="P1334"/>
    <hyperlink r:id="rId2666" ref="T1334"/>
    <hyperlink r:id="rId2667" ref="P1335"/>
    <hyperlink r:id="rId2668" ref="T1335"/>
    <hyperlink r:id="rId2669" ref="P1336"/>
    <hyperlink r:id="rId2670" ref="T1336"/>
    <hyperlink r:id="rId2671" ref="P1337"/>
    <hyperlink r:id="rId2672" ref="T1337"/>
    <hyperlink r:id="rId2673" ref="P1338"/>
    <hyperlink r:id="rId2674" ref="T1338"/>
    <hyperlink r:id="rId2675" ref="P1339"/>
    <hyperlink r:id="rId2676" ref="T1339"/>
    <hyperlink r:id="rId2677" ref="P1340"/>
    <hyperlink r:id="rId2678" ref="T1340"/>
    <hyperlink r:id="rId2679" ref="P1341"/>
    <hyperlink r:id="rId2680" ref="T1341"/>
    <hyperlink r:id="rId2681" ref="P1342"/>
    <hyperlink r:id="rId2682" ref="T1342"/>
    <hyperlink r:id="rId2683" ref="P1343"/>
    <hyperlink r:id="rId2684" ref="T1343"/>
    <hyperlink r:id="rId2685" ref="P1344"/>
    <hyperlink r:id="rId2686" ref="T1344"/>
    <hyperlink r:id="rId2687" ref="P1345"/>
    <hyperlink r:id="rId2688" ref="T1345"/>
    <hyperlink r:id="rId2689" ref="P1346"/>
    <hyperlink r:id="rId2690" ref="T1346"/>
    <hyperlink r:id="rId2691" ref="P1347"/>
    <hyperlink r:id="rId2692" ref="T1347"/>
    <hyperlink r:id="rId2693" ref="P1348"/>
    <hyperlink r:id="rId2694" ref="T1348"/>
    <hyperlink r:id="rId2695" ref="P1349"/>
    <hyperlink r:id="rId2696" ref="T1349"/>
    <hyperlink r:id="rId2697" ref="P1350"/>
    <hyperlink r:id="rId2698" ref="T1350"/>
    <hyperlink r:id="rId2699" ref="P1351"/>
    <hyperlink r:id="rId2700" ref="T1351"/>
    <hyperlink r:id="rId2701" ref="P1352"/>
    <hyperlink r:id="rId2702" ref="T1352"/>
    <hyperlink r:id="rId2703" ref="P1353"/>
    <hyperlink r:id="rId2704" ref="T1353"/>
    <hyperlink r:id="rId2705" ref="P1354"/>
    <hyperlink r:id="rId2706" ref="T1354"/>
    <hyperlink r:id="rId2707" ref="P1355"/>
    <hyperlink r:id="rId2708" ref="T1355"/>
    <hyperlink r:id="rId2709" ref="P1356"/>
    <hyperlink r:id="rId2710" ref="T1356"/>
    <hyperlink r:id="rId2711" ref="P1357"/>
    <hyperlink r:id="rId2712" ref="T1357"/>
    <hyperlink r:id="rId2713" ref="P1358"/>
    <hyperlink r:id="rId2714" ref="T1358"/>
    <hyperlink r:id="rId2715" ref="P1359"/>
    <hyperlink r:id="rId2716" ref="T1359"/>
    <hyperlink r:id="rId2717" ref="P1360"/>
    <hyperlink r:id="rId2718" ref="T1360"/>
    <hyperlink r:id="rId2719" ref="P1361"/>
    <hyperlink r:id="rId2720" ref="T1361"/>
    <hyperlink r:id="rId2721" ref="P1362"/>
    <hyperlink r:id="rId2722" ref="T1362"/>
    <hyperlink r:id="rId2723" ref="P1363"/>
    <hyperlink r:id="rId2724" ref="T1363"/>
    <hyperlink r:id="rId2725" ref="P1364"/>
    <hyperlink r:id="rId2726" ref="T1364"/>
    <hyperlink r:id="rId2727" ref="P1365"/>
    <hyperlink r:id="rId2728" ref="T1365"/>
    <hyperlink r:id="rId2729" ref="P1366"/>
    <hyperlink r:id="rId2730" ref="T1366"/>
    <hyperlink r:id="rId2731" ref="P1367"/>
    <hyperlink r:id="rId2732" ref="T1367"/>
    <hyperlink r:id="rId2733" ref="P1368"/>
    <hyperlink r:id="rId2734" ref="T1368"/>
    <hyperlink r:id="rId2735" ref="P1369"/>
    <hyperlink r:id="rId2736" ref="T1369"/>
    <hyperlink r:id="rId2737" ref="P1370"/>
    <hyperlink r:id="rId2738" ref="T1370"/>
    <hyperlink r:id="rId2739" ref="P1371"/>
    <hyperlink r:id="rId2740" ref="T1371"/>
    <hyperlink r:id="rId2741" ref="P1372"/>
    <hyperlink r:id="rId2742" ref="T1372"/>
    <hyperlink r:id="rId2743" ref="P1373"/>
    <hyperlink r:id="rId2744" ref="T1373"/>
    <hyperlink r:id="rId2745" ref="P1374"/>
    <hyperlink r:id="rId2746" ref="T1374"/>
    <hyperlink r:id="rId2747" ref="P1375"/>
    <hyperlink r:id="rId2748" ref="T1375"/>
    <hyperlink r:id="rId2749" ref="P1376"/>
    <hyperlink r:id="rId2750" ref="T1376"/>
    <hyperlink r:id="rId2751" ref="P1377"/>
    <hyperlink r:id="rId2752" ref="T1377"/>
    <hyperlink r:id="rId2753" ref="P1378"/>
    <hyperlink r:id="rId2754" ref="T1378"/>
    <hyperlink r:id="rId2755" ref="P1379"/>
    <hyperlink r:id="rId2756" ref="T1379"/>
    <hyperlink r:id="rId2757" ref="P1380"/>
    <hyperlink r:id="rId2758" ref="T1380"/>
    <hyperlink r:id="rId2759" ref="P1381"/>
    <hyperlink r:id="rId2760" ref="T1381"/>
    <hyperlink r:id="rId2761" ref="P1382"/>
    <hyperlink r:id="rId2762" ref="T1382"/>
    <hyperlink r:id="rId2763" ref="P1383"/>
    <hyperlink r:id="rId2764" ref="T1383"/>
    <hyperlink r:id="rId2765" ref="P1384"/>
    <hyperlink r:id="rId2766" ref="T1384"/>
    <hyperlink r:id="rId2767" ref="P1385"/>
    <hyperlink r:id="rId2768" ref="T1385"/>
    <hyperlink r:id="rId2769" ref="P1386"/>
    <hyperlink r:id="rId2770" ref="T1386"/>
    <hyperlink r:id="rId2771" ref="P1387"/>
    <hyperlink r:id="rId2772" ref="T1387"/>
    <hyperlink r:id="rId2773" ref="P1388"/>
    <hyperlink r:id="rId2774" ref="T1388"/>
    <hyperlink r:id="rId2775" ref="P1389"/>
    <hyperlink r:id="rId2776" ref="T1389"/>
    <hyperlink r:id="rId2777" ref="P1390"/>
    <hyperlink r:id="rId2778" ref="T1390"/>
    <hyperlink r:id="rId2779" ref="P1391"/>
    <hyperlink r:id="rId2780" ref="T1391"/>
    <hyperlink r:id="rId2781" ref="P1392"/>
    <hyperlink r:id="rId2782" ref="T1392"/>
    <hyperlink r:id="rId2783" ref="P1393"/>
    <hyperlink r:id="rId2784" ref="T1393"/>
    <hyperlink r:id="rId2785" ref="P1394"/>
    <hyperlink r:id="rId2786" ref="T1394"/>
    <hyperlink r:id="rId2787" ref="P1395"/>
    <hyperlink r:id="rId2788" ref="T1395"/>
    <hyperlink r:id="rId2789" ref="P1396"/>
    <hyperlink r:id="rId2790" ref="T1396"/>
    <hyperlink r:id="rId2791" ref="P1397"/>
    <hyperlink r:id="rId2792" ref="T1397"/>
    <hyperlink r:id="rId2793" ref="P1398"/>
    <hyperlink r:id="rId2794" ref="T1398"/>
    <hyperlink r:id="rId2795" ref="P1399"/>
    <hyperlink r:id="rId2796" ref="T1399"/>
    <hyperlink r:id="rId2797" ref="P1400"/>
    <hyperlink r:id="rId2798" ref="T1400"/>
    <hyperlink r:id="rId2799" ref="P1401"/>
    <hyperlink r:id="rId2800" ref="T1401"/>
    <hyperlink r:id="rId2801" ref="P1402"/>
    <hyperlink r:id="rId2802" ref="T1402"/>
    <hyperlink r:id="rId2803" ref="P1403"/>
    <hyperlink r:id="rId2804" ref="T1403"/>
    <hyperlink r:id="rId2805" ref="P1404"/>
    <hyperlink r:id="rId2806" ref="T1404"/>
    <hyperlink r:id="rId2807" ref="P1405"/>
    <hyperlink r:id="rId2808" ref="T1405"/>
    <hyperlink r:id="rId2809" ref="P1406"/>
    <hyperlink r:id="rId2810" ref="T1406"/>
    <hyperlink r:id="rId2811" ref="P1407"/>
    <hyperlink r:id="rId2812" ref="T1407"/>
    <hyperlink r:id="rId2813" ref="P1408"/>
    <hyperlink r:id="rId2814" ref="T1408"/>
    <hyperlink r:id="rId2815" ref="P1409"/>
    <hyperlink r:id="rId2816" ref="T1409"/>
    <hyperlink r:id="rId2817" ref="P1410"/>
    <hyperlink r:id="rId2818" ref="T1410"/>
    <hyperlink r:id="rId2819" ref="P1411"/>
    <hyperlink r:id="rId2820" ref="T1411"/>
    <hyperlink r:id="rId2821" ref="P1412"/>
    <hyperlink r:id="rId2822" ref="T1412"/>
    <hyperlink r:id="rId2823" ref="P1413"/>
    <hyperlink r:id="rId2824" ref="T1413"/>
    <hyperlink r:id="rId2825" ref="P1414"/>
    <hyperlink r:id="rId2826" ref="T1414"/>
    <hyperlink r:id="rId2827" ref="P1415"/>
    <hyperlink r:id="rId2828" ref="T1415"/>
    <hyperlink r:id="rId2829" ref="P1416"/>
    <hyperlink r:id="rId2830" ref="T1416"/>
    <hyperlink r:id="rId2831" ref="P1417"/>
    <hyperlink r:id="rId2832" ref="T1417"/>
    <hyperlink r:id="rId2833" ref="P1418"/>
    <hyperlink r:id="rId2834" ref="T1418"/>
    <hyperlink r:id="rId2835" ref="P1419"/>
    <hyperlink r:id="rId2836" ref="T1419"/>
    <hyperlink r:id="rId2837" ref="P1420"/>
    <hyperlink r:id="rId2838" ref="T1420"/>
    <hyperlink r:id="rId2839" ref="P1421"/>
    <hyperlink r:id="rId2840" ref="T1421"/>
    <hyperlink r:id="rId2841" ref="P1422"/>
    <hyperlink r:id="rId2842" ref="T1422"/>
    <hyperlink r:id="rId2843" ref="P1423"/>
    <hyperlink r:id="rId2844" ref="T1423"/>
    <hyperlink r:id="rId2845" ref="P1424"/>
    <hyperlink r:id="rId2846" ref="T1424"/>
    <hyperlink r:id="rId2847" ref="P1425"/>
    <hyperlink r:id="rId2848" ref="T1425"/>
    <hyperlink r:id="rId2849" ref="P1426"/>
    <hyperlink r:id="rId2850" ref="T1426"/>
    <hyperlink r:id="rId2851" ref="P1427"/>
    <hyperlink r:id="rId2852" ref="T1427"/>
    <hyperlink r:id="rId2853" ref="P1428"/>
    <hyperlink r:id="rId2854" ref="T1428"/>
    <hyperlink r:id="rId2855" ref="P1429"/>
    <hyperlink r:id="rId2856" ref="T1429"/>
    <hyperlink r:id="rId2857" ref="P1430"/>
    <hyperlink r:id="rId2858" ref="T1430"/>
    <hyperlink r:id="rId2859" ref="P1431"/>
    <hyperlink r:id="rId2860" ref="T1431"/>
    <hyperlink r:id="rId2861" ref="P1432"/>
    <hyperlink r:id="rId2862" ref="T1432"/>
    <hyperlink r:id="rId2863" ref="P1433"/>
    <hyperlink r:id="rId2864" ref="T1433"/>
    <hyperlink r:id="rId2865" ref="P1434"/>
    <hyperlink r:id="rId2866" ref="T1434"/>
    <hyperlink r:id="rId2867" ref="P1435"/>
    <hyperlink r:id="rId2868" ref="T1435"/>
    <hyperlink r:id="rId2869" ref="P1436"/>
    <hyperlink r:id="rId2870" ref="T1436"/>
    <hyperlink r:id="rId2871" ref="P1437"/>
    <hyperlink r:id="rId2872" ref="T1437"/>
    <hyperlink r:id="rId2873" ref="P1438"/>
    <hyperlink r:id="rId2874" ref="T1438"/>
    <hyperlink r:id="rId2875" ref="P1439"/>
    <hyperlink r:id="rId2876" ref="T1439"/>
    <hyperlink r:id="rId2877" ref="P1440"/>
    <hyperlink r:id="rId2878" ref="T1440"/>
    <hyperlink r:id="rId2879" ref="P1441"/>
    <hyperlink r:id="rId2880" ref="T1441"/>
    <hyperlink r:id="rId2881" ref="P1442"/>
    <hyperlink r:id="rId2882" ref="T1442"/>
    <hyperlink r:id="rId2883" ref="P1443"/>
    <hyperlink r:id="rId2884" ref="T1443"/>
    <hyperlink r:id="rId2885" ref="P1444"/>
    <hyperlink r:id="rId2886" ref="T1444"/>
    <hyperlink r:id="rId2887" ref="P1445"/>
    <hyperlink r:id="rId2888" ref="T1445"/>
    <hyperlink r:id="rId2889" ref="P1446"/>
    <hyperlink r:id="rId2890" ref="T1446"/>
    <hyperlink r:id="rId2891" ref="P1447"/>
    <hyperlink r:id="rId2892" ref="T1447"/>
    <hyperlink r:id="rId2893" ref="P1448"/>
    <hyperlink r:id="rId2894" ref="T1448"/>
    <hyperlink r:id="rId2895" ref="P1449"/>
    <hyperlink r:id="rId2896" ref="T1449"/>
    <hyperlink r:id="rId2897" ref="P1450"/>
    <hyperlink r:id="rId2898" ref="T1450"/>
    <hyperlink r:id="rId2899" ref="P1451"/>
    <hyperlink r:id="rId2900" ref="T1451"/>
    <hyperlink r:id="rId2901" ref="P1452"/>
    <hyperlink r:id="rId2902" ref="T1452"/>
    <hyperlink r:id="rId2903" ref="P1453"/>
    <hyperlink r:id="rId2904" ref="T1453"/>
    <hyperlink r:id="rId2905" ref="P1454"/>
    <hyperlink r:id="rId2906" ref="T1454"/>
    <hyperlink r:id="rId2907" ref="P1455"/>
    <hyperlink r:id="rId2908" ref="T1455"/>
    <hyperlink r:id="rId2909" ref="P1456"/>
    <hyperlink r:id="rId2910" ref="T1456"/>
    <hyperlink r:id="rId2911" ref="P1457"/>
    <hyperlink r:id="rId2912" ref="T1457"/>
    <hyperlink r:id="rId2913" ref="P1458"/>
    <hyperlink r:id="rId2914" ref="T1458"/>
    <hyperlink r:id="rId2915" ref="P1459"/>
    <hyperlink r:id="rId2916" ref="T1459"/>
    <hyperlink r:id="rId2917" ref="P1460"/>
    <hyperlink r:id="rId2918" ref="T1460"/>
    <hyperlink r:id="rId2919" ref="P1461"/>
    <hyperlink r:id="rId2920" ref="T1461"/>
    <hyperlink r:id="rId2921" ref="P1462"/>
    <hyperlink r:id="rId2922" ref="T1462"/>
    <hyperlink r:id="rId2923" ref="P1463"/>
    <hyperlink r:id="rId2924" ref="T1463"/>
    <hyperlink r:id="rId2925" ref="P1464"/>
    <hyperlink r:id="rId2926" ref="T1464"/>
    <hyperlink r:id="rId2927" ref="P1465"/>
    <hyperlink r:id="rId2928" ref="T1465"/>
    <hyperlink r:id="rId2929" ref="P1466"/>
    <hyperlink r:id="rId2930" ref="T1466"/>
    <hyperlink r:id="rId2931" ref="P1467"/>
    <hyperlink r:id="rId2932" ref="T1467"/>
    <hyperlink r:id="rId2933" ref="P1468"/>
    <hyperlink r:id="rId2934" ref="T1468"/>
    <hyperlink r:id="rId2935" ref="P1469"/>
    <hyperlink r:id="rId2936" ref="T1469"/>
    <hyperlink r:id="rId2937" ref="P1470"/>
    <hyperlink r:id="rId2938" ref="T1470"/>
    <hyperlink r:id="rId2939" ref="P1471"/>
    <hyperlink r:id="rId2940" ref="T1471"/>
    <hyperlink r:id="rId2941" ref="P1472"/>
    <hyperlink r:id="rId2942" ref="T1472"/>
    <hyperlink r:id="rId2943" ref="P1473"/>
    <hyperlink r:id="rId2944" ref="T1473"/>
    <hyperlink r:id="rId2945" ref="P1474"/>
    <hyperlink r:id="rId2946" ref="T1474"/>
    <hyperlink r:id="rId2947" ref="P1475"/>
    <hyperlink r:id="rId2948" ref="T1475"/>
    <hyperlink r:id="rId2949" ref="P1476"/>
    <hyperlink r:id="rId2950" ref="T1476"/>
    <hyperlink r:id="rId2951" ref="P1477"/>
    <hyperlink r:id="rId2952" ref="T1477"/>
    <hyperlink r:id="rId2953" ref="P1478"/>
    <hyperlink r:id="rId2954" ref="T1478"/>
    <hyperlink r:id="rId2955" ref="P1479"/>
    <hyperlink r:id="rId2956" ref="T1479"/>
    <hyperlink r:id="rId2957" ref="P1480"/>
    <hyperlink r:id="rId2958" ref="T1480"/>
    <hyperlink r:id="rId2959" ref="P1481"/>
    <hyperlink r:id="rId2960" ref="T1481"/>
    <hyperlink r:id="rId2961" ref="P1482"/>
    <hyperlink r:id="rId2962" ref="T1482"/>
    <hyperlink r:id="rId2963" ref="P1483"/>
    <hyperlink r:id="rId2964" ref="T1483"/>
    <hyperlink r:id="rId2965" ref="P1484"/>
    <hyperlink r:id="rId2966" ref="T1484"/>
    <hyperlink r:id="rId2967" ref="P1485"/>
    <hyperlink r:id="rId2968" ref="T1485"/>
    <hyperlink r:id="rId2969" ref="P1486"/>
    <hyperlink r:id="rId2970" ref="T1486"/>
    <hyperlink r:id="rId2971" ref="P1487"/>
    <hyperlink r:id="rId2972" ref="T1487"/>
    <hyperlink r:id="rId2973" ref="P1488"/>
    <hyperlink r:id="rId2974" ref="T1488"/>
    <hyperlink r:id="rId2975" ref="P1489"/>
    <hyperlink r:id="rId2976" ref="T1489"/>
    <hyperlink r:id="rId2977" ref="P1490"/>
    <hyperlink r:id="rId2978" ref="T1490"/>
    <hyperlink r:id="rId2979" ref="P1491"/>
    <hyperlink r:id="rId2980" ref="T1491"/>
    <hyperlink r:id="rId2981" ref="P1492"/>
    <hyperlink r:id="rId2982" ref="T1492"/>
    <hyperlink r:id="rId2983" ref="P1493"/>
    <hyperlink r:id="rId2984" ref="T1493"/>
    <hyperlink r:id="rId2985" ref="P1494"/>
    <hyperlink r:id="rId2986" ref="T1494"/>
    <hyperlink r:id="rId2987" ref="P1495"/>
    <hyperlink r:id="rId2988" ref="T1495"/>
    <hyperlink r:id="rId2989" ref="P1496"/>
    <hyperlink r:id="rId2990" ref="T1496"/>
    <hyperlink r:id="rId2991" ref="P1497"/>
    <hyperlink r:id="rId2992" ref="T1497"/>
    <hyperlink r:id="rId2993" ref="P1498"/>
    <hyperlink r:id="rId2994" ref="T1498"/>
    <hyperlink r:id="rId2995" ref="P1499"/>
    <hyperlink r:id="rId2996" ref="T1499"/>
    <hyperlink r:id="rId2997" ref="P1500"/>
    <hyperlink r:id="rId2998" ref="T1500"/>
    <hyperlink r:id="rId2999" ref="P1501"/>
    <hyperlink r:id="rId3000" ref="T1501"/>
    <hyperlink r:id="rId3001" ref="P1502"/>
    <hyperlink r:id="rId3002" ref="T1502"/>
    <hyperlink r:id="rId3003" ref="P1503"/>
    <hyperlink r:id="rId3004" ref="T1503"/>
    <hyperlink r:id="rId3005" ref="P1504"/>
    <hyperlink r:id="rId3006" ref="T1504"/>
    <hyperlink r:id="rId3007" ref="P1505"/>
    <hyperlink r:id="rId3008" ref="T1505"/>
    <hyperlink r:id="rId3009" ref="P1506"/>
    <hyperlink r:id="rId3010" ref="T1506"/>
    <hyperlink r:id="rId3011" ref="P1507"/>
    <hyperlink r:id="rId3012" ref="T1507"/>
    <hyperlink r:id="rId3013" ref="P1508"/>
    <hyperlink r:id="rId3014" ref="T1508"/>
    <hyperlink r:id="rId3015" ref="P1509"/>
    <hyperlink r:id="rId3016" ref="T1509"/>
    <hyperlink r:id="rId3017" ref="P1510"/>
    <hyperlink r:id="rId3018" ref="T1510"/>
    <hyperlink r:id="rId3019" ref="P1511"/>
    <hyperlink r:id="rId3020" ref="T1511"/>
    <hyperlink r:id="rId3021" ref="P1512"/>
    <hyperlink r:id="rId3022" ref="T1512"/>
    <hyperlink r:id="rId3023" ref="P1513"/>
    <hyperlink r:id="rId3024" ref="T1513"/>
    <hyperlink r:id="rId3025" ref="P1514"/>
    <hyperlink r:id="rId3026" ref="T1514"/>
    <hyperlink r:id="rId3027" ref="P1515"/>
    <hyperlink r:id="rId3028" ref="T1515"/>
    <hyperlink r:id="rId3029" ref="P1516"/>
    <hyperlink r:id="rId3030" ref="T1516"/>
    <hyperlink r:id="rId3031" ref="P1517"/>
    <hyperlink r:id="rId3032" ref="T1517"/>
    <hyperlink r:id="rId3033" ref="P1518"/>
    <hyperlink r:id="rId3034" ref="T1518"/>
    <hyperlink r:id="rId3035" ref="P1519"/>
    <hyperlink r:id="rId3036" ref="T1519"/>
    <hyperlink r:id="rId3037" ref="P1520"/>
    <hyperlink r:id="rId3038" ref="T1520"/>
    <hyperlink r:id="rId3039" ref="P1521"/>
    <hyperlink r:id="rId3040" ref="T1521"/>
    <hyperlink r:id="rId3041" ref="P1522"/>
    <hyperlink r:id="rId3042" ref="T1522"/>
    <hyperlink r:id="rId3043" ref="P1523"/>
    <hyperlink r:id="rId3044" ref="T1523"/>
    <hyperlink r:id="rId3045" ref="P1524"/>
    <hyperlink r:id="rId3046" ref="T1524"/>
    <hyperlink r:id="rId3047" ref="P1525"/>
    <hyperlink r:id="rId3048" ref="T1525"/>
    <hyperlink r:id="rId3049" ref="P1526"/>
    <hyperlink r:id="rId3050" ref="T1526"/>
    <hyperlink r:id="rId3051" ref="P1527"/>
    <hyperlink r:id="rId3052" ref="T1527"/>
    <hyperlink r:id="rId3053" ref="P1528"/>
    <hyperlink r:id="rId3054" ref="T1528"/>
    <hyperlink r:id="rId3055" ref="P1529"/>
    <hyperlink r:id="rId3056" ref="T1529"/>
    <hyperlink r:id="rId3057" ref="P1530"/>
    <hyperlink r:id="rId3058" ref="T1530"/>
    <hyperlink r:id="rId3059" ref="P1531"/>
    <hyperlink r:id="rId3060" ref="T1531"/>
    <hyperlink r:id="rId3061" ref="P1532"/>
    <hyperlink r:id="rId3062" ref="T1532"/>
    <hyperlink r:id="rId3063" ref="P1533"/>
    <hyperlink r:id="rId3064" ref="T1533"/>
    <hyperlink r:id="rId3065" ref="P1534"/>
    <hyperlink r:id="rId3066" ref="T1534"/>
    <hyperlink r:id="rId3067" ref="P1535"/>
    <hyperlink r:id="rId3068" ref="T1535"/>
    <hyperlink r:id="rId3069" ref="P1536"/>
    <hyperlink r:id="rId3070" ref="T1536"/>
    <hyperlink r:id="rId3071" ref="P1537"/>
    <hyperlink r:id="rId3072" ref="T1537"/>
    <hyperlink r:id="rId3073" ref="P1538"/>
    <hyperlink r:id="rId3074" ref="T1538"/>
    <hyperlink r:id="rId3075" ref="P1539"/>
    <hyperlink r:id="rId3076" ref="T1539"/>
    <hyperlink r:id="rId3077" ref="P1540"/>
    <hyperlink r:id="rId3078" ref="T1540"/>
    <hyperlink r:id="rId3079" ref="P1541"/>
    <hyperlink r:id="rId3080" ref="T1541"/>
    <hyperlink r:id="rId3081" ref="P1542"/>
    <hyperlink r:id="rId3082" ref="T1542"/>
    <hyperlink r:id="rId3083" ref="P1543"/>
    <hyperlink r:id="rId3084" ref="T1543"/>
    <hyperlink r:id="rId3085" ref="P1544"/>
    <hyperlink r:id="rId3086" ref="T1544"/>
    <hyperlink r:id="rId3087" ref="P1545"/>
    <hyperlink r:id="rId3088" ref="T1545"/>
    <hyperlink r:id="rId3089" ref="P1546"/>
    <hyperlink r:id="rId3090" ref="T1546"/>
    <hyperlink r:id="rId3091" ref="P1547"/>
    <hyperlink r:id="rId3092" ref="T1547"/>
    <hyperlink r:id="rId3093" ref="P1548"/>
    <hyperlink r:id="rId3094" ref="T1548"/>
    <hyperlink r:id="rId3095" ref="P1549"/>
    <hyperlink r:id="rId3096" ref="T1549"/>
    <hyperlink r:id="rId3097" ref="P1550"/>
    <hyperlink r:id="rId3098" ref="T1550"/>
    <hyperlink r:id="rId3099" ref="P1551"/>
    <hyperlink r:id="rId3100" ref="T1551"/>
    <hyperlink r:id="rId3101" ref="P1552"/>
    <hyperlink r:id="rId3102" ref="T1552"/>
    <hyperlink r:id="rId3103" ref="P1553"/>
    <hyperlink r:id="rId3104" ref="T1553"/>
    <hyperlink r:id="rId3105" ref="P1554"/>
    <hyperlink r:id="rId3106" ref="T1554"/>
    <hyperlink r:id="rId3107" ref="P1555"/>
    <hyperlink r:id="rId3108" ref="T1555"/>
    <hyperlink r:id="rId3109" ref="P1556"/>
    <hyperlink r:id="rId3110" ref="T1556"/>
    <hyperlink r:id="rId3111" ref="P1557"/>
    <hyperlink r:id="rId3112" ref="T1557"/>
    <hyperlink r:id="rId3113" ref="P1558"/>
    <hyperlink r:id="rId3114" ref="T1558"/>
    <hyperlink r:id="rId3115" ref="P1559"/>
    <hyperlink r:id="rId3116" ref="T1559"/>
    <hyperlink r:id="rId3117" ref="P1560"/>
    <hyperlink r:id="rId3118" ref="T1560"/>
    <hyperlink r:id="rId3119" ref="P1561"/>
    <hyperlink r:id="rId3120" ref="T1561"/>
    <hyperlink r:id="rId3121" ref="P1562"/>
    <hyperlink r:id="rId3122" ref="T1562"/>
    <hyperlink r:id="rId3123" ref="P1563"/>
    <hyperlink r:id="rId3124" ref="T1563"/>
    <hyperlink r:id="rId3125" ref="P1564"/>
    <hyperlink r:id="rId3126" ref="T1564"/>
    <hyperlink r:id="rId3127" ref="P1565"/>
    <hyperlink r:id="rId3128" ref="T1565"/>
    <hyperlink r:id="rId3129" ref="P1566"/>
    <hyperlink r:id="rId3130" ref="T1566"/>
    <hyperlink r:id="rId3131" ref="P1567"/>
    <hyperlink r:id="rId3132" ref="T1567"/>
    <hyperlink r:id="rId3133" ref="P1568"/>
    <hyperlink r:id="rId3134" ref="T1568"/>
    <hyperlink r:id="rId3135" ref="P1569"/>
    <hyperlink r:id="rId3136" ref="T1569"/>
    <hyperlink r:id="rId3137" ref="P1570"/>
    <hyperlink r:id="rId3138" ref="T1570"/>
    <hyperlink r:id="rId3139" ref="P1571"/>
    <hyperlink r:id="rId3140" ref="T1571"/>
    <hyperlink r:id="rId3141" ref="P1572"/>
    <hyperlink r:id="rId3142" ref="T1572"/>
    <hyperlink r:id="rId3143" ref="P1573"/>
    <hyperlink r:id="rId3144" ref="T1573"/>
    <hyperlink r:id="rId3145" ref="P1574"/>
    <hyperlink r:id="rId3146" ref="T1574"/>
    <hyperlink r:id="rId3147" ref="P1575"/>
    <hyperlink r:id="rId3148" ref="T1575"/>
    <hyperlink r:id="rId3149" ref="P1576"/>
    <hyperlink r:id="rId3150" ref="T1576"/>
    <hyperlink r:id="rId3151" ref="P1577"/>
    <hyperlink r:id="rId3152" ref="T1577"/>
    <hyperlink r:id="rId3153" ref="P1578"/>
    <hyperlink r:id="rId3154" ref="T1578"/>
    <hyperlink r:id="rId3155" ref="P1579"/>
    <hyperlink r:id="rId3156" ref="T1579"/>
    <hyperlink r:id="rId3157" ref="P1580"/>
    <hyperlink r:id="rId3158" ref="T1580"/>
    <hyperlink r:id="rId3159" ref="P1581"/>
    <hyperlink r:id="rId3160" ref="T1581"/>
    <hyperlink r:id="rId3161" ref="P1582"/>
    <hyperlink r:id="rId3162" ref="T1582"/>
    <hyperlink r:id="rId3163" ref="P1583"/>
    <hyperlink r:id="rId3164" ref="T1583"/>
    <hyperlink r:id="rId3165" ref="P1584"/>
    <hyperlink r:id="rId3166" ref="T1584"/>
    <hyperlink r:id="rId3167" ref="P1585"/>
    <hyperlink r:id="rId3168" ref="T1585"/>
    <hyperlink r:id="rId3169" ref="P1586"/>
    <hyperlink r:id="rId3170" ref="T1586"/>
    <hyperlink r:id="rId3171" ref="P1587"/>
    <hyperlink r:id="rId3172" ref="T1587"/>
    <hyperlink r:id="rId3173" ref="P1588"/>
    <hyperlink r:id="rId3174" ref="T1588"/>
    <hyperlink r:id="rId3175" ref="P1589"/>
    <hyperlink r:id="rId3176" ref="T1589"/>
    <hyperlink r:id="rId3177" ref="P1590"/>
    <hyperlink r:id="rId3178" ref="T1590"/>
    <hyperlink r:id="rId3179" ref="P1591"/>
    <hyperlink r:id="rId3180" ref="T1591"/>
    <hyperlink r:id="rId3181" ref="P1592"/>
    <hyperlink r:id="rId3182" ref="T1592"/>
    <hyperlink r:id="rId3183" ref="P1593"/>
    <hyperlink r:id="rId3184" ref="T1593"/>
    <hyperlink r:id="rId3185" ref="P1594"/>
    <hyperlink r:id="rId3186" ref="T1594"/>
    <hyperlink r:id="rId3187" ref="P1595"/>
    <hyperlink r:id="rId3188" ref="T1595"/>
    <hyperlink r:id="rId3189" ref="P1596"/>
    <hyperlink r:id="rId3190" ref="T1596"/>
    <hyperlink r:id="rId3191" ref="P1597"/>
    <hyperlink r:id="rId3192" ref="T1597"/>
    <hyperlink r:id="rId3193" ref="P1598"/>
    <hyperlink r:id="rId3194" ref="T1598"/>
    <hyperlink r:id="rId3195" ref="P1599"/>
    <hyperlink r:id="rId3196" ref="T1599"/>
    <hyperlink r:id="rId3197" ref="P1600"/>
    <hyperlink r:id="rId3198" ref="T1600"/>
    <hyperlink r:id="rId3199" ref="P1601"/>
    <hyperlink r:id="rId3200" ref="T1601"/>
    <hyperlink r:id="rId3201" ref="P1602"/>
    <hyperlink r:id="rId3202" ref="T1602"/>
    <hyperlink r:id="rId3203" ref="P1603"/>
    <hyperlink r:id="rId3204" ref="T1603"/>
    <hyperlink r:id="rId3205" ref="P1604"/>
    <hyperlink r:id="rId3206" ref="T1604"/>
    <hyperlink r:id="rId3207" ref="P1605"/>
    <hyperlink r:id="rId3208" ref="T1605"/>
    <hyperlink r:id="rId3209" ref="P1606"/>
    <hyperlink r:id="rId3210" ref="T1606"/>
    <hyperlink r:id="rId3211" ref="P1607"/>
    <hyperlink r:id="rId3212" ref="T1607"/>
    <hyperlink r:id="rId3213" ref="P1608"/>
    <hyperlink r:id="rId3214" ref="T1608"/>
    <hyperlink r:id="rId3215" ref="P1609"/>
    <hyperlink r:id="rId3216" ref="T1609"/>
    <hyperlink r:id="rId3217" ref="P1610"/>
    <hyperlink r:id="rId3218" ref="T1610"/>
    <hyperlink r:id="rId3219" ref="P1611"/>
    <hyperlink r:id="rId3220" ref="T1611"/>
    <hyperlink r:id="rId3221" ref="P1612"/>
    <hyperlink r:id="rId3222" ref="T1612"/>
    <hyperlink r:id="rId3223" ref="P1613"/>
    <hyperlink r:id="rId3224" ref="T1613"/>
    <hyperlink r:id="rId3225" ref="P1614"/>
    <hyperlink r:id="rId3226" ref="T1614"/>
    <hyperlink r:id="rId3227" ref="P1615"/>
    <hyperlink r:id="rId3228" ref="T1615"/>
    <hyperlink r:id="rId3229" ref="P1616"/>
    <hyperlink r:id="rId3230" ref="T1616"/>
    <hyperlink r:id="rId3231" ref="P1617"/>
    <hyperlink r:id="rId3232" ref="T1617"/>
    <hyperlink r:id="rId3233" ref="P1618"/>
    <hyperlink r:id="rId3234" ref="T1618"/>
    <hyperlink r:id="rId3235" ref="P1619"/>
    <hyperlink r:id="rId3236" ref="T1619"/>
    <hyperlink r:id="rId3237" ref="P1620"/>
    <hyperlink r:id="rId3238" ref="T1620"/>
    <hyperlink r:id="rId3239" ref="P1621"/>
    <hyperlink r:id="rId3240" ref="T1621"/>
    <hyperlink r:id="rId3241" ref="P1622"/>
    <hyperlink r:id="rId3242" ref="T1622"/>
    <hyperlink r:id="rId3243" ref="P1623"/>
    <hyperlink r:id="rId3244" ref="T1623"/>
    <hyperlink r:id="rId3245" ref="P1624"/>
    <hyperlink r:id="rId3246" ref="T1624"/>
    <hyperlink r:id="rId3247" ref="P1625"/>
    <hyperlink r:id="rId3248" ref="T1625"/>
    <hyperlink r:id="rId3249" ref="P1626"/>
    <hyperlink r:id="rId3250" ref="T1626"/>
    <hyperlink r:id="rId3251" ref="P1627"/>
    <hyperlink r:id="rId3252" ref="T1627"/>
    <hyperlink r:id="rId3253" ref="P1628"/>
    <hyperlink r:id="rId3254" ref="T1628"/>
    <hyperlink r:id="rId3255" ref="P1629"/>
    <hyperlink r:id="rId3256" ref="T1629"/>
    <hyperlink r:id="rId3257" ref="P1630"/>
    <hyperlink r:id="rId3258" ref="T1630"/>
    <hyperlink r:id="rId3259" ref="P1631"/>
    <hyperlink r:id="rId3260" ref="T1631"/>
    <hyperlink r:id="rId3261" ref="P1632"/>
    <hyperlink r:id="rId3262" ref="T1632"/>
    <hyperlink r:id="rId3263" ref="P1633"/>
    <hyperlink r:id="rId3264" ref="T1633"/>
    <hyperlink r:id="rId3265" ref="P1634"/>
    <hyperlink r:id="rId3266" ref="T1634"/>
    <hyperlink r:id="rId3267" ref="P1635"/>
    <hyperlink r:id="rId3268" ref="T1635"/>
    <hyperlink r:id="rId3269" ref="P1636"/>
    <hyperlink r:id="rId3270" ref="T1636"/>
    <hyperlink r:id="rId3271" ref="P1637"/>
    <hyperlink r:id="rId3272" ref="T1637"/>
    <hyperlink r:id="rId3273" ref="P1638"/>
    <hyperlink r:id="rId3274" ref="T1638"/>
    <hyperlink r:id="rId3275" ref="P1639"/>
    <hyperlink r:id="rId3276" ref="T1639"/>
    <hyperlink r:id="rId3277" ref="P1640"/>
    <hyperlink r:id="rId3278" ref="T1640"/>
    <hyperlink r:id="rId3279" ref="P1641"/>
    <hyperlink r:id="rId3280" ref="T1641"/>
    <hyperlink r:id="rId3281" ref="P1642"/>
    <hyperlink r:id="rId3282" ref="T1642"/>
    <hyperlink r:id="rId3283" ref="P1643"/>
    <hyperlink r:id="rId3284" ref="T1643"/>
    <hyperlink r:id="rId3285" ref="P1644"/>
    <hyperlink r:id="rId3286" ref="T1644"/>
    <hyperlink r:id="rId3287" ref="P1645"/>
    <hyperlink r:id="rId3288" ref="T1645"/>
    <hyperlink r:id="rId3289" ref="P1646"/>
    <hyperlink r:id="rId3290" ref="T1646"/>
    <hyperlink r:id="rId3291" ref="P1647"/>
    <hyperlink r:id="rId3292" ref="T1647"/>
    <hyperlink r:id="rId3293" ref="P1648"/>
    <hyperlink r:id="rId3294" ref="T1648"/>
    <hyperlink r:id="rId3295" ref="P1649"/>
    <hyperlink r:id="rId3296" ref="T1649"/>
    <hyperlink r:id="rId3297" ref="P1650"/>
    <hyperlink r:id="rId3298" ref="T1650"/>
    <hyperlink r:id="rId3299" ref="P1651"/>
    <hyperlink r:id="rId3300" ref="T1651"/>
    <hyperlink r:id="rId3301" ref="P1652"/>
    <hyperlink r:id="rId3302" ref="T1652"/>
    <hyperlink r:id="rId3303" ref="P1653"/>
    <hyperlink r:id="rId3304" ref="T1653"/>
    <hyperlink r:id="rId3305" ref="P1654"/>
    <hyperlink r:id="rId3306" ref="T1654"/>
    <hyperlink r:id="rId3307" ref="P1655"/>
    <hyperlink r:id="rId3308" ref="T1655"/>
    <hyperlink r:id="rId3309" ref="P1656"/>
    <hyperlink r:id="rId3310" ref="T1656"/>
    <hyperlink r:id="rId3311" ref="P1657"/>
    <hyperlink r:id="rId3312" ref="T1657"/>
    <hyperlink r:id="rId3313" ref="P1658"/>
    <hyperlink r:id="rId3314" ref="T1658"/>
    <hyperlink r:id="rId3315" ref="P1659"/>
    <hyperlink r:id="rId3316" ref="T1659"/>
    <hyperlink r:id="rId3317" ref="P1660"/>
    <hyperlink r:id="rId3318" ref="T1660"/>
    <hyperlink r:id="rId3319" ref="P1661"/>
    <hyperlink r:id="rId3320" ref="T1661"/>
    <hyperlink r:id="rId3321" ref="P1662"/>
    <hyperlink r:id="rId3322" ref="T1662"/>
    <hyperlink r:id="rId3323" ref="P1663"/>
    <hyperlink r:id="rId3324" ref="T1663"/>
    <hyperlink r:id="rId3325" ref="P1664"/>
    <hyperlink r:id="rId3326" ref="T1664"/>
    <hyperlink r:id="rId3327" ref="P1665"/>
    <hyperlink r:id="rId3328" ref="T1665"/>
    <hyperlink r:id="rId3329" ref="P1666"/>
    <hyperlink r:id="rId3330" ref="T1666"/>
    <hyperlink r:id="rId3331" ref="P1667"/>
    <hyperlink r:id="rId3332" ref="T1667"/>
    <hyperlink r:id="rId3333" ref="P1668"/>
    <hyperlink r:id="rId3334" ref="T1668"/>
    <hyperlink r:id="rId3335" ref="P1669"/>
    <hyperlink r:id="rId3336" ref="T1669"/>
    <hyperlink r:id="rId3337" ref="P1670"/>
    <hyperlink r:id="rId3338" ref="T1670"/>
    <hyperlink r:id="rId3339" ref="P1671"/>
    <hyperlink r:id="rId3340" ref="T1671"/>
    <hyperlink r:id="rId3341" ref="P1672"/>
    <hyperlink r:id="rId3342" ref="T1672"/>
    <hyperlink r:id="rId3343" ref="P1673"/>
    <hyperlink r:id="rId3344" ref="T1673"/>
    <hyperlink r:id="rId3345" ref="P1674"/>
    <hyperlink r:id="rId3346" ref="T1674"/>
    <hyperlink r:id="rId3347" ref="P1675"/>
    <hyperlink r:id="rId3348" ref="T1675"/>
    <hyperlink r:id="rId3349" ref="P1676"/>
    <hyperlink r:id="rId3350" ref="T1676"/>
    <hyperlink r:id="rId3351" ref="P1677"/>
    <hyperlink r:id="rId3352" ref="T1677"/>
    <hyperlink r:id="rId3353" ref="P1678"/>
    <hyperlink r:id="rId3354" ref="T1678"/>
    <hyperlink r:id="rId3355" ref="P1679"/>
    <hyperlink r:id="rId3356" ref="T1679"/>
    <hyperlink r:id="rId3357" ref="P1680"/>
    <hyperlink r:id="rId3358" ref="T1680"/>
    <hyperlink r:id="rId3359" ref="P1681"/>
    <hyperlink r:id="rId3360" ref="T1681"/>
    <hyperlink r:id="rId3361" ref="P1682"/>
    <hyperlink r:id="rId3362" ref="T1682"/>
    <hyperlink r:id="rId3363" ref="P1683"/>
    <hyperlink r:id="rId3364" ref="T1683"/>
    <hyperlink r:id="rId3365" ref="P1684"/>
    <hyperlink r:id="rId3366" ref="T1684"/>
    <hyperlink r:id="rId3367" ref="P1685"/>
    <hyperlink r:id="rId3368" ref="T1685"/>
    <hyperlink r:id="rId3369" ref="P1686"/>
    <hyperlink r:id="rId3370" ref="T1686"/>
    <hyperlink r:id="rId3371" ref="P1687"/>
    <hyperlink r:id="rId3372" ref="T1687"/>
    <hyperlink r:id="rId3373" ref="P1688"/>
    <hyperlink r:id="rId3374" ref="T1688"/>
    <hyperlink r:id="rId3375" ref="P1689"/>
    <hyperlink r:id="rId3376" ref="T1689"/>
    <hyperlink r:id="rId3377" ref="P1690"/>
    <hyperlink r:id="rId3378" ref="T1690"/>
    <hyperlink r:id="rId3379" ref="P1691"/>
    <hyperlink r:id="rId3380" ref="T1691"/>
    <hyperlink r:id="rId3381" ref="P1692"/>
    <hyperlink r:id="rId3382" ref="T1692"/>
    <hyperlink r:id="rId3383" ref="P1693"/>
    <hyperlink r:id="rId3384" ref="T1693"/>
    <hyperlink r:id="rId3385" ref="P1694"/>
    <hyperlink r:id="rId3386" ref="T1694"/>
    <hyperlink r:id="rId3387" ref="P1695"/>
    <hyperlink r:id="rId3388" ref="T1695"/>
    <hyperlink r:id="rId3389" ref="P1696"/>
    <hyperlink r:id="rId3390" ref="T1696"/>
    <hyperlink r:id="rId3391" ref="P1697"/>
    <hyperlink r:id="rId3392" ref="T1697"/>
    <hyperlink r:id="rId3393" ref="P1698"/>
    <hyperlink r:id="rId3394" ref="T1698"/>
    <hyperlink r:id="rId3395" ref="P1699"/>
    <hyperlink r:id="rId3396" ref="T1699"/>
    <hyperlink r:id="rId3397" ref="P1700"/>
    <hyperlink r:id="rId3398" ref="T1700"/>
    <hyperlink r:id="rId3399" ref="P1701"/>
    <hyperlink r:id="rId3400" ref="T1701"/>
    <hyperlink r:id="rId3401" ref="P1702"/>
    <hyperlink r:id="rId3402" ref="T1702"/>
    <hyperlink r:id="rId3403" ref="P1703"/>
    <hyperlink r:id="rId3404" ref="T1703"/>
    <hyperlink r:id="rId3405" ref="P1704"/>
    <hyperlink r:id="rId3406" ref="T1704"/>
    <hyperlink r:id="rId3407" ref="P1705"/>
    <hyperlink r:id="rId3408" ref="T1705"/>
    <hyperlink r:id="rId3409" ref="P1706"/>
    <hyperlink r:id="rId3410" ref="T1706"/>
    <hyperlink r:id="rId3411" ref="P1707"/>
    <hyperlink r:id="rId3412" ref="T1707"/>
    <hyperlink r:id="rId3413" ref="P1708"/>
    <hyperlink r:id="rId3414" ref="T1708"/>
    <hyperlink r:id="rId3415" ref="P1709"/>
    <hyperlink r:id="rId3416" ref="T1709"/>
    <hyperlink r:id="rId3417" ref="P1710"/>
    <hyperlink r:id="rId3418" ref="T1710"/>
    <hyperlink r:id="rId3419" ref="P1711"/>
    <hyperlink r:id="rId3420" ref="T1711"/>
    <hyperlink r:id="rId3421" ref="P1712"/>
    <hyperlink r:id="rId3422" ref="T1712"/>
    <hyperlink r:id="rId3423" ref="P1713"/>
    <hyperlink r:id="rId3424" ref="T1713"/>
    <hyperlink r:id="rId3425" ref="P1714"/>
    <hyperlink r:id="rId3426" ref="T1714"/>
    <hyperlink r:id="rId3427" ref="P1715"/>
    <hyperlink r:id="rId3428" ref="T1715"/>
    <hyperlink r:id="rId3429" ref="P1716"/>
    <hyperlink r:id="rId3430" ref="T1716"/>
    <hyperlink r:id="rId3431" ref="P1717"/>
    <hyperlink r:id="rId3432" ref="T1717"/>
    <hyperlink r:id="rId3433" ref="P1718"/>
    <hyperlink r:id="rId3434" ref="T1718"/>
    <hyperlink r:id="rId3435" ref="P1719"/>
    <hyperlink r:id="rId3436" ref="T1719"/>
    <hyperlink r:id="rId3437" ref="P1720"/>
    <hyperlink r:id="rId3438" ref="T1720"/>
    <hyperlink r:id="rId3439" ref="P1721"/>
    <hyperlink r:id="rId3440" ref="T1721"/>
    <hyperlink r:id="rId3441" ref="P1722"/>
    <hyperlink r:id="rId3442" ref="T1722"/>
    <hyperlink r:id="rId3443" ref="P1723"/>
    <hyperlink r:id="rId3444" ref="T1723"/>
    <hyperlink r:id="rId3445" ref="P1724"/>
    <hyperlink r:id="rId3446" ref="T1724"/>
    <hyperlink r:id="rId3447" ref="P1725"/>
    <hyperlink r:id="rId3448" ref="T1725"/>
    <hyperlink r:id="rId3449" ref="P1726"/>
    <hyperlink r:id="rId3450" ref="T1726"/>
    <hyperlink r:id="rId3451" ref="P1727"/>
    <hyperlink r:id="rId3452" ref="T1727"/>
    <hyperlink r:id="rId3453" ref="P1728"/>
    <hyperlink r:id="rId3454" ref="T1728"/>
    <hyperlink r:id="rId3455" ref="P1729"/>
    <hyperlink r:id="rId3456" ref="T1729"/>
    <hyperlink r:id="rId3457" ref="P1730"/>
    <hyperlink r:id="rId3458" ref="T1730"/>
    <hyperlink r:id="rId3459" ref="P1731"/>
    <hyperlink r:id="rId3460" ref="T1731"/>
    <hyperlink r:id="rId3461" ref="P1732"/>
    <hyperlink r:id="rId3462" ref="T1732"/>
    <hyperlink r:id="rId3463" ref="P1733"/>
    <hyperlink r:id="rId3464" ref="T1733"/>
    <hyperlink r:id="rId3465" ref="P1734"/>
    <hyperlink r:id="rId3466" ref="T1734"/>
    <hyperlink r:id="rId3467" ref="P1735"/>
    <hyperlink r:id="rId3468" ref="T1735"/>
    <hyperlink r:id="rId3469" ref="P1736"/>
    <hyperlink r:id="rId3470" ref="T1736"/>
    <hyperlink r:id="rId3471" ref="P1737"/>
    <hyperlink r:id="rId3472" ref="T1737"/>
    <hyperlink r:id="rId3473" ref="P1738"/>
    <hyperlink r:id="rId3474" ref="T1738"/>
    <hyperlink r:id="rId3475" ref="P1739"/>
    <hyperlink r:id="rId3476" ref="T1739"/>
    <hyperlink r:id="rId3477" ref="P1740"/>
    <hyperlink r:id="rId3478" ref="T1740"/>
    <hyperlink r:id="rId3479" ref="P1741"/>
    <hyperlink r:id="rId3480" ref="T1741"/>
    <hyperlink r:id="rId3481" ref="P1742"/>
    <hyperlink r:id="rId3482" ref="T1742"/>
    <hyperlink r:id="rId3483" ref="P1743"/>
    <hyperlink r:id="rId3484" ref="T1743"/>
    <hyperlink r:id="rId3485" ref="P1744"/>
    <hyperlink r:id="rId3486" ref="T1744"/>
    <hyperlink r:id="rId3487" ref="P1745"/>
    <hyperlink r:id="rId3488" ref="T1745"/>
    <hyperlink r:id="rId3489" ref="P1746"/>
    <hyperlink r:id="rId3490" ref="T1746"/>
    <hyperlink r:id="rId3491" ref="P1747"/>
    <hyperlink r:id="rId3492" ref="T1747"/>
    <hyperlink r:id="rId3493" ref="P1748"/>
    <hyperlink r:id="rId3494" ref="T1748"/>
    <hyperlink r:id="rId3495" ref="P1749"/>
    <hyperlink r:id="rId3496" ref="T1749"/>
    <hyperlink r:id="rId3497" ref="P1750"/>
    <hyperlink r:id="rId3498" ref="T1750"/>
    <hyperlink r:id="rId3499" ref="P1751"/>
    <hyperlink r:id="rId3500" ref="T1751"/>
    <hyperlink r:id="rId3501" ref="P1752"/>
    <hyperlink r:id="rId3502" ref="T1752"/>
    <hyperlink r:id="rId3503" ref="P1753"/>
    <hyperlink r:id="rId3504" ref="T1753"/>
    <hyperlink r:id="rId3505" ref="P1754"/>
    <hyperlink r:id="rId3506" ref="T1754"/>
    <hyperlink r:id="rId3507" ref="P1755"/>
    <hyperlink r:id="rId3508" ref="T1755"/>
    <hyperlink r:id="rId3509" ref="P1756"/>
    <hyperlink r:id="rId3510" ref="T1756"/>
    <hyperlink r:id="rId3511" ref="P1757"/>
    <hyperlink r:id="rId3512" ref="T1757"/>
    <hyperlink r:id="rId3513" ref="P1758"/>
    <hyperlink r:id="rId3514" ref="T1758"/>
    <hyperlink r:id="rId3515" ref="P1759"/>
    <hyperlink r:id="rId3516" ref="T1759"/>
    <hyperlink r:id="rId3517" ref="P1760"/>
    <hyperlink r:id="rId3518" ref="T1760"/>
    <hyperlink r:id="rId3519" ref="P1761"/>
    <hyperlink r:id="rId3520" ref="T1761"/>
    <hyperlink r:id="rId3521" ref="P1762"/>
    <hyperlink r:id="rId3522" ref="T1762"/>
    <hyperlink r:id="rId3523" ref="P1763"/>
    <hyperlink r:id="rId3524" ref="T1763"/>
    <hyperlink r:id="rId3525" ref="P1764"/>
    <hyperlink r:id="rId3526" ref="T1764"/>
    <hyperlink r:id="rId3527" ref="P1765"/>
    <hyperlink r:id="rId3528" ref="T1765"/>
    <hyperlink r:id="rId3529" ref="P1766"/>
    <hyperlink r:id="rId3530" ref="T1766"/>
    <hyperlink r:id="rId3531" ref="P1767"/>
    <hyperlink r:id="rId3532" ref="T1767"/>
    <hyperlink r:id="rId3533" ref="P1768"/>
    <hyperlink r:id="rId3534" ref="T1768"/>
    <hyperlink r:id="rId3535" ref="P1769"/>
    <hyperlink r:id="rId3536" ref="T1769"/>
    <hyperlink r:id="rId3537" ref="P1770"/>
    <hyperlink r:id="rId3538" ref="T1770"/>
    <hyperlink r:id="rId3539" ref="P1771"/>
    <hyperlink r:id="rId3540" ref="T1771"/>
    <hyperlink r:id="rId3541" ref="P1772"/>
    <hyperlink r:id="rId3542" ref="T1772"/>
    <hyperlink r:id="rId3543" ref="P1773"/>
    <hyperlink r:id="rId3544" ref="T1773"/>
    <hyperlink r:id="rId3545" ref="P1774"/>
    <hyperlink r:id="rId3546" ref="T1774"/>
    <hyperlink r:id="rId3547" ref="P1775"/>
    <hyperlink r:id="rId3548" ref="T1775"/>
    <hyperlink r:id="rId3549" ref="P1776"/>
    <hyperlink r:id="rId3550" ref="T1776"/>
    <hyperlink r:id="rId3551" ref="P1777"/>
    <hyperlink r:id="rId3552" ref="T1777"/>
    <hyperlink r:id="rId3553" ref="P1778"/>
    <hyperlink r:id="rId3554" ref="T1778"/>
    <hyperlink r:id="rId3555" ref="P1779"/>
    <hyperlink r:id="rId3556" ref="T1779"/>
    <hyperlink r:id="rId3557" ref="P1780"/>
    <hyperlink r:id="rId3558" ref="T1780"/>
    <hyperlink r:id="rId3559" ref="P1781"/>
    <hyperlink r:id="rId3560" ref="T1781"/>
    <hyperlink r:id="rId3561" ref="P1782"/>
    <hyperlink r:id="rId3562" ref="T1782"/>
    <hyperlink r:id="rId3563" ref="P1783"/>
    <hyperlink r:id="rId3564" ref="T1783"/>
    <hyperlink r:id="rId3565" ref="P1784"/>
    <hyperlink r:id="rId3566" ref="T1784"/>
    <hyperlink r:id="rId3567" ref="P1785"/>
    <hyperlink r:id="rId3568" ref="T1785"/>
    <hyperlink r:id="rId3569" ref="P1786"/>
    <hyperlink r:id="rId3570" ref="T1786"/>
    <hyperlink r:id="rId3571" ref="P1787"/>
    <hyperlink r:id="rId3572" ref="T1787"/>
    <hyperlink r:id="rId3573" ref="P1788"/>
    <hyperlink r:id="rId3574" ref="T1788"/>
    <hyperlink r:id="rId3575" ref="P1789"/>
    <hyperlink r:id="rId3576" ref="T1789"/>
    <hyperlink r:id="rId3577" ref="P1790"/>
    <hyperlink r:id="rId3578" ref="T1790"/>
    <hyperlink r:id="rId3579" ref="P1791"/>
    <hyperlink r:id="rId3580" ref="T1791"/>
    <hyperlink r:id="rId3581" ref="P1792"/>
    <hyperlink r:id="rId3582" ref="T1792"/>
    <hyperlink r:id="rId3583" ref="P1793"/>
    <hyperlink r:id="rId3584" ref="T1793"/>
    <hyperlink r:id="rId3585" ref="P1794"/>
    <hyperlink r:id="rId3586" ref="T1794"/>
    <hyperlink r:id="rId3587" ref="P1795"/>
    <hyperlink r:id="rId3588" ref="T1795"/>
    <hyperlink r:id="rId3589" ref="P1796"/>
    <hyperlink r:id="rId3590" ref="T1796"/>
    <hyperlink r:id="rId3591" ref="P1797"/>
    <hyperlink r:id="rId3592" ref="T1797"/>
    <hyperlink r:id="rId3593" ref="P1798"/>
    <hyperlink r:id="rId3594" ref="T1798"/>
    <hyperlink r:id="rId3595" ref="P1799"/>
    <hyperlink r:id="rId3596" ref="T1799"/>
    <hyperlink r:id="rId3597" ref="P1800"/>
    <hyperlink r:id="rId3598" ref="T1800"/>
    <hyperlink r:id="rId3599" ref="P1801"/>
    <hyperlink r:id="rId3600" ref="T1801"/>
    <hyperlink r:id="rId3601" ref="P1802"/>
    <hyperlink r:id="rId3602" ref="T1802"/>
    <hyperlink r:id="rId3603" ref="P1803"/>
    <hyperlink r:id="rId3604" ref="T1803"/>
    <hyperlink r:id="rId3605" ref="P1804"/>
    <hyperlink r:id="rId3606" ref="T1804"/>
    <hyperlink r:id="rId3607" ref="P1805"/>
    <hyperlink r:id="rId3608" ref="T1805"/>
    <hyperlink r:id="rId3609" ref="P1806"/>
    <hyperlink r:id="rId3610" ref="T1806"/>
    <hyperlink r:id="rId3611" ref="P1807"/>
    <hyperlink r:id="rId3612" ref="T1807"/>
    <hyperlink r:id="rId3613" ref="P1808"/>
    <hyperlink r:id="rId3614" ref="T1808"/>
    <hyperlink r:id="rId3615" ref="P1809"/>
    <hyperlink r:id="rId3616" ref="T1809"/>
    <hyperlink r:id="rId3617" ref="P1810"/>
    <hyperlink r:id="rId3618" ref="T1810"/>
    <hyperlink r:id="rId3619" ref="P1811"/>
    <hyperlink r:id="rId3620" ref="T1811"/>
    <hyperlink r:id="rId3621" ref="P1812"/>
    <hyperlink r:id="rId3622" ref="T1812"/>
    <hyperlink r:id="rId3623" ref="P1813"/>
    <hyperlink r:id="rId3624" ref="T1813"/>
    <hyperlink r:id="rId3625" ref="P1814"/>
    <hyperlink r:id="rId3626" ref="T1814"/>
    <hyperlink r:id="rId3627" ref="P1815"/>
    <hyperlink r:id="rId3628" ref="T1815"/>
    <hyperlink r:id="rId3629" ref="P1816"/>
    <hyperlink r:id="rId3630" ref="T1816"/>
    <hyperlink r:id="rId3631" ref="P1817"/>
    <hyperlink r:id="rId3632" ref="T1817"/>
    <hyperlink r:id="rId3633" ref="P1818"/>
    <hyperlink r:id="rId3634" ref="T1818"/>
    <hyperlink r:id="rId3635" ref="P1819"/>
    <hyperlink r:id="rId3636" ref="T1819"/>
    <hyperlink r:id="rId3637" ref="P1820"/>
    <hyperlink r:id="rId3638" ref="T1820"/>
    <hyperlink r:id="rId3639" ref="P1821"/>
    <hyperlink r:id="rId3640" ref="T1821"/>
    <hyperlink r:id="rId3641" ref="P1822"/>
    <hyperlink r:id="rId3642" ref="T1822"/>
    <hyperlink r:id="rId3643" ref="P1823"/>
    <hyperlink r:id="rId3644" ref="T1823"/>
    <hyperlink r:id="rId3645" ref="P1824"/>
    <hyperlink r:id="rId3646" ref="T1824"/>
    <hyperlink r:id="rId3647" ref="P1825"/>
    <hyperlink r:id="rId3648" ref="T1825"/>
    <hyperlink r:id="rId3649" ref="P1826"/>
    <hyperlink r:id="rId3650" ref="T1826"/>
    <hyperlink r:id="rId3651" ref="P1827"/>
    <hyperlink r:id="rId3652" ref="T1827"/>
    <hyperlink r:id="rId3653" ref="P1828"/>
    <hyperlink r:id="rId3654" ref="T1828"/>
    <hyperlink r:id="rId3655" ref="P1829"/>
    <hyperlink r:id="rId3656" ref="T1829"/>
    <hyperlink r:id="rId3657" ref="P1830"/>
    <hyperlink r:id="rId3658" ref="T1830"/>
    <hyperlink r:id="rId3659" ref="P1831"/>
    <hyperlink r:id="rId3660" ref="T1831"/>
    <hyperlink r:id="rId3661" ref="P1832"/>
    <hyperlink r:id="rId3662" ref="T1832"/>
    <hyperlink r:id="rId3663" ref="P1833"/>
    <hyperlink r:id="rId3664" ref="T1833"/>
    <hyperlink r:id="rId3665" ref="P1834"/>
    <hyperlink r:id="rId3666" ref="T1834"/>
    <hyperlink r:id="rId3667" ref="P1835"/>
    <hyperlink r:id="rId3668" ref="T1835"/>
    <hyperlink r:id="rId3669" ref="P1836"/>
    <hyperlink r:id="rId3670" ref="T1836"/>
    <hyperlink r:id="rId3671" ref="P1837"/>
    <hyperlink r:id="rId3672" ref="T1837"/>
    <hyperlink r:id="rId3673" ref="P1838"/>
    <hyperlink r:id="rId3674" ref="T1838"/>
    <hyperlink r:id="rId3675" ref="P1839"/>
    <hyperlink r:id="rId3676" ref="T1839"/>
    <hyperlink r:id="rId3677" ref="P1840"/>
    <hyperlink r:id="rId3678" ref="T1840"/>
    <hyperlink r:id="rId3679" ref="P1841"/>
    <hyperlink r:id="rId3680" ref="T1841"/>
    <hyperlink r:id="rId3681" ref="P1842"/>
    <hyperlink r:id="rId3682" ref="T1842"/>
    <hyperlink r:id="rId3683" ref="P1843"/>
    <hyperlink r:id="rId3684" ref="T1843"/>
    <hyperlink r:id="rId3685" ref="P1844"/>
    <hyperlink r:id="rId3686" ref="T1844"/>
    <hyperlink r:id="rId3687" ref="P1845"/>
    <hyperlink r:id="rId3688" ref="T1845"/>
    <hyperlink r:id="rId3689" ref="P1846"/>
    <hyperlink r:id="rId3690" ref="T1846"/>
    <hyperlink r:id="rId3691" ref="P1847"/>
    <hyperlink r:id="rId3692" ref="T1847"/>
    <hyperlink r:id="rId3693" ref="P1848"/>
    <hyperlink r:id="rId3694" ref="T1848"/>
    <hyperlink r:id="rId3695" ref="P1849"/>
    <hyperlink r:id="rId3696" ref="T1849"/>
    <hyperlink r:id="rId3697" ref="P1850"/>
    <hyperlink r:id="rId3698" ref="T1850"/>
    <hyperlink r:id="rId3699" ref="P1851"/>
    <hyperlink r:id="rId3700" ref="T1851"/>
    <hyperlink r:id="rId3701" ref="P1852"/>
    <hyperlink r:id="rId3702" ref="T1852"/>
    <hyperlink r:id="rId3703" ref="P1853"/>
    <hyperlink r:id="rId3704" ref="T1853"/>
    <hyperlink r:id="rId3705" ref="P1854"/>
    <hyperlink r:id="rId3706" ref="T1854"/>
    <hyperlink r:id="rId3707" ref="P1855"/>
    <hyperlink r:id="rId3708" ref="T1855"/>
    <hyperlink r:id="rId3709" ref="P1856"/>
    <hyperlink r:id="rId3710" ref="T1856"/>
    <hyperlink r:id="rId3711" ref="P1857"/>
    <hyperlink r:id="rId3712" ref="T1857"/>
    <hyperlink r:id="rId3713" ref="P1858"/>
    <hyperlink r:id="rId3714" ref="T1858"/>
    <hyperlink r:id="rId3715" ref="P1859"/>
    <hyperlink r:id="rId3716" ref="T1859"/>
    <hyperlink r:id="rId3717" ref="P1860"/>
    <hyperlink r:id="rId3718" ref="T1860"/>
    <hyperlink r:id="rId3719" ref="P1861"/>
    <hyperlink r:id="rId3720" ref="T1861"/>
    <hyperlink r:id="rId3721" ref="P1862"/>
    <hyperlink r:id="rId3722" ref="T1862"/>
    <hyperlink r:id="rId3723" ref="P1863"/>
    <hyperlink r:id="rId3724" ref="T1863"/>
    <hyperlink r:id="rId3725" ref="P1864"/>
    <hyperlink r:id="rId3726" ref="T1864"/>
    <hyperlink r:id="rId3727" ref="P1865"/>
    <hyperlink r:id="rId3728" ref="T1865"/>
    <hyperlink r:id="rId3729" ref="P1866"/>
    <hyperlink r:id="rId3730" ref="T1866"/>
    <hyperlink r:id="rId3731" ref="P1867"/>
    <hyperlink r:id="rId3732" ref="T1867"/>
    <hyperlink r:id="rId3733" ref="P1868"/>
    <hyperlink r:id="rId3734" ref="T1868"/>
    <hyperlink r:id="rId3735" ref="P1869"/>
    <hyperlink r:id="rId3736" ref="T1869"/>
    <hyperlink r:id="rId3737" ref="P1870"/>
    <hyperlink r:id="rId3738" ref="T1870"/>
    <hyperlink r:id="rId3739" ref="P1871"/>
    <hyperlink r:id="rId3740" ref="T1871"/>
    <hyperlink r:id="rId3741" ref="P1872"/>
    <hyperlink r:id="rId3742" ref="T1872"/>
    <hyperlink r:id="rId3743" ref="P1873"/>
    <hyperlink r:id="rId3744" ref="T1873"/>
    <hyperlink r:id="rId3745" ref="P1874"/>
    <hyperlink r:id="rId3746" ref="T1874"/>
    <hyperlink r:id="rId3747" ref="P1875"/>
    <hyperlink r:id="rId3748" ref="T1875"/>
    <hyperlink r:id="rId3749" ref="P1876"/>
    <hyperlink r:id="rId3750" ref="T1876"/>
    <hyperlink r:id="rId3751" ref="P1877"/>
    <hyperlink r:id="rId3752" ref="T1877"/>
    <hyperlink r:id="rId3753" ref="P1878"/>
    <hyperlink r:id="rId3754" ref="T1878"/>
    <hyperlink r:id="rId3755" ref="P1879"/>
    <hyperlink r:id="rId3756" ref="T1879"/>
    <hyperlink r:id="rId3757" ref="P1880"/>
    <hyperlink r:id="rId3758" ref="T1880"/>
    <hyperlink r:id="rId3759" ref="P1881"/>
    <hyperlink r:id="rId3760" ref="T1881"/>
    <hyperlink r:id="rId3761" ref="P1882"/>
    <hyperlink r:id="rId3762" ref="T1882"/>
    <hyperlink r:id="rId3763" ref="P1883"/>
    <hyperlink r:id="rId3764" ref="T1883"/>
    <hyperlink r:id="rId3765" ref="P1884"/>
    <hyperlink r:id="rId3766" ref="T1884"/>
    <hyperlink r:id="rId3767" ref="P1885"/>
    <hyperlink r:id="rId3768" ref="T1885"/>
    <hyperlink r:id="rId3769" ref="P1886"/>
    <hyperlink r:id="rId3770" ref="T1886"/>
    <hyperlink r:id="rId3771" ref="P1887"/>
    <hyperlink r:id="rId3772" ref="T1887"/>
    <hyperlink r:id="rId3773" ref="P1888"/>
    <hyperlink r:id="rId3774" ref="T1888"/>
    <hyperlink r:id="rId3775" ref="P1889"/>
    <hyperlink r:id="rId3776" ref="T1889"/>
    <hyperlink r:id="rId3777" ref="P1890"/>
    <hyperlink r:id="rId3778" ref="T1890"/>
    <hyperlink r:id="rId3779" ref="P1891"/>
    <hyperlink r:id="rId3780" ref="T1891"/>
    <hyperlink r:id="rId3781" ref="P1892"/>
    <hyperlink r:id="rId3782" ref="T1892"/>
    <hyperlink r:id="rId3783" ref="P1893"/>
    <hyperlink r:id="rId3784" ref="T1893"/>
    <hyperlink r:id="rId3785" ref="P1894"/>
    <hyperlink r:id="rId3786" ref="T1894"/>
    <hyperlink r:id="rId3787" ref="P1895"/>
    <hyperlink r:id="rId3788" ref="T1895"/>
    <hyperlink r:id="rId3789" ref="P1896"/>
    <hyperlink r:id="rId3790" ref="T1896"/>
    <hyperlink r:id="rId3791" ref="P1897"/>
    <hyperlink r:id="rId3792" ref="T1897"/>
    <hyperlink r:id="rId3793" ref="P1898"/>
    <hyperlink r:id="rId3794" ref="T1898"/>
    <hyperlink r:id="rId3795" ref="P1899"/>
    <hyperlink r:id="rId3796" ref="T1899"/>
    <hyperlink r:id="rId3797" ref="P1900"/>
    <hyperlink r:id="rId3798" ref="T1900"/>
    <hyperlink r:id="rId3799" ref="P1901"/>
    <hyperlink r:id="rId3800" ref="T1901"/>
    <hyperlink r:id="rId3801" ref="P1902"/>
    <hyperlink r:id="rId3802" ref="T1902"/>
    <hyperlink r:id="rId3803" ref="P1903"/>
    <hyperlink r:id="rId3804" ref="T1903"/>
    <hyperlink r:id="rId3805" ref="P1904"/>
    <hyperlink r:id="rId3806" ref="T1904"/>
    <hyperlink r:id="rId3807" ref="P1905"/>
    <hyperlink r:id="rId3808" ref="T1905"/>
    <hyperlink r:id="rId3809" ref="P1906"/>
    <hyperlink r:id="rId3810" ref="T1906"/>
    <hyperlink r:id="rId3811" ref="P1907"/>
    <hyperlink r:id="rId3812" ref="T1907"/>
    <hyperlink r:id="rId3813" ref="P1908"/>
    <hyperlink r:id="rId3814" ref="T1908"/>
    <hyperlink r:id="rId3815" ref="P1909"/>
    <hyperlink r:id="rId3816" ref="T1909"/>
    <hyperlink r:id="rId3817" ref="P1910"/>
    <hyperlink r:id="rId3818" ref="T1910"/>
    <hyperlink r:id="rId3819" ref="P1911"/>
    <hyperlink r:id="rId3820" ref="T1911"/>
    <hyperlink r:id="rId3821" ref="P1912"/>
    <hyperlink r:id="rId3822" ref="T1912"/>
    <hyperlink r:id="rId3823" ref="P1913"/>
    <hyperlink r:id="rId3824" ref="T1913"/>
    <hyperlink r:id="rId3825" ref="P1914"/>
    <hyperlink r:id="rId3826" ref="T1914"/>
    <hyperlink r:id="rId3827" ref="P1915"/>
    <hyperlink r:id="rId3828" ref="T1915"/>
    <hyperlink r:id="rId3829" ref="P1916"/>
    <hyperlink r:id="rId3830" ref="T1916"/>
    <hyperlink r:id="rId3831" ref="P1917"/>
    <hyperlink r:id="rId3832" ref="T1917"/>
    <hyperlink r:id="rId3833" ref="P1918"/>
    <hyperlink r:id="rId3834" ref="T1918"/>
    <hyperlink r:id="rId3835" ref="P1919"/>
    <hyperlink r:id="rId3836" ref="T1919"/>
    <hyperlink r:id="rId3837" ref="P1920"/>
    <hyperlink r:id="rId3838" ref="T1920"/>
    <hyperlink r:id="rId3839" ref="P1921"/>
    <hyperlink r:id="rId3840" ref="T1921"/>
    <hyperlink r:id="rId3841" ref="P1922"/>
    <hyperlink r:id="rId3842" ref="T1922"/>
    <hyperlink r:id="rId3843" ref="P1923"/>
    <hyperlink r:id="rId3844" ref="T1923"/>
    <hyperlink r:id="rId3845" ref="P1924"/>
    <hyperlink r:id="rId3846" ref="T1924"/>
    <hyperlink r:id="rId3847" ref="P1925"/>
    <hyperlink r:id="rId3848" ref="T1925"/>
    <hyperlink r:id="rId3849" ref="P1926"/>
    <hyperlink r:id="rId3850" ref="T1926"/>
    <hyperlink r:id="rId3851" ref="P1927"/>
    <hyperlink r:id="rId3852" ref="T1927"/>
    <hyperlink r:id="rId3853" ref="P1928"/>
    <hyperlink r:id="rId3854" ref="T1928"/>
    <hyperlink r:id="rId3855" ref="P1929"/>
    <hyperlink r:id="rId3856" ref="T1929"/>
    <hyperlink r:id="rId3857" ref="P1930"/>
    <hyperlink r:id="rId3858" ref="T1930"/>
    <hyperlink r:id="rId3859" ref="P1931"/>
    <hyperlink r:id="rId3860" ref="T1931"/>
    <hyperlink r:id="rId3861" ref="P1932"/>
    <hyperlink r:id="rId3862" ref="T1932"/>
    <hyperlink r:id="rId3863" ref="P1933"/>
    <hyperlink r:id="rId3864" ref="T1933"/>
    <hyperlink r:id="rId3865" ref="P1934"/>
    <hyperlink r:id="rId3866" ref="T1934"/>
    <hyperlink r:id="rId3867" ref="P1935"/>
    <hyperlink r:id="rId3868" ref="T1935"/>
    <hyperlink r:id="rId3869" ref="P1936"/>
    <hyperlink r:id="rId3870" ref="T1936"/>
    <hyperlink r:id="rId3871" ref="P1937"/>
    <hyperlink r:id="rId3872" ref="T1937"/>
    <hyperlink r:id="rId3873" ref="P1938"/>
    <hyperlink r:id="rId3874" ref="T1938"/>
    <hyperlink r:id="rId3875" ref="P1939"/>
    <hyperlink r:id="rId3876" ref="T1939"/>
    <hyperlink r:id="rId3877" ref="P1940"/>
    <hyperlink r:id="rId3878" ref="T1940"/>
    <hyperlink r:id="rId3879" ref="P1941"/>
    <hyperlink r:id="rId3880" ref="T1941"/>
    <hyperlink r:id="rId3881" ref="P1942"/>
    <hyperlink r:id="rId3882" ref="T1942"/>
    <hyperlink r:id="rId3883" ref="P1943"/>
    <hyperlink r:id="rId3884" ref="T1943"/>
    <hyperlink r:id="rId3885" ref="P1944"/>
    <hyperlink r:id="rId3886" ref="T1944"/>
    <hyperlink r:id="rId3887" ref="P1945"/>
    <hyperlink r:id="rId3888" ref="T1945"/>
    <hyperlink r:id="rId3889" ref="P1946"/>
    <hyperlink r:id="rId3890" ref="T1946"/>
    <hyperlink r:id="rId3891" ref="P1947"/>
    <hyperlink r:id="rId3892" ref="T1947"/>
    <hyperlink r:id="rId3893" ref="P1948"/>
    <hyperlink r:id="rId3894" ref="T1948"/>
    <hyperlink r:id="rId3895" ref="P1949"/>
    <hyperlink r:id="rId3896" ref="T1949"/>
    <hyperlink r:id="rId3897" ref="P1950"/>
    <hyperlink r:id="rId3898" ref="T1950"/>
    <hyperlink r:id="rId3899" ref="P1951"/>
    <hyperlink r:id="rId3900" ref="T1951"/>
    <hyperlink r:id="rId3901" ref="P1952"/>
    <hyperlink r:id="rId3902" ref="T1952"/>
    <hyperlink r:id="rId3903" ref="P1953"/>
    <hyperlink r:id="rId3904" ref="T1953"/>
    <hyperlink r:id="rId3905" ref="P1954"/>
    <hyperlink r:id="rId3906" ref="T1954"/>
    <hyperlink r:id="rId3907" ref="P1955"/>
    <hyperlink r:id="rId3908" ref="T1955"/>
    <hyperlink r:id="rId3909" ref="P1956"/>
    <hyperlink r:id="rId3910" ref="T1956"/>
    <hyperlink r:id="rId3911" ref="P1957"/>
    <hyperlink r:id="rId3912" ref="T1957"/>
    <hyperlink r:id="rId3913" ref="P1958"/>
    <hyperlink r:id="rId3914" ref="T1958"/>
    <hyperlink r:id="rId3915" ref="P1959"/>
    <hyperlink r:id="rId3916" ref="T1959"/>
    <hyperlink r:id="rId3917" ref="P1960"/>
    <hyperlink r:id="rId3918" ref="T1960"/>
    <hyperlink r:id="rId3919" ref="P1961"/>
    <hyperlink r:id="rId3920" ref="T1961"/>
    <hyperlink r:id="rId3921" ref="P1962"/>
    <hyperlink r:id="rId3922" ref="T1962"/>
    <hyperlink r:id="rId3923" ref="P1963"/>
    <hyperlink r:id="rId3924" ref="T1963"/>
    <hyperlink r:id="rId3925" ref="P1964"/>
    <hyperlink r:id="rId3926" ref="T1964"/>
    <hyperlink r:id="rId3927" ref="P1965"/>
    <hyperlink r:id="rId3928" ref="T1965"/>
    <hyperlink r:id="rId3929" ref="P1966"/>
    <hyperlink r:id="rId3930" ref="T1966"/>
    <hyperlink r:id="rId3931" ref="P1967"/>
    <hyperlink r:id="rId3932" ref="T1967"/>
    <hyperlink r:id="rId3933" ref="P1968"/>
    <hyperlink r:id="rId3934" ref="T1968"/>
    <hyperlink r:id="rId3935" ref="P1969"/>
    <hyperlink r:id="rId3936" ref="T1969"/>
    <hyperlink r:id="rId3937" ref="P1970"/>
    <hyperlink r:id="rId3938" ref="T1970"/>
    <hyperlink r:id="rId3939" ref="P1971"/>
    <hyperlink r:id="rId3940" ref="T1971"/>
    <hyperlink r:id="rId3941" ref="P1972"/>
    <hyperlink r:id="rId3942" ref="T1972"/>
    <hyperlink r:id="rId3943" ref="P1973"/>
    <hyperlink r:id="rId3944" ref="T1973"/>
    <hyperlink r:id="rId3945" ref="P1974"/>
    <hyperlink r:id="rId3946" ref="T1974"/>
    <hyperlink r:id="rId3947" ref="P1975"/>
    <hyperlink r:id="rId3948" ref="T1975"/>
    <hyperlink r:id="rId3949" ref="P1976"/>
    <hyperlink r:id="rId3950" ref="T1976"/>
    <hyperlink r:id="rId3951" ref="P1977"/>
    <hyperlink r:id="rId3952" ref="T1977"/>
    <hyperlink r:id="rId3953" ref="P1978"/>
    <hyperlink r:id="rId3954" ref="T1978"/>
    <hyperlink r:id="rId3955" ref="P1979"/>
    <hyperlink r:id="rId3956" ref="T1979"/>
    <hyperlink r:id="rId3957" ref="P1980"/>
    <hyperlink r:id="rId3958" ref="T1980"/>
    <hyperlink r:id="rId3959" ref="P1981"/>
    <hyperlink r:id="rId3960" ref="T1981"/>
    <hyperlink r:id="rId3961" ref="P1982"/>
    <hyperlink r:id="rId3962" ref="T1982"/>
    <hyperlink r:id="rId3963" ref="P1983"/>
    <hyperlink r:id="rId3964" ref="T1983"/>
    <hyperlink r:id="rId3965" ref="P1984"/>
    <hyperlink r:id="rId3966" ref="T1984"/>
    <hyperlink r:id="rId3967" ref="P1985"/>
    <hyperlink r:id="rId3968" ref="T1985"/>
    <hyperlink r:id="rId3969" ref="P1986"/>
    <hyperlink r:id="rId3970" ref="T1986"/>
    <hyperlink r:id="rId3971" ref="P1987"/>
    <hyperlink r:id="rId3972" ref="T1987"/>
    <hyperlink r:id="rId3973" ref="P1988"/>
    <hyperlink r:id="rId3974" ref="T1988"/>
    <hyperlink r:id="rId3975" ref="P1989"/>
    <hyperlink r:id="rId3976" ref="T1989"/>
    <hyperlink r:id="rId3977" ref="P1990"/>
    <hyperlink r:id="rId3978" ref="T1990"/>
    <hyperlink r:id="rId3979" ref="P1991"/>
    <hyperlink r:id="rId3980" ref="T1991"/>
    <hyperlink r:id="rId3981" ref="P1992"/>
    <hyperlink r:id="rId3982" ref="T1992"/>
    <hyperlink r:id="rId3983" ref="P1993"/>
    <hyperlink r:id="rId3984" ref="T1993"/>
    <hyperlink r:id="rId3985" ref="P1994"/>
    <hyperlink r:id="rId3986" ref="T1994"/>
    <hyperlink r:id="rId3987" ref="P1995"/>
    <hyperlink r:id="rId3988" ref="T1995"/>
    <hyperlink r:id="rId3989" ref="P1996"/>
    <hyperlink r:id="rId3990" ref="T1996"/>
    <hyperlink r:id="rId3991" ref="P1997"/>
    <hyperlink r:id="rId3992" ref="T1997"/>
    <hyperlink r:id="rId3993" ref="P1998"/>
    <hyperlink r:id="rId3994" ref="T1998"/>
    <hyperlink r:id="rId3995" ref="P1999"/>
    <hyperlink r:id="rId3996" ref="T1999"/>
    <hyperlink r:id="rId3997" ref="P2000"/>
    <hyperlink r:id="rId3998" ref="T2000"/>
    <hyperlink r:id="rId3999" ref="P2001"/>
    <hyperlink r:id="rId4000" ref="T2001"/>
    <hyperlink r:id="rId4001" ref="P2002"/>
    <hyperlink r:id="rId4002" ref="T2002"/>
    <hyperlink r:id="rId4003" ref="P2003"/>
    <hyperlink r:id="rId4004" ref="T2003"/>
    <hyperlink r:id="rId4005" ref="P2004"/>
    <hyperlink r:id="rId4006" ref="T2004"/>
    <hyperlink r:id="rId4007" ref="P2005"/>
    <hyperlink r:id="rId4008" ref="T2005"/>
    <hyperlink r:id="rId4009" ref="P2006"/>
    <hyperlink r:id="rId4010" ref="T2006"/>
    <hyperlink r:id="rId4011" ref="P2007"/>
    <hyperlink r:id="rId4012" ref="T2007"/>
    <hyperlink r:id="rId4013" ref="P2008"/>
    <hyperlink r:id="rId4014" ref="T2008"/>
    <hyperlink r:id="rId4015" ref="P2009"/>
    <hyperlink r:id="rId4016" ref="T2009"/>
    <hyperlink r:id="rId4017" ref="P2010"/>
    <hyperlink r:id="rId4018" ref="T2010"/>
    <hyperlink r:id="rId4019" ref="P2011"/>
    <hyperlink r:id="rId4020" ref="T2011"/>
    <hyperlink r:id="rId4021" ref="P2012"/>
    <hyperlink r:id="rId4022" ref="T2012"/>
    <hyperlink r:id="rId4023" ref="P2013"/>
    <hyperlink r:id="rId4024" ref="T2013"/>
    <hyperlink r:id="rId4025" ref="P2014"/>
    <hyperlink r:id="rId4026" ref="T2014"/>
    <hyperlink r:id="rId4027" ref="P2015"/>
    <hyperlink r:id="rId4028" ref="T2015"/>
    <hyperlink r:id="rId4029" ref="P2016"/>
    <hyperlink r:id="rId4030" ref="T2016"/>
    <hyperlink r:id="rId4031" ref="P2017"/>
    <hyperlink r:id="rId4032" ref="T2017"/>
    <hyperlink r:id="rId4033" ref="P2018"/>
    <hyperlink r:id="rId4034" ref="T2018"/>
    <hyperlink r:id="rId4035" ref="P2019"/>
    <hyperlink r:id="rId4036" ref="T2019"/>
    <hyperlink r:id="rId4037" ref="P2020"/>
    <hyperlink r:id="rId4038" ref="T2020"/>
    <hyperlink r:id="rId4039" ref="P2021"/>
    <hyperlink r:id="rId4040" ref="T2021"/>
    <hyperlink r:id="rId4041" ref="P2022"/>
    <hyperlink r:id="rId4042" ref="T2022"/>
    <hyperlink r:id="rId4043" ref="P2023"/>
    <hyperlink r:id="rId4044" ref="T2023"/>
    <hyperlink r:id="rId4045" ref="P2024"/>
    <hyperlink r:id="rId4046" ref="T2024"/>
    <hyperlink r:id="rId4047" ref="P2025"/>
    <hyperlink r:id="rId4048" ref="T2025"/>
    <hyperlink r:id="rId4049" ref="P2026"/>
    <hyperlink r:id="rId4050" ref="T2026"/>
    <hyperlink r:id="rId4051" ref="P2027"/>
    <hyperlink r:id="rId4052" ref="T2027"/>
    <hyperlink r:id="rId4053" ref="P2028"/>
    <hyperlink r:id="rId4054" ref="T2028"/>
    <hyperlink r:id="rId4055" ref="P2029"/>
    <hyperlink r:id="rId4056" ref="T2029"/>
    <hyperlink r:id="rId4057" ref="P2030"/>
    <hyperlink r:id="rId4058" ref="T2030"/>
    <hyperlink r:id="rId4059" ref="P2031"/>
    <hyperlink r:id="rId4060" ref="T2031"/>
    <hyperlink r:id="rId4061" ref="P2032"/>
    <hyperlink r:id="rId4062" ref="T2032"/>
    <hyperlink r:id="rId4063" ref="P2033"/>
    <hyperlink r:id="rId4064" ref="T2033"/>
    <hyperlink r:id="rId4065" ref="P2034"/>
    <hyperlink r:id="rId4066" ref="T2034"/>
    <hyperlink r:id="rId4067" ref="P2035"/>
    <hyperlink r:id="rId4068" ref="T2035"/>
    <hyperlink r:id="rId4069" ref="P2036"/>
    <hyperlink r:id="rId4070" ref="T2036"/>
    <hyperlink r:id="rId4071" ref="P2037"/>
    <hyperlink r:id="rId4072" ref="T2037"/>
    <hyperlink r:id="rId4073" ref="P2038"/>
    <hyperlink r:id="rId4074" ref="T2038"/>
    <hyperlink r:id="rId4075" ref="P2039"/>
    <hyperlink r:id="rId4076" ref="T2039"/>
    <hyperlink r:id="rId4077" ref="P2040"/>
    <hyperlink r:id="rId4078" ref="T2040"/>
    <hyperlink r:id="rId4079" ref="P2041"/>
    <hyperlink r:id="rId4080" ref="T2041"/>
    <hyperlink r:id="rId4081" ref="P2042"/>
    <hyperlink r:id="rId4082" ref="T2042"/>
    <hyperlink r:id="rId4083" ref="P2043"/>
    <hyperlink r:id="rId4084" ref="T2043"/>
    <hyperlink r:id="rId4085" ref="P2044"/>
    <hyperlink r:id="rId4086" ref="T2044"/>
    <hyperlink r:id="rId4087" ref="P2045"/>
    <hyperlink r:id="rId4088" ref="T2045"/>
    <hyperlink r:id="rId4089" ref="P2046"/>
    <hyperlink r:id="rId4090" ref="T2046"/>
    <hyperlink r:id="rId4091" ref="P2047"/>
    <hyperlink r:id="rId4092" ref="T2047"/>
    <hyperlink r:id="rId4093" ref="P2048"/>
    <hyperlink r:id="rId4094" ref="T2048"/>
    <hyperlink r:id="rId4095" ref="P2049"/>
    <hyperlink r:id="rId4096" ref="T2049"/>
    <hyperlink r:id="rId4097" ref="P2050"/>
    <hyperlink r:id="rId4098" ref="T2050"/>
    <hyperlink r:id="rId4099" ref="P2051"/>
    <hyperlink r:id="rId4100" ref="T2051"/>
    <hyperlink r:id="rId4101" ref="P2052"/>
    <hyperlink r:id="rId4102" ref="T2052"/>
    <hyperlink r:id="rId4103" ref="P2053"/>
    <hyperlink r:id="rId4104" ref="T2053"/>
    <hyperlink r:id="rId4105" ref="P2054"/>
    <hyperlink r:id="rId4106" ref="T2054"/>
    <hyperlink r:id="rId4107" ref="P2055"/>
    <hyperlink r:id="rId4108" ref="T2055"/>
    <hyperlink r:id="rId4109" ref="P2056"/>
    <hyperlink r:id="rId4110" ref="T2056"/>
    <hyperlink r:id="rId4111" ref="P2057"/>
    <hyperlink r:id="rId4112" ref="T2057"/>
    <hyperlink r:id="rId4113" ref="P2058"/>
    <hyperlink r:id="rId4114" ref="T2058"/>
    <hyperlink r:id="rId4115" ref="P2059"/>
    <hyperlink r:id="rId4116" ref="T2059"/>
    <hyperlink r:id="rId4117" ref="P2060"/>
    <hyperlink r:id="rId4118" ref="T2060"/>
    <hyperlink r:id="rId4119" ref="P2061"/>
    <hyperlink r:id="rId4120" ref="T2061"/>
    <hyperlink r:id="rId4121" ref="P2062"/>
    <hyperlink r:id="rId4122" ref="T2062"/>
    <hyperlink r:id="rId4123" ref="P2063"/>
    <hyperlink r:id="rId4124" ref="T2063"/>
    <hyperlink r:id="rId4125" ref="P2064"/>
    <hyperlink r:id="rId4126" ref="T2064"/>
    <hyperlink r:id="rId4127" ref="P2065"/>
    <hyperlink r:id="rId4128" ref="T2065"/>
    <hyperlink r:id="rId4129" ref="P2066"/>
    <hyperlink r:id="rId4130" ref="T2066"/>
    <hyperlink r:id="rId4131" ref="P2067"/>
    <hyperlink r:id="rId4132" ref="T2067"/>
    <hyperlink r:id="rId4133" ref="P2068"/>
    <hyperlink r:id="rId4134" ref="T2068"/>
    <hyperlink r:id="rId4135" ref="P2069"/>
    <hyperlink r:id="rId4136" ref="T2069"/>
    <hyperlink r:id="rId4137" ref="P2070"/>
    <hyperlink r:id="rId4138" ref="T2070"/>
    <hyperlink r:id="rId4139" ref="P2071"/>
    <hyperlink r:id="rId4140" ref="T2071"/>
    <hyperlink r:id="rId4141" ref="P2072"/>
    <hyperlink r:id="rId4142" ref="T2072"/>
    <hyperlink r:id="rId4143" ref="P2073"/>
    <hyperlink r:id="rId4144" ref="T2073"/>
    <hyperlink r:id="rId4145" ref="P2074"/>
    <hyperlink r:id="rId4146" ref="T2074"/>
    <hyperlink r:id="rId4147" ref="P2075"/>
    <hyperlink r:id="rId4148" ref="T2075"/>
    <hyperlink r:id="rId4149" ref="P2076"/>
    <hyperlink r:id="rId4150" ref="T2076"/>
    <hyperlink r:id="rId4151" ref="P2077"/>
    <hyperlink r:id="rId4152" ref="T2077"/>
    <hyperlink r:id="rId4153" ref="P2078"/>
    <hyperlink r:id="rId4154" ref="T2078"/>
    <hyperlink r:id="rId4155" ref="P2079"/>
    <hyperlink r:id="rId4156" ref="T2079"/>
    <hyperlink r:id="rId4157" ref="P2080"/>
    <hyperlink r:id="rId4158" ref="T2080"/>
    <hyperlink r:id="rId4159" ref="P2081"/>
    <hyperlink r:id="rId4160" ref="T2081"/>
    <hyperlink r:id="rId4161" ref="P2082"/>
    <hyperlink r:id="rId4162" ref="T2082"/>
    <hyperlink r:id="rId4163" ref="P2083"/>
    <hyperlink r:id="rId4164" ref="T2083"/>
    <hyperlink r:id="rId4165" ref="P2084"/>
    <hyperlink r:id="rId4166" ref="T2084"/>
    <hyperlink r:id="rId4167" ref="P2085"/>
    <hyperlink r:id="rId4168" ref="T2085"/>
    <hyperlink r:id="rId4169" ref="P2086"/>
    <hyperlink r:id="rId4170" ref="T2086"/>
    <hyperlink r:id="rId4171" ref="P2087"/>
    <hyperlink r:id="rId4172" ref="T2087"/>
    <hyperlink r:id="rId4173" ref="P2088"/>
    <hyperlink r:id="rId4174" ref="T2088"/>
    <hyperlink r:id="rId4175" ref="P2089"/>
    <hyperlink r:id="rId4176" ref="T2089"/>
    <hyperlink r:id="rId4177" ref="P2090"/>
    <hyperlink r:id="rId4178" ref="T2090"/>
    <hyperlink r:id="rId4179" ref="P2091"/>
    <hyperlink r:id="rId4180" ref="T2091"/>
    <hyperlink r:id="rId4181" ref="P2092"/>
    <hyperlink r:id="rId4182" ref="T2092"/>
    <hyperlink r:id="rId4183" ref="P2093"/>
    <hyperlink r:id="rId4184" ref="T2093"/>
    <hyperlink r:id="rId4185" ref="P2094"/>
    <hyperlink r:id="rId4186" ref="T2094"/>
    <hyperlink r:id="rId4187" ref="P2095"/>
    <hyperlink r:id="rId4188" ref="T2095"/>
    <hyperlink r:id="rId4189" ref="P2096"/>
    <hyperlink r:id="rId4190" ref="T2096"/>
    <hyperlink r:id="rId4191" ref="P2097"/>
    <hyperlink r:id="rId4192" ref="T2097"/>
    <hyperlink r:id="rId4193" ref="P2098"/>
    <hyperlink r:id="rId4194" ref="T2098"/>
    <hyperlink r:id="rId4195" ref="P2099"/>
    <hyperlink r:id="rId4196" ref="T2099"/>
    <hyperlink r:id="rId4197" ref="P2100"/>
    <hyperlink r:id="rId4198" ref="T2100"/>
    <hyperlink r:id="rId4199" ref="P2101"/>
    <hyperlink r:id="rId4200" ref="T2101"/>
    <hyperlink r:id="rId4201" ref="P2102"/>
    <hyperlink r:id="rId4202" ref="T2102"/>
    <hyperlink r:id="rId4203" ref="P2103"/>
    <hyperlink r:id="rId4204" ref="T2103"/>
    <hyperlink r:id="rId4205" ref="P2104"/>
    <hyperlink r:id="rId4206" ref="T2104"/>
    <hyperlink r:id="rId4207" ref="P2105"/>
    <hyperlink r:id="rId4208" ref="T2105"/>
    <hyperlink r:id="rId4209" ref="P2106"/>
    <hyperlink r:id="rId4210" ref="T2106"/>
    <hyperlink r:id="rId4211" ref="P2107"/>
    <hyperlink r:id="rId4212" ref="T2107"/>
    <hyperlink r:id="rId4213" ref="P2108"/>
    <hyperlink r:id="rId4214" ref="T2108"/>
    <hyperlink r:id="rId4215" ref="P2109"/>
    <hyperlink r:id="rId4216" ref="T2109"/>
    <hyperlink r:id="rId4217" ref="P2110"/>
    <hyperlink r:id="rId4218" ref="T2110"/>
    <hyperlink r:id="rId4219" ref="P2111"/>
    <hyperlink r:id="rId4220" ref="T2111"/>
    <hyperlink r:id="rId4221" ref="P2112"/>
    <hyperlink r:id="rId4222" ref="T2112"/>
    <hyperlink r:id="rId4223" ref="P2113"/>
    <hyperlink r:id="rId4224" ref="T2113"/>
    <hyperlink r:id="rId4225" ref="P2114"/>
    <hyperlink r:id="rId4226" ref="T2114"/>
    <hyperlink r:id="rId4227" ref="P2115"/>
    <hyperlink r:id="rId4228" ref="T2115"/>
    <hyperlink r:id="rId4229" ref="P2116"/>
    <hyperlink r:id="rId4230" ref="T2116"/>
    <hyperlink r:id="rId4231" ref="P2117"/>
    <hyperlink r:id="rId4232" ref="T2117"/>
    <hyperlink r:id="rId4233" ref="P2118"/>
    <hyperlink r:id="rId4234" ref="T2118"/>
    <hyperlink r:id="rId4235" ref="P2119"/>
    <hyperlink r:id="rId4236" ref="T2119"/>
    <hyperlink r:id="rId4237" ref="P2120"/>
    <hyperlink r:id="rId4238" ref="T2120"/>
    <hyperlink r:id="rId4239" ref="P2121"/>
    <hyperlink r:id="rId4240" ref="T2121"/>
    <hyperlink r:id="rId4241" ref="P2122"/>
    <hyperlink r:id="rId4242" ref="T2122"/>
    <hyperlink r:id="rId4243" ref="P2123"/>
    <hyperlink r:id="rId4244" ref="T2123"/>
    <hyperlink r:id="rId4245" ref="P2124"/>
    <hyperlink r:id="rId4246" ref="T2124"/>
    <hyperlink r:id="rId4247" ref="P2125"/>
    <hyperlink r:id="rId4248" ref="T2125"/>
    <hyperlink r:id="rId4249" ref="P2126"/>
    <hyperlink r:id="rId4250" ref="T2126"/>
    <hyperlink r:id="rId4251" ref="P2127"/>
    <hyperlink r:id="rId4252" ref="T2127"/>
    <hyperlink r:id="rId4253" ref="P2128"/>
    <hyperlink r:id="rId4254" ref="T2128"/>
    <hyperlink r:id="rId4255" ref="P2129"/>
    <hyperlink r:id="rId4256" ref="T2129"/>
    <hyperlink r:id="rId4257" ref="P2130"/>
    <hyperlink r:id="rId4258" ref="T2130"/>
    <hyperlink r:id="rId4259" ref="P2131"/>
    <hyperlink r:id="rId4260" ref="T2131"/>
    <hyperlink r:id="rId4261" ref="P2132"/>
    <hyperlink r:id="rId4262" ref="T2132"/>
    <hyperlink r:id="rId4263" ref="P2133"/>
    <hyperlink r:id="rId4264" ref="T2133"/>
    <hyperlink r:id="rId4265" ref="P2134"/>
    <hyperlink r:id="rId4266" ref="T2134"/>
    <hyperlink r:id="rId4267" ref="P2135"/>
    <hyperlink r:id="rId4268" ref="T2135"/>
    <hyperlink r:id="rId4269" ref="P2136"/>
    <hyperlink r:id="rId4270" ref="T2136"/>
    <hyperlink r:id="rId4271" ref="P2137"/>
    <hyperlink r:id="rId4272" ref="T2137"/>
    <hyperlink r:id="rId4273" ref="P2138"/>
    <hyperlink r:id="rId4274" ref="T2138"/>
    <hyperlink r:id="rId4275" ref="P2139"/>
    <hyperlink r:id="rId4276" ref="T2139"/>
    <hyperlink r:id="rId4277" ref="P2140"/>
    <hyperlink r:id="rId4278" ref="T2140"/>
    <hyperlink r:id="rId4279" ref="P2141"/>
    <hyperlink r:id="rId4280" ref="T2141"/>
    <hyperlink r:id="rId4281" ref="P2142"/>
    <hyperlink r:id="rId4282" ref="T2142"/>
    <hyperlink r:id="rId4283" ref="P2143"/>
    <hyperlink r:id="rId4284" ref="T2143"/>
    <hyperlink r:id="rId4285" ref="P2144"/>
    <hyperlink r:id="rId4286" ref="T2144"/>
    <hyperlink r:id="rId4287" ref="P2145"/>
    <hyperlink r:id="rId4288" ref="T2145"/>
    <hyperlink r:id="rId4289" ref="P2146"/>
    <hyperlink r:id="rId4290" ref="T2146"/>
    <hyperlink r:id="rId4291" ref="P2147"/>
    <hyperlink r:id="rId4292" ref="T2147"/>
    <hyperlink r:id="rId4293" ref="P2148"/>
    <hyperlink r:id="rId4294" ref="T2148"/>
    <hyperlink r:id="rId4295" ref="P2149"/>
    <hyperlink r:id="rId4296" ref="T2149"/>
    <hyperlink r:id="rId4297" ref="P2150"/>
    <hyperlink r:id="rId4298" ref="T2150"/>
    <hyperlink r:id="rId4299" ref="P2151"/>
    <hyperlink r:id="rId4300" ref="T2151"/>
    <hyperlink r:id="rId4301" ref="P2152"/>
    <hyperlink r:id="rId4302" ref="T2152"/>
    <hyperlink r:id="rId4303" ref="P2153"/>
    <hyperlink r:id="rId4304" ref="T2153"/>
    <hyperlink r:id="rId4305" ref="P2154"/>
    <hyperlink r:id="rId4306" ref="T2154"/>
    <hyperlink r:id="rId4307" ref="P2155"/>
    <hyperlink r:id="rId4308" ref="T2155"/>
    <hyperlink r:id="rId4309" ref="P2156"/>
    <hyperlink r:id="rId4310" ref="T2156"/>
    <hyperlink r:id="rId4311" ref="P2157"/>
    <hyperlink r:id="rId4312" ref="T2157"/>
    <hyperlink r:id="rId4313" ref="P2158"/>
    <hyperlink r:id="rId4314" ref="T2158"/>
    <hyperlink r:id="rId4315" ref="P2159"/>
    <hyperlink r:id="rId4316" ref="T2159"/>
    <hyperlink r:id="rId4317" ref="P2160"/>
    <hyperlink r:id="rId4318" ref="T2160"/>
    <hyperlink r:id="rId4319" ref="P2161"/>
    <hyperlink r:id="rId4320" ref="T2161"/>
    <hyperlink r:id="rId4321" ref="P2162"/>
    <hyperlink r:id="rId4322" ref="T2162"/>
    <hyperlink r:id="rId4323" ref="P2163"/>
    <hyperlink r:id="rId4324" ref="T2163"/>
    <hyperlink r:id="rId4325" ref="P2164"/>
    <hyperlink r:id="rId4326" ref="T2164"/>
    <hyperlink r:id="rId4327" ref="P2165"/>
    <hyperlink r:id="rId4328" ref="T2165"/>
    <hyperlink r:id="rId4329" ref="P2166"/>
    <hyperlink r:id="rId4330" ref="T2166"/>
    <hyperlink r:id="rId4331" ref="P2167"/>
    <hyperlink r:id="rId4332" ref="T2167"/>
    <hyperlink r:id="rId4333" ref="P2168"/>
    <hyperlink r:id="rId4334" ref="T2168"/>
    <hyperlink r:id="rId4335" ref="P2169"/>
    <hyperlink r:id="rId4336" ref="T2169"/>
    <hyperlink r:id="rId4337" ref="P2170"/>
    <hyperlink r:id="rId4338" ref="T2170"/>
    <hyperlink r:id="rId4339" ref="P2171"/>
    <hyperlink r:id="rId4340" ref="T2171"/>
    <hyperlink r:id="rId4341" ref="P2172"/>
    <hyperlink r:id="rId4342" ref="T2172"/>
    <hyperlink r:id="rId4343" ref="P2173"/>
    <hyperlink r:id="rId4344" ref="T2173"/>
    <hyperlink r:id="rId4345" ref="P2174"/>
    <hyperlink r:id="rId4346" ref="T2174"/>
    <hyperlink r:id="rId4347" ref="P2175"/>
    <hyperlink r:id="rId4348" ref="T2175"/>
    <hyperlink r:id="rId4349" ref="P2176"/>
    <hyperlink r:id="rId4350" ref="T2176"/>
    <hyperlink r:id="rId4351" ref="P2177"/>
    <hyperlink r:id="rId4352" ref="T2177"/>
    <hyperlink r:id="rId4353" ref="P2178"/>
    <hyperlink r:id="rId4354" ref="T2178"/>
    <hyperlink r:id="rId4355" ref="P2179"/>
    <hyperlink r:id="rId4356" ref="T2179"/>
    <hyperlink r:id="rId4357" ref="P2180"/>
    <hyperlink r:id="rId4358" ref="T2180"/>
    <hyperlink r:id="rId4359" ref="P2181"/>
    <hyperlink r:id="rId4360" ref="T2181"/>
    <hyperlink r:id="rId4361" ref="P2182"/>
    <hyperlink r:id="rId4362" ref="T2182"/>
    <hyperlink r:id="rId4363" ref="P2183"/>
    <hyperlink r:id="rId4364" ref="T2183"/>
    <hyperlink r:id="rId4365" ref="P2184"/>
    <hyperlink r:id="rId4366" ref="T2184"/>
    <hyperlink r:id="rId4367" ref="P2185"/>
    <hyperlink r:id="rId4368" ref="T2185"/>
    <hyperlink r:id="rId4369" ref="P2186"/>
    <hyperlink r:id="rId4370" ref="T2186"/>
    <hyperlink r:id="rId4371" ref="P2187"/>
    <hyperlink r:id="rId4372" ref="T2187"/>
    <hyperlink r:id="rId4373" ref="P2188"/>
    <hyperlink r:id="rId4374" ref="T2188"/>
    <hyperlink r:id="rId4375" ref="P2189"/>
    <hyperlink r:id="rId4376" ref="T2189"/>
    <hyperlink r:id="rId4377" ref="P2190"/>
    <hyperlink r:id="rId4378" ref="T2190"/>
    <hyperlink r:id="rId4379" ref="P2191"/>
    <hyperlink r:id="rId4380" ref="T2191"/>
    <hyperlink r:id="rId4381" ref="P2192"/>
    <hyperlink r:id="rId4382" ref="T2192"/>
    <hyperlink r:id="rId4383" ref="P2193"/>
    <hyperlink r:id="rId4384" ref="T2193"/>
    <hyperlink r:id="rId4385" ref="P2194"/>
    <hyperlink r:id="rId4386" ref="T2194"/>
    <hyperlink r:id="rId4387" ref="P2195"/>
    <hyperlink r:id="rId4388" ref="T2195"/>
    <hyperlink r:id="rId4389" ref="P2196"/>
    <hyperlink r:id="rId4390" ref="T2196"/>
    <hyperlink r:id="rId4391" ref="P2197"/>
    <hyperlink r:id="rId4392" ref="T2197"/>
    <hyperlink r:id="rId4393" ref="P2198"/>
    <hyperlink r:id="rId4394" ref="T2198"/>
    <hyperlink r:id="rId4395" ref="P2199"/>
    <hyperlink r:id="rId4396" ref="T2199"/>
    <hyperlink r:id="rId4397" ref="P2200"/>
    <hyperlink r:id="rId4398" ref="T2200"/>
    <hyperlink r:id="rId4399" ref="P2201"/>
    <hyperlink r:id="rId4400" ref="T2201"/>
    <hyperlink r:id="rId4401" ref="P2202"/>
    <hyperlink r:id="rId4402" ref="T2202"/>
    <hyperlink r:id="rId4403" ref="P2203"/>
    <hyperlink r:id="rId4404" ref="T2203"/>
    <hyperlink r:id="rId4405" ref="P2204"/>
    <hyperlink r:id="rId4406" ref="T2204"/>
    <hyperlink r:id="rId4407" ref="P2205"/>
    <hyperlink r:id="rId4408" ref="T2205"/>
    <hyperlink r:id="rId4409" ref="P2206"/>
    <hyperlink r:id="rId4410" ref="T2206"/>
    <hyperlink r:id="rId4411" ref="P2207"/>
    <hyperlink r:id="rId4412" ref="T2207"/>
    <hyperlink r:id="rId4413" ref="P2208"/>
    <hyperlink r:id="rId4414" ref="T2208"/>
    <hyperlink r:id="rId4415" ref="P2209"/>
    <hyperlink r:id="rId4416" ref="T2209"/>
    <hyperlink r:id="rId4417" ref="P2210"/>
    <hyperlink r:id="rId4418" ref="T2210"/>
    <hyperlink r:id="rId4419" ref="P2211"/>
    <hyperlink r:id="rId4420" ref="T2211"/>
    <hyperlink r:id="rId4421" ref="P2212"/>
    <hyperlink r:id="rId4422" ref="T2212"/>
    <hyperlink r:id="rId4423" ref="P2213"/>
    <hyperlink r:id="rId4424" ref="T2213"/>
    <hyperlink r:id="rId4425" ref="P2214"/>
    <hyperlink r:id="rId4426" ref="T2214"/>
    <hyperlink r:id="rId4427" ref="P2215"/>
    <hyperlink r:id="rId4428" ref="T2215"/>
    <hyperlink r:id="rId4429" ref="P2216"/>
    <hyperlink r:id="rId4430" ref="T2216"/>
    <hyperlink r:id="rId4431" ref="P2217"/>
    <hyperlink r:id="rId4432" ref="T2217"/>
    <hyperlink r:id="rId4433" ref="P2218"/>
    <hyperlink r:id="rId4434" ref="T2218"/>
    <hyperlink r:id="rId4435" ref="P2219"/>
    <hyperlink r:id="rId4436" ref="T2219"/>
    <hyperlink r:id="rId4437" ref="P2220"/>
    <hyperlink r:id="rId4438" ref="T2220"/>
    <hyperlink r:id="rId4439" ref="P2221"/>
    <hyperlink r:id="rId4440" ref="T2221"/>
    <hyperlink r:id="rId4441" ref="P2222"/>
    <hyperlink r:id="rId4442" ref="T2222"/>
    <hyperlink r:id="rId4443" ref="P2223"/>
    <hyperlink r:id="rId4444" ref="T2223"/>
    <hyperlink r:id="rId4445" ref="P2224"/>
    <hyperlink r:id="rId4446" ref="T2224"/>
    <hyperlink r:id="rId4447" ref="P2225"/>
    <hyperlink r:id="rId4448" ref="T2225"/>
    <hyperlink r:id="rId4449" ref="P2226"/>
    <hyperlink r:id="rId4450" ref="T2226"/>
    <hyperlink r:id="rId4451" ref="P2227"/>
    <hyperlink r:id="rId4452" ref="T2227"/>
    <hyperlink r:id="rId4453" ref="P2228"/>
    <hyperlink r:id="rId4454" ref="T2228"/>
    <hyperlink r:id="rId4455" ref="P2229"/>
    <hyperlink r:id="rId4456" ref="T2229"/>
    <hyperlink r:id="rId4457" ref="P2230"/>
    <hyperlink r:id="rId4458" ref="T2230"/>
    <hyperlink r:id="rId4459" ref="P2231"/>
    <hyperlink r:id="rId4460" ref="T2231"/>
    <hyperlink r:id="rId4461" ref="P2232"/>
    <hyperlink r:id="rId4462" ref="T2232"/>
    <hyperlink r:id="rId4463" ref="P2233"/>
    <hyperlink r:id="rId4464" ref="T2233"/>
    <hyperlink r:id="rId4465" ref="P2234"/>
    <hyperlink r:id="rId4466" ref="T2234"/>
    <hyperlink r:id="rId4467" ref="P2235"/>
    <hyperlink r:id="rId4468" ref="T2235"/>
    <hyperlink r:id="rId4469" ref="P2236"/>
    <hyperlink r:id="rId4470" ref="T2236"/>
    <hyperlink r:id="rId4471" ref="P2237"/>
    <hyperlink r:id="rId4472" ref="T2237"/>
    <hyperlink r:id="rId4473" ref="P2238"/>
    <hyperlink r:id="rId4474" ref="T2238"/>
    <hyperlink r:id="rId4475" ref="P2239"/>
    <hyperlink r:id="rId4476" ref="T2239"/>
    <hyperlink r:id="rId4477" ref="P2240"/>
    <hyperlink r:id="rId4478" ref="T2240"/>
    <hyperlink r:id="rId4479" ref="P2241"/>
    <hyperlink r:id="rId4480" ref="T2241"/>
    <hyperlink r:id="rId4481" ref="P2242"/>
    <hyperlink r:id="rId4482" ref="T2242"/>
    <hyperlink r:id="rId4483" ref="P2243"/>
    <hyperlink r:id="rId4484" ref="T2243"/>
    <hyperlink r:id="rId4485" ref="P2244"/>
    <hyperlink r:id="rId4486" ref="T2244"/>
    <hyperlink r:id="rId4487" ref="P2245"/>
    <hyperlink r:id="rId4488" ref="T2245"/>
    <hyperlink r:id="rId4489" ref="P2246"/>
    <hyperlink r:id="rId4490" ref="T2246"/>
    <hyperlink r:id="rId4491" ref="P2247"/>
    <hyperlink r:id="rId4492" ref="T2247"/>
    <hyperlink r:id="rId4493" ref="P2248"/>
    <hyperlink r:id="rId4494" ref="T2248"/>
    <hyperlink r:id="rId4495" ref="P2249"/>
    <hyperlink r:id="rId4496" ref="T2249"/>
    <hyperlink r:id="rId4497" ref="P2250"/>
    <hyperlink r:id="rId4498" ref="T2250"/>
    <hyperlink r:id="rId4499" ref="P2251"/>
    <hyperlink r:id="rId4500" ref="T2251"/>
    <hyperlink r:id="rId4501" ref="P2252"/>
    <hyperlink r:id="rId4502" ref="T2252"/>
    <hyperlink r:id="rId4503" ref="P2253"/>
    <hyperlink r:id="rId4504" ref="T2253"/>
    <hyperlink r:id="rId4505" ref="P2254"/>
    <hyperlink r:id="rId4506" ref="T2254"/>
    <hyperlink r:id="rId4507" ref="P2255"/>
    <hyperlink r:id="rId4508" ref="T2255"/>
    <hyperlink r:id="rId4509" ref="P2256"/>
    <hyperlink r:id="rId4510" ref="T2256"/>
    <hyperlink r:id="rId4511" ref="P2257"/>
    <hyperlink r:id="rId4512" ref="T2257"/>
    <hyperlink r:id="rId4513" ref="P2258"/>
    <hyperlink r:id="rId4514" ref="T2258"/>
    <hyperlink r:id="rId4515" ref="P2259"/>
    <hyperlink r:id="rId4516" ref="T2259"/>
    <hyperlink r:id="rId4517" ref="P2260"/>
    <hyperlink r:id="rId4518" ref="T2260"/>
    <hyperlink r:id="rId4519" ref="P2261"/>
    <hyperlink r:id="rId4520" ref="T2261"/>
    <hyperlink r:id="rId4521" ref="P2262"/>
    <hyperlink r:id="rId4522" ref="T2262"/>
    <hyperlink r:id="rId4523" ref="P2263"/>
    <hyperlink r:id="rId4524" ref="T2263"/>
    <hyperlink r:id="rId4525" ref="P2264"/>
    <hyperlink r:id="rId4526" ref="T2264"/>
    <hyperlink r:id="rId4527" ref="P2265"/>
    <hyperlink r:id="rId4528" ref="T2265"/>
    <hyperlink r:id="rId4529" ref="P2266"/>
    <hyperlink r:id="rId4530" ref="T2266"/>
    <hyperlink r:id="rId4531" ref="P2267"/>
    <hyperlink r:id="rId4532" ref="T2267"/>
    <hyperlink r:id="rId4533" ref="P2268"/>
    <hyperlink r:id="rId4534" ref="T2268"/>
    <hyperlink r:id="rId4535" ref="P2269"/>
    <hyperlink r:id="rId4536" ref="T2269"/>
    <hyperlink r:id="rId4537" ref="P2270"/>
    <hyperlink r:id="rId4538" ref="T2270"/>
    <hyperlink r:id="rId4539" ref="P2271"/>
    <hyperlink r:id="rId4540" ref="T2271"/>
    <hyperlink r:id="rId4541" ref="P2272"/>
    <hyperlink r:id="rId4542" ref="T2272"/>
    <hyperlink r:id="rId4543" ref="P2273"/>
    <hyperlink r:id="rId4544" ref="T2273"/>
    <hyperlink r:id="rId4545" ref="P2274"/>
    <hyperlink r:id="rId4546" ref="T2274"/>
    <hyperlink r:id="rId4547" ref="P2275"/>
    <hyperlink r:id="rId4548" ref="T2275"/>
    <hyperlink r:id="rId4549" ref="P2276"/>
    <hyperlink r:id="rId4550" ref="T2276"/>
    <hyperlink r:id="rId4551" ref="P2277"/>
    <hyperlink r:id="rId4552" ref="T2277"/>
    <hyperlink r:id="rId4553" ref="P2278"/>
    <hyperlink r:id="rId4554" ref="T2278"/>
    <hyperlink r:id="rId4555" ref="P2279"/>
    <hyperlink r:id="rId4556" ref="T2279"/>
    <hyperlink r:id="rId4557" ref="P2280"/>
    <hyperlink r:id="rId4558" ref="T2280"/>
    <hyperlink r:id="rId4559" ref="P2281"/>
    <hyperlink r:id="rId4560" ref="T2281"/>
    <hyperlink r:id="rId4561" ref="P2282"/>
    <hyperlink r:id="rId4562" ref="T2282"/>
    <hyperlink r:id="rId4563" ref="P2283"/>
    <hyperlink r:id="rId4564" ref="T2283"/>
    <hyperlink r:id="rId4565" ref="P2284"/>
    <hyperlink r:id="rId4566" ref="T2284"/>
    <hyperlink r:id="rId4567" ref="P2285"/>
    <hyperlink r:id="rId4568" ref="T2285"/>
    <hyperlink r:id="rId4569" ref="P2286"/>
    <hyperlink r:id="rId4570" ref="T2286"/>
    <hyperlink r:id="rId4571" ref="P2287"/>
    <hyperlink r:id="rId4572" ref="T2287"/>
    <hyperlink r:id="rId4573" ref="P2288"/>
    <hyperlink r:id="rId4574" ref="T2288"/>
    <hyperlink r:id="rId4575" ref="P2289"/>
    <hyperlink r:id="rId4576" ref="T2289"/>
    <hyperlink r:id="rId4577" ref="P2290"/>
    <hyperlink r:id="rId4578" ref="T2290"/>
    <hyperlink r:id="rId4579" ref="P2291"/>
    <hyperlink r:id="rId4580" ref="T2291"/>
    <hyperlink r:id="rId4581" ref="P2292"/>
    <hyperlink r:id="rId4582" ref="T2292"/>
    <hyperlink r:id="rId4583" ref="P2293"/>
    <hyperlink r:id="rId4584" ref="T2293"/>
    <hyperlink r:id="rId4585" ref="P2294"/>
    <hyperlink r:id="rId4586" ref="T2294"/>
    <hyperlink r:id="rId4587" ref="P2295"/>
    <hyperlink r:id="rId4588" ref="T2295"/>
    <hyperlink r:id="rId4589" ref="P2296"/>
    <hyperlink r:id="rId4590" ref="T2296"/>
    <hyperlink r:id="rId4591" ref="P2297"/>
    <hyperlink r:id="rId4592" ref="T2297"/>
    <hyperlink r:id="rId4593" ref="P2298"/>
    <hyperlink r:id="rId4594" ref="T2298"/>
    <hyperlink r:id="rId4595" ref="P2299"/>
    <hyperlink r:id="rId4596" ref="T2299"/>
    <hyperlink r:id="rId4597" ref="P2300"/>
    <hyperlink r:id="rId4598" ref="T2300"/>
    <hyperlink r:id="rId4599" ref="P2301"/>
    <hyperlink r:id="rId4600" ref="T2301"/>
    <hyperlink r:id="rId4601" ref="P2302"/>
    <hyperlink r:id="rId4602" ref="T2302"/>
    <hyperlink r:id="rId4603" ref="P2303"/>
    <hyperlink r:id="rId4604" ref="T2303"/>
    <hyperlink r:id="rId4605" ref="P2304"/>
    <hyperlink r:id="rId4606" ref="T2304"/>
    <hyperlink r:id="rId4607" ref="P2305"/>
    <hyperlink r:id="rId4608" ref="T2305"/>
    <hyperlink r:id="rId4609" ref="P2306"/>
    <hyperlink r:id="rId4610" ref="T2306"/>
    <hyperlink r:id="rId4611" ref="P2307"/>
    <hyperlink r:id="rId4612" ref="T2307"/>
    <hyperlink r:id="rId4613" ref="P2308"/>
    <hyperlink r:id="rId4614" ref="T2308"/>
    <hyperlink r:id="rId4615" ref="P2309"/>
    <hyperlink r:id="rId4616" ref="T2309"/>
    <hyperlink r:id="rId4617" ref="P2310"/>
    <hyperlink r:id="rId4618" ref="T2310"/>
    <hyperlink r:id="rId4619" ref="P2311"/>
    <hyperlink r:id="rId4620" ref="T2311"/>
    <hyperlink r:id="rId4621" ref="P2312"/>
    <hyperlink r:id="rId4622" ref="T2312"/>
    <hyperlink r:id="rId4623" ref="P2313"/>
    <hyperlink r:id="rId4624" ref="T2313"/>
    <hyperlink r:id="rId4625" ref="P2314"/>
    <hyperlink r:id="rId4626" ref="T2314"/>
    <hyperlink r:id="rId4627" ref="P2315"/>
    <hyperlink r:id="rId4628" ref="T2315"/>
    <hyperlink r:id="rId4629" ref="P2316"/>
    <hyperlink r:id="rId4630" ref="T2316"/>
    <hyperlink r:id="rId4631" ref="P2317"/>
    <hyperlink r:id="rId4632" ref="T2317"/>
    <hyperlink r:id="rId4633" ref="P2318"/>
    <hyperlink r:id="rId4634" ref="T2318"/>
    <hyperlink r:id="rId4635" ref="P2319"/>
    <hyperlink r:id="rId4636" ref="T2319"/>
    <hyperlink r:id="rId4637" ref="P2320"/>
    <hyperlink r:id="rId4638" ref="T2320"/>
    <hyperlink r:id="rId4639" ref="P2321"/>
    <hyperlink r:id="rId4640" ref="T2321"/>
    <hyperlink r:id="rId4641" ref="P2322"/>
    <hyperlink r:id="rId4642" ref="T2322"/>
    <hyperlink r:id="rId4643" ref="P2323"/>
    <hyperlink r:id="rId4644" ref="T2323"/>
    <hyperlink r:id="rId4645" ref="P2324"/>
    <hyperlink r:id="rId4646" ref="T2324"/>
    <hyperlink r:id="rId4647" ref="P2325"/>
    <hyperlink r:id="rId4648" ref="T2325"/>
    <hyperlink r:id="rId4649" ref="P2326"/>
    <hyperlink r:id="rId4650" ref="T2326"/>
    <hyperlink r:id="rId4651" ref="P2327"/>
    <hyperlink r:id="rId4652" ref="T2327"/>
    <hyperlink r:id="rId4653" ref="P2328"/>
    <hyperlink r:id="rId4654" ref="T2328"/>
    <hyperlink r:id="rId4655" ref="P2329"/>
    <hyperlink r:id="rId4656" ref="T2329"/>
    <hyperlink r:id="rId4657" ref="P2330"/>
    <hyperlink r:id="rId4658" ref="T2330"/>
    <hyperlink r:id="rId4659" ref="P2331"/>
    <hyperlink r:id="rId4660" ref="T2331"/>
    <hyperlink r:id="rId4661" ref="P2332"/>
    <hyperlink r:id="rId4662" ref="T2332"/>
    <hyperlink r:id="rId4663" ref="P2333"/>
    <hyperlink r:id="rId4664" ref="T2333"/>
    <hyperlink r:id="rId4665" ref="P2334"/>
    <hyperlink r:id="rId4666" ref="T2334"/>
    <hyperlink r:id="rId4667" ref="P2335"/>
    <hyperlink r:id="rId4668" ref="T2335"/>
    <hyperlink r:id="rId4669" ref="P2336"/>
    <hyperlink r:id="rId4670" ref="T2336"/>
    <hyperlink r:id="rId4671" ref="P2337"/>
    <hyperlink r:id="rId4672" ref="T2337"/>
    <hyperlink r:id="rId4673" ref="P2338"/>
    <hyperlink r:id="rId4674" ref="T2338"/>
    <hyperlink r:id="rId4675" ref="P2339"/>
    <hyperlink r:id="rId4676" ref="T2339"/>
    <hyperlink r:id="rId4677" ref="P2340"/>
    <hyperlink r:id="rId4678" ref="T2340"/>
    <hyperlink r:id="rId4679" ref="P2341"/>
    <hyperlink r:id="rId4680" ref="T2341"/>
    <hyperlink r:id="rId4681" ref="P2342"/>
    <hyperlink r:id="rId4682" ref="T2342"/>
    <hyperlink r:id="rId4683" ref="P2343"/>
    <hyperlink r:id="rId4684" ref="T2343"/>
    <hyperlink r:id="rId4685" ref="P2344"/>
    <hyperlink r:id="rId4686" ref="T2344"/>
    <hyperlink r:id="rId4687" ref="P2345"/>
    <hyperlink r:id="rId4688" ref="T2345"/>
    <hyperlink r:id="rId4689" ref="P2346"/>
    <hyperlink r:id="rId4690" ref="T2346"/>
    <hyperlink r:id="rId4691" ref="P2347"/>
    <hyperlink r:id="rId4692" ref="T2347"/>
    <hyperlink r:id="rId4693" ref="P2348"/>
    <hyperlink r:id="rId4694" ref="T2348"/>
    <hyperlink r:id="rId4695" ref="P2349"/>
    <hyperlink r:id="rId4696" ref="T2349"/>
    <hyperlink r:id="rId4697" ref="P2350"/>
    <hyperlink r:id="rId4698" ref="T2350"/>
    <hyperlink r:id="rId4699" ref="P2351"/>
    <hyperlink r:id="rId4700" ref="T2351"/>
    <hyperlink r:id="rId4701" ref="P2352"/>
    <hyperlink r:id="rId4702" ref="T2352"/>
    <hyperlink r:id="rId4703" ref="P2353"/>
    <hyperlink r:id="rId4704" ref="T2353"/>
    <hyperlink r:id="rId4705" ref="P2354"/>
    <hyperlink r:id="rId4706" ref="T2354"/>
    <hyperlink r:id="rId4707" ref="P2355"/>
    <hyperlink r:id="rId4708" ref="T2355"/>
    <hyperlink r:id="rId4709" ref="P2356"/>
    <hyperlink r:id="rId4710" ref="T2356"/>
    <hyperlink r:id="rId4711" ref="P2357"/>
    <hyperlink r:id="rId4712" ref="T2357"/>
    <hyperlink r:id="rId4713" ref="P2358"/>
    <hyperlink r:id="rId4714" ref="T2358"/>
    <hyperlink r:id="rId4715" ref="P2359"/>
    <hyperlink r:id="rId4716" ref="T2359"/>
    <hyperlink r:id="rId4717" ref="P2360"/>
    <hyperlink r:id="rId4718" ref="T2360"/>
    <hyperlink r:id="rId4719" ref="P2361"/>
    <hyperlink r:id="rId4720" ref="T2361"/>
    <hyperlink r:id="rId4721" ref="P2362"/>
    <hyperlink r:id="rId4722" ref="T2362"/>
    <hyperlink r:id="rId4723" ref="P2363"/>
    <hyperlink r:id="rId4724" ref="T2363"/>
    <hyperlink r:id="rId4725" ref="P2364"/>
    <hyperlink r:id="rId4726" ref="T2364"/>
    <hyperlink r:id="rId4727" ref="P2365"/>
    <hyperlink r:id="rId4728" ref="T2365"/>
    <hyperlink r:id="rId4729" ref="P2366"/>
    <hyperlink r:id="rId4730" ref="T2366"/>
    <hyperlink r:id="rId4731" ref="P2367"/>
    <hyperlink r:id="rId4732" ref="T2367"/>
    <hyperlink r:id="rId4733" ref="P2368"/>
    <hyperlink r:id="rId4734" ref="T2368"/>
    <hyperlink r:id="rId4735" ref="P2369"/>
    <hyperlink r:id="rId4736" ref="T2369"/>
    <hyperlink r:id="rId4737" ref="P2370"/>
    <hyperlink r:id="rId4738" ref="T2370"/>
    <hyperlink r:id="rId4739" ref="P2371"/>
    <hyperlink r:id="rId4740" ref="T2371"/>
    <hyperlink r:id="rId4741" ref="P2372"/>
    <hyperlink r:id="rId4742" ref="T2372"/>
    <hyperlink r:id="rId4743" ref="P2373"/>
    <hyperlink r:id="rId4744" ref="T2373"/>
    <hyperlink r:id="rId4745" ref="P2374"/>
    <hyperlink r:id="rId4746" ref="T2374"/>
    <hyperlink r:id="rId4747" ref="P2375"/>
    <hyperlink r:id="rId4748" ref="T2375"/>
    <hyperlink r:id="rId4749" ref="P2376"/>
    <hyperlink r:id="rId4750" ref="T2376"/>
    <hyperlink r:id="rId4751" ref="P2377"/>
    <hyperlink r:id="rId4752" ref="T2377"/>
    <hyperlink r:id="rId4753" ref="P2378"/>
    <hyperlink r:id="rId4754" ref="T2378"/>
    <hyperlink r:id="rId4755" ref="P2379"/>
    <hyperlink r:id="rId4756" ref="T2379"/>
    <hyperlink r:id="rId4757" ref="P2380"/>
    <hyperlink r:id="rId4758" ref="T2380"/>
    <hyperlink r:id="rId4759" ref="P2381"/>
    <hyperlink r:id="rId4760" ref="T2381"/>
    <hyperlink r:id="rId4761" ref="P2382"/>
    <hyperlink r:id="rId4762" ref="T2382"/>
    <hyperlink r:id="rId4763" ref="P2383"/>
    <hyperlink r:id="rId4764" ref="T2383"/>
    <hyperlink r:id="rId4765" ref="P2384"/>
    <hyperlink r:id="rId4766" ref="T2384"/>
    <hyperlink r:id="rId4767" ref="P2385"/>
    <hyperlink r:id="rId4768" ref="T2385"/>
    <hyperlink r:id="rId4769" ref="P2386"/>
    <hyperlink r:id="rId4770" ref="T2386"/>
    <hyperlink r:id="rId4771" ref="P2387"/>
    <hyperlink r:id="rId4772" ref="T2387"/>
    <hyperlink r:id="rId4773" ref="P2388"/>
    <hyperlink r:id="rId4774" ref="T2388"/>
    <hyperlink r:id="rId4775" ref="P2389"/>
    <hyperlink r:id="rId4776" ref="T2389"/>
    <hyperlink r:id="rId4777" ref="P2390"/>
    <hyperlink r:id="rId4778" ref="T2390"/>
    <hyperlink r:id="rId4779" ref="P2391"/>
    <hyperlink r:id="rId4780" ref="T2391"/>
    <hyperlink r:id="rId4781" ref="P2392"/>
    <hyperlink r:id="rId4782" ref="T2392"/>
    <hyperlink r:id="rId4783" ref="P2393"/>
    <hyperlink r:id="rId4784" ref="T2393"/>
    <hyperlink r:id="rId4785" ref="P2394"/>
    <hyperlink r:id="rId4786" ref="T2394"/>
    <hyperlink r:id="rId4787" ref="P2395"/>
    <hyperlink r:id="rId4788" ref="T2395"/>
    <hyperlink r:id="rId4789" ref="P2396"/>
    <hyperlink r:id="rId4790" ref="T2396"/>
    <hyperlink r:id="rId4791" ref="P2397"/>
    <hyperlink r:id="rId4792" ref="T2397"/>
    <hyperlink r:id="rId4793" ref="P2398"/>
    <hyperlink r:id="rId4794" ref="T2398"/>
    <hyperlink r:id="rId4795" ref="P2399"/>
    <hyperlink r:id="rId4796" ref="T2399"/>
    <hyperlink r:id="rId4797" ref="P2400"/>
    <hyperlink r:id="rId4798" ref="T2400"/>
    <hyperlink r:id="rId4799" ref="P2401"/>
    <hyperlink r:id="rId4800" ref="T2401"/>
    <hyperlink r:id="rId4801" ref="P2402"/>
    <hyperlink r:id="rId4802" ref="T2402"/>
    <hyperlink r:id="rId4803" ref="P2403"/>
    <hyperlink r:id="rId4804" ref="T2403"/>
    <hyperlink r:id="rId4805" ref="P2404"/>
    <hyperlink r:id="rId4806" ref="T2404"/>
    <hyperlink r:id="rId4807" ref="P2405"/>
    <hyperlink r:id="rId4808" ref="T2405"/>
    <hyperlink r:id="rId4809" ref="P2406"/>
    <hyperlink r:id="rId4810" ref="T2406"/>
    <hyperlink r:id="rId4811" ref="P2407"/>
    <hyperlink r:id="rId4812" ref="T2407"/>
    <hyperlink r:id="rId4813" ref="P2408"/>
    <hyperlink r:id="rId4814" ref="T2408"/>
    <hyperlink r:id="rId4815" ref="P2409"/>
    <hyperlink r:id="rId4816" ref="T2409"/>
    <hyperlink r:id="rId4817" ref="P2410"/>
    <hyperlink r:id="rId4818" ref="T2410"/>
    <hyperlink r:id="rId4819" ref="P2411"/>
    <hyperlink r:id="rId4820" ref="T2411"/>
    <hyperlink r:id="rId4821" ref="P2412"/>
    <hyperlink r:id="rId4822" ref="T2412"/>
    <hyperlink r:id="rId4823" ref="P2413"/>
    <hyperlink r:id="rId4824" ref="T2413"/>
    <hyperlink r:id="rId4825" ref="P2414"/>
    <hyperlink r:id="rId4826" ref="T2414"/>
    <hyperlink r:id="rId4827" ref="P2415"/>
    <hyperlink r:id="rId4828" ref="T2415"/>
    <hyperlink r:id="rId4829" ref="P2416"/>
    <hyperlink r:id="rId4830" ref="T2416"/>
    <hyperlink r:id="rId4831" ref="P2417"/>
    <hyperlink r:id="rId4832" ref="T2417"/>
    <hyperlink r:id="rId4833" ref="P2418"/>
    <hyperlink r:id="rId4834" ref="T2418"/>
    <hyperlink r:id="rId4835" ref="P2419"/>
    <hyperlink r:id="rId4836" ref="T2419"/>
    <hyperlink r:id="rId4837" ref="P2420"/>
    <hyperlink r:id="rId4838" ref="T2420"/>
    <hyperlink r:id="rId4839" ref="P2421"/>
    <hyperlink r:id="rId4840" ref="T2421"/>
    <hyperlink r:id="rId4841" ref="P2422"/>
    <hyperlink r:id="rId4842" ref="T2422"/>
    <hyperlink r:id="rId4843" ref="P2423"/>
    <hyperlink r:id="rId4844" ref="T2423"/>
    <hyperlink r:id="rId4845" ref="P2424"/>
    <hyperlink r:id="rId4846" ref="T2424"/>
    <hyperlink r:id="rId4847" ref="P2425"/>
    <hyperlink r:id="rId4848" ref="T2425"/>
    <hyperlink r:id="rId4849" ref="P2426"/>
    <hyperlink r:id="rId4850" ref="T2426"/>
    <hyperlink r:id="rId4851" ref="P2427"/>
    <hyperlink r:id="rId4852" ref="T2427"/>
    <hyperlink r:id="rId4853" ref="P2428"/>
    <hyperlink r:id="rId4854" ref="T2428"/>
    <hyperlink r:id="rId4855" ref="P2429"/>
    <hyperlink r:id="rId4856" ref="T2429"/>
    <hyperlink r:id="rId4857" ref="P2430"/>
    <hyperlink r:id="rId4858" ref="T2430"/>
    <hyperlink r:id="rId4859" ref="P2431"/>
    <hyperlink r:id="rId4860" ref="T2431"/>
    <hyperlink r:id="rId4861" ref="P2432"/>
    <hyperlink r:id="rId4862" ref="T2432"/>
    <hyperlink r:id="rId4863" ref="P2433"/>
    <hyperlink r:id="rId4864" ref="T2433"/>
    <hyperlink r:id="rId4865" ref="P2434"/>
    <hyperlink r:id="rId4866" ref="T2434"/>
    <hyperlink r:id="rId4867" ref="P2435"/>
    <hyperlink r:id="rId4868" ref="T2435"/>
    <hyperlink r:id="rId4869" ref="P2436"/>
    <hyperlink r:id="rId4870" ref="T2436"/>
    <hyperlink r:id="rId4871" ref="P2437"/>
    <hyperlink r:id="rId4872" ref="T2437"/>
    <hyperlink r:id="rId4873" ref="P2438"/>
    <hyperlink r:id="rId4874" ref="T2438"/>
    <hyperlink r:id="rId4875" ref="P2439"/>
    <hyperlink r:id="rId4876" ref="T2439"/>
    <hyperlink r:id="rId4877" ref="P2440"/>
    <hyperlink r:id="rId4878" ref="T2440"/>
    <hyperlink r:id="rId4879" ref="P2441"/>
    <hyperlink r:id="rId4880" ref="T2441"/>
    <hyperlink r:id="rId4881" ref="P2442"/>
    <hyperlink r:id="rId4882" ref="T2442"/>
    <hyperlink r:id="rId4883" ref="P2443"/>
    <hyperlink r:id="rId4884" ref="T2443"/>
    <hyperlink r:id="rId4885" ref="P2444"/>
    <hyperlink r:id="rId4886" ref="T2444"/>
    <hyperlink r:id="rId4887" ref="P2445"/>
    <hyperlink r:id="rId4888" ref="T2445"/>
    <hyperlink r:id="rId4889" ref="P2446"/>
    <hyperlink r:id="rId4890" ref="T2446"/>
    <hyperlink r:id="rId4891" ref="P2447"/>
    <hyperlink r:id="rId4892" ref="T2447"/>
    <hyperlink r:id="rId4893" ref="P2448"/>
    <hyperlink r:id="rId4894" ref="T2448"/>
    <hyperlink r:id="rId4895" ref="P2449"/>
    <hyperlink r:id="rId4896" ref="T2449"/>
    <hyperlink r:id="rId4897" ref="P2450"/>
    <hyperlink r:id="rId4898" ref="T2450"/>
    <hyperlink r:id="rId4899" ref="P2451"/>
    <hyperlink r:id="rId4900" ref="T2451"/>
    <hyperlink r:id="rId4901" ref="P2452"/>
    <hyperlink r:id="rId4902" ref="T2452"/>
    <hyperlink r:id="rId4903" ref="P2453"/>
    <hyperlink r:id="rId4904" ref="T2453"/>
    <hyperlink r:id="rId4905" ref="P2454"/>
    <hyperlink r:id="rId4906" ref="T2454"/>
    <hyperlink r:id="rId4907" ref="P2455"/>
    <hyperlink r:id="rId4908" ref="T2455"/>
    <hyperlink r:id="rId4909" ref="P2456"/>
    <hyperlink r:id="rId4910" ref="T2456"/>
    <hyperlink r:id="rId4911" ref="P2457"/>
    <hyperlink r:id="rId4912" ref="T2457"/>
    <hyperlink r:id="rId4913" ref="P2458"/>
    <hyperlink r:id="rId4914" ref="T2458"/>
    <hyperlink r:id="rId4915" ref="P2459"/>
    <hyperlink r:id="rId4916" ref="T2459"/>
    <hyperlink r:id="rId4917" ref="P2460"/>
    <hyperlink r:id="rId4918" ref="T2460"/>
    <hyperlink r:id="rId4919" ref="P2461"/>
    <hyperlink r:id="rId4920" ref="T2461"/>
    <hyperlink r:id="rId4921" ref="P2462"/>
    <hyperlink r:id="rId4922" ref="T2462"/>
    <hyperlink r:id="rId4923" ref="P2463"/>
    <hyperlink r:id="rId4924" ref="T2463"/>
    <hyperlink r:id="rId4925" ref="P2464"/>
    <hyperlink r:id="rId4926" ref="T2464"/>
    <hyperlink r:id="rId4927" ref="P2465"/>
    <hyperlink r:id="rId4928" ref="T2465"/>
    <hyperlink r:id="rId4929" ref="P2466"/>
    <hyperlink r:id="rId4930" ref="T2466"/>
    <hyperlink r:id="rId4931" ref="P2467"/>
    <hyperlink r:id="rId4932" ref="T2467"/>
    <hyperlink r:id="rId4933" ref="P2468"/>
    <hyperlink r:id="rId4934" ref="T2468"/>
    <hyperlink r:id="rId4935" ref="P2469"/>
    <hyperlink r:id="rId4936" ref="T2469"/>
    <hyperlink r:id="rId4937" ref="P2470"/>
    <hyperlink r:id="rId4938" ref="T2470"/>
    <hyperlink r:id="rId4939" ref="P2471"/>
    <hyperlink r:id="rId4940" ref="T2471"/>
    <hyperlink r:id="rId4941" ref="P2472"/>
    <hyperlink r:id="rId4942" ref="T2472"/>
    <hyperlink r:id="rId4943" ref="P2473"/>
    <hyperlink r:id="rId4944" ref="T2473"/>
    <hyperlink r:id="rId4945" ref="P2474"/>
    <hyperlink r:id="rId4946" ref="T2474"/>
    <hyperlink r:id="rId4947" ref="P2475"/>
    <hyperlink r:id="rId4948" ref="T2475"/>
    <hyperlink r:id="rId4949" ref="P2476"/>
    <hyperlink r:id="rId4950" ref="T2476"/>
    <hyperlink r:id="rId4951" ref="P2477"/>
    <hyperlink r:id="rId4952" ref="T2477"/>
    <hyperlink r:id="rId4953" ref="P2478"/>
    <hyperlink r:id="rId4954" ref="T2478"/>
    <hyperlink r:id="rId4955" ref="P2479"/>
    <hyperlink r:id="rId4956" ref="T2479"/>
    <hyperlink r:id="rId4957" ref="P2480"/>
    <hyperlink r:id="rId4958" ref="T2480"/>
    <hyperlink r:id="rId4959" ref="P2481"/>
    <hyperlink r:id="rId4960" ref="T2481"/>
    <hyperlink r:id="rId4961" ref="P2482"/>
    <hyperlink r:id="rId4962" ref="T2482"/>
    <hyperlink r:id="rId4963" ref="P2483"/>
    <hyperlink r:id="rId4964" ref="T2483"/>
    <hyperlink r:id="rId4965" ref="P2484"/>
    <hyperlink r:id="rId4966" ref="T2484"/>
    <hyperlink r:id="rId4967" ref="P2485"/>
    <hyperlink r:id="rId4968" ref="T2485"/>
    <hyperlink r:id="rId4969" ref="P2486"/>
    <hyperlink r:id="rId4970" ref="T2486"/>
    <hyperlink r:id="rId4971" ref="P2487"/>
    <hyperlink r:id="rId4972" ref="T2487"/>
    <hyperlink r:id="rId4973" ref="P2488"/>
    <hyperlink r:id="rId4974" ref="T2488"/>
    <hyperlink r:id="rId4975" ref="P2489"/>
    <hyperlink r:id="rId4976" ref="T2489"/>
    <hyperlink r:id="rId4977" ref="P2490"/>
    <hyperlink r:id="rId4978" ref="T2490"/>
    <hyperlink r:id="rId4979" ref="P2491"/>
    <hyperlink r:id="rId4980" ref="T2491"/>
    <hyperlink r:id="rId4981" ref="P2492"/>
    <hyperlink r:id="rId4982" ref="T2492"/>
    <hyperlink r:id="rId4983" ref="P2493"/>
    <hyperlink r:id="rId4984" ref="T2493"/>
    <hyperlink r:id="rId4985" ref="P2494"/>
    <hyperlink r:id="rId4986" ref="T2494"/>
    <hyperlink r:id="rId4987" ref="P2495"/>
    <hyperlink r:id="rId4988" ref="T2495"/>
    <hyperlink r:id="rId4989" ref="P2496"/>
    <hyperlink r:id="rId4990" ref="T2496"/>
    <hyperlink r:id="rId4991" ref="P2497"/>
    <hyperlink r:id="rId4992" ref="T2497"/>
    <hyperlink r:id="rId4993" ref="P2498"/>
    <hyperlink r:id="rId4994" ref="T2498"/>
    <hyperlink r:id="rId4995" ref="P2499"/>
    <hyperlink r:id="rId4996" ref="T2499"/>
    <hyperlink r:id="rId4997" ref="P2500"/>
    <hyperlink r:id="rId4998" ref="T2500"/>
    <hyperlink r:id="rId4999" ref="P2501"/>
    <hyperlink r:id="rId5000" ref="T2501"/>
    <hyperlink r:id="rId5001" ref="P2502"/>
    <hyperlink r:id="rId5002" ref="T2502"/>
    <hyperlink r:id="rId5003" ref="P2503"/>
    <hyperlink r:id="rId5004" ref="T2503"/>
    <hyperlink r:id="rId5005" ref="P2504"/>
    <hyperlink r:id="rId5006" ref="T2504"/>
    <hyperlink r:id="rId5007" ref="P2505"/>
    <hyperlink r:id="rId5008" ref="T2505"/>
    <hyperlink r:id="rId5009" ref="P2506"/>
    <hyperlink r:id="rId5010" ref="T2506"/>
    <hyperlink r:id="rId5011" ref="P2507"/>
    <hyperlink r:id="rId5012" ref="T2507"/>
    <hyperlink r:id="rId5013" ref="P2508"/>
    <hyperlink r:id="rId5014" ref="T2508"/>
    <hyperlink r:id="rId5015" ref="P2509"/>
    <hyperlink r:id="rId5016" ref="T2509"/>
    <hyperlink r:id="rId5017" ref="P2510"/>
    <hyperlink r:id="rId5018" ref="T2510"/>
    <hyperlink r:id="rId5019" ref="P2511"/>
    <hyperlink r:id="rId5020" ref="T2511"/>
    <hyperlink r:id="rId5021" ref="P2512"/>
    <hyperlink r:id="rId5022" ref="T2512"/>
    <hyperlink r:id="rId5023" ref="P2513"/>
    <hyperlink r:id="rId5024" ref="T2513"/>
    <hyperlink r:id="rId5025" ref="P2514"/>
    <hyperlink r:id="rId5026" ref="T2514"/>
    <hyperlink r:id="rId5027" ref="P2515"/>
    <hyperlink r:id="rId5028" ref="T2515"/>
    <hyperlink r:id="rId5029" ref="P2516"/>
    <hyperlink r:id="rId5030" ref="T2516"/>
    <hyperlink r:id="rId5031" ref="P2517"/>
    <hyperlink r:id="rId5032" ref="T2517"/>
    <hyperlink r:id="rId5033" ref="P2518"/>
    <hyperlink r:id="rId5034" ref="T2518"/>
    <hyperlink r:id="rId5035" ref="P2519"/>
    <hyperlink r:id="rId5036" ref="T2519"/>
    <hyperlink r:id="rId5037" ref="P2520"/>
    <hyperlink r:id="rId5038" ref="T2520"/>
    <hyperlink r:id="rId5039" ref="P2521"/>
    <hyperlink r:id="rId5040" ref="T2521"/>
    <hyperlink r:id="rId5041" ref="P2522"/>
    <hyperlink r:id="rId5042" ref="T2522"/>
    <hyperlink r:id="rId5043" ref="P2523"/>
    <hyperlink r:id="rId5044" ref="T2523"/>
    <hyperlink r:id="rId5045" ref="P2524"/>
    <hyperlink r:id="rId5046" ref="T2524"/>
    <hyperlink r:id="rId5047" ref="P2525"/>
    <hyperlink r:id="rId5048" ref="T2525"/>
    <hyperlink r:id="rId5049" ref="P2526"/>
    <hyperlink r:id="rId5050" ref="T2526"/>
    <hyperlink r:id="rId5051" ref="P2527"/>
    <hyperlink r:id="rId5052" ref="T2527"/>
    <hyperlink r:id="rId5053" ref="P2528"/>
    <hyperlink r:id="rId5054" ref="T2528"/>
    <hyperlink r:id="rId5055" ref="P2529"/>
    <hyperlink r:id="rId5056" ref="T2529"/>
    <hyperlink r:id="rId5057" ref="P2530"/>
    <hyperlink r:id="rId5058" ref="T2530"/>
    <hyperlink r:id="rId5059" ref="P2531"/>
    <hyperlink r:id="rId5060" ref="T2531"/>
    <hyperlink r:id="rId5061" ref="P2532"/>
    <hyperlink r:id="rId5062" ref="T2532"/>
    <hyperlink r:id="rId5063" ref="P2533"/>
    <hyperlink r:id="rId5064" ref="T2533"/>
    <hyperlink r:id="rId5065" ref="P2534"/>
    <hyperlink r:id="rId5066" ref="T2534"/>
    <hyperlink r:id="rId5067" ref="P2535"/>
    <hyperlink r:id="rId5068" ref="T2535"/>
    <hyperlink r:id="rId5069" ref="P2536"/>
    <hyperlink r:id="rId5070" ref="T2536"/>
    <hyperlink r:id="rId5071" ref="P2537"/>
    <hyperlink r:id="rId5072" ref="T2537"/>
    <hyperlink r:id="rId5073" ref="P2538"/>
    <hyperlink r:id="rId5074" ref="T2538"/>
    <hyperlink r:id="rId5075" ref="P2539"/>
    <hyperlink r:id="rId5076" ref="T2539"/>
    <hyperlink r:id="rId5077" ref="P2540"/>
    <hyperlink r:id="rId5078" ref="T2540"/>
    <hyperlink r:id="rId5079" ref="P2541"/>
    <hyperlink r:id="rId5080" ref="T2541"/>
    <hyperlink r:id="rId5081" ref="P2542"/>
    <hyperlink r:id="rId5082" ref="T2542"/>
    <hyperlink r:id="rId5083" ref="P2543"/>
    <hyperlink r:id="rId5084" ref="T2543"/>
    <hyperlink r:id="rId5085" ref="P2544"/>
    <hyperlink r:id="rId5086" ref="T2544"/>
    <hyperlink r:id="rId5087" ref="P2545"/>
    <hyperlink r:id="rId5088" ref="T2545"/>
    <hyperlink r:id="rId5089" ref="P2546"/>
    <hyperlink r:id="rId5090" ref="T2546"/>
    <hyperlink r:id="rId5091" ref="P2547"/>
    <hyperlink r:id="rId5092" ref="T2547"/>
    <hyperlink r:id="rId5093" ref="P2548"/>
    <hyperlink r:id="rId5094" ref="T2548"/>
    <hyperlink r:id="rId5095" ref="P2549"/>
    <hyperlink r:id="rId5096" ref="T2549"/>
    <hyperlink r:id="rId5097" ref="P2550"/>
    <hyperlink r:id="rId5098" ref="T2550"/>
    <hyperlink r:id="rId5099" ref="P2551"/>
    <hyperlink r:id="rId5100" ref="T2551"/>
    <hyperlink r:id="rId5101" ref="P2552"/>
    <hyperlink r:id="rId5102" ref="T2552"/>
    <hyperlink r:id="rId5103" ref="P2553"/>
    <hyperlink r:id="rId5104" ref="T2553"/>
    <hyperlink r:id="rId5105" ref="P2554"/>
    <hyperlink r:id="rId5106" ref="T2554"/>
    <hyperlink r:id="rId5107" ref="P2555"/>
    <hyperlink r:id="rId5108" ref="T2555"/>
    <hyperlink r:id="rId5109" ref="P2556"/>
    <hyperlink r:id="rId5110" ref="T2556"/>
    <hyperlink r:id="rId5111" ref="P2557"/>
    <hyperlink r:id="rId5112" ref="T2557"/>
    <hyperlink r:id="rId5113" ref="P2558"/>
    <hyperlink r:id="rId5114" ref="T2558"/>
    <hyperlink r:id="rId5115" ref="P2559"/>
    <hyperlink r:id="rId5116" ref="T2559"/>
    <hyperlink r:id="rId5117" ref="P2560"/>
    <hyperlink r:id="rId5118" ref="T2560"/>
    <hyperlink r:id="rId5119" ref="P2561"/>
    <hyperlink r:id="rId5120" ref="T2561"/>
    <hyperlink r:id="rId5121" ref="P2562"/>
    <hyperlink r:id="rId5122" ref="T2562"/>
    <hyperlink r:id="rId5123" ref="P2563"/>
    <hyperlink r:id="rId5124" ref="T2563"/>
    <hyperlink r:id="rId5125" ref="P2564"/>
    <hyperlink r:id="rId5126" ref="T2564"/>
    <hyperlink r:id="rId5127" ref="P2565"/>
    <hyperlink r:id="rId5128" ref="T2565"/>
    <hyperlink r:id="rId5129" ref="P2566"/>
    <hyperlink r:id="rId5130" ref="T2566"/>
    <hyperlink r:id="rId5131" ref="P2567"/>
    <hyperlink r:id="rId5132" ref="T2567"/>
    <hyperlink r:id="rId5133" ref="P2568"/>
    <hyperlink r:id="rId5134" ref="T2568"/>
    <hyperlink r:id="rId5135" ref="P2569"/>
    <hyperlink r:id="rId5136" ref="T2569"/>
    <hyperlink r:id="rId5137" ref="P2570"/>
    <hyperlink r:id="rId5138" ref="T2570"/>
    <hyperlink r:id="rId5139" ref="P2571"/>
    <hyperlink r:id="rId5140" ref="T2571"/>
    <hyperlink r:id="rId5141" ref="P2572"/>
    <hyperlink r:id="rId5142" ref="T2572"/>
    <hyperlink r:id="rId5143" ref="P2573"/>
    <hyperlink r:id="rId5144" ref="T2573"/>
    <hyperlink r:id="rId5145" ref="P2574"/>
    <hyperlink r:id="rId5146" ref="T2574"/>
    <hyperlink r:id="rId5147" ref="P2575"/>
    <hyperlink r:id="rId5148" ref="T2575"/>
    <hyperlink r:id="rId5149" ref="P2576"/>
    <hyperlink r:id="rId5150" ref="T2576"/>
    <hyperlink r:id="rId5151" ref="P2577"/>
    <hyperlink r:id="rId5152" ref="T2577"/>
    <hyperlink r:id="rId5153" ref="P2578"/>
    <hyperlink r:id="rId5154" ref="T2578"/>
    <hyperlink r:id="rId5155" ref="P2579"/>
    <hyperlink r:id="rId5156" ref="T2579"/>
    <hyperlink r:id="rId5157" ref="P2580"/>
    <hyperlink r:id="rId5158" ref="T2580"/>
    <hyperlink r:id="rId5159" ref="P2581"/>
    <hyperlink r:id="rId5160" ref="T2581"/>
    <hyperlink r:id="rId5161" ref="P2582"/>
    <hyperlink r:id="rId5162" ref="T2582"/>
    <hyperlink r:id="rId5163" ref="P2583"/>
    <hyperlink r:id="rId5164" ref="T2583"/>
    <hyperlink r:id="rId5165" ref="P2584"/>
    <hyperlink r:id="rId5166" ref="T2584"/>
    <hyperlink r:id="rId5167" ref="P2585"/>
    <hyperlink r:id="rId5168" ref="T2585"/>
    <hyperlink r:id="rId5169" ref="P2586"/>
    <hyperlink r:id="rId5170" ref="T2586"/>
    <hyperlink r:id="rId5171" ref="P2587"/>
    <hyperlink r:id="rId5172" ref="T2587"/>
    <hyperlink r:id="rId5173" ref="P2588"/>
    <hyperlink r:id="rId5174" ref="T2588"/>
    <hyperlink r:id="rId5175" ref="P2589"/>
    <hyperlink r:id="rId5176" ref="T2589"/>
    <hyperlink r:id="rId5177" ref="P2590"/>
    <hyperlink r:id="rId5178" ref="T2590"/>
    <hyperlink r:id="rId5179" ref="P2591"/>
    <hyperlink r:id="rId5180" ref="T2591"/>
    <hyperlink r:id="rId5181" ref="P2592"/>
    <hyperlink r:id="rId5182" ref="T2592"/>
    <hyperlink r:id="rId5183" ref="P2593"/>
    <hyperlink r:id="rId5184" ref="T2593"/>
    <hyperlink r:id="rId5185" ref="P2594"/>
    <hyperlink r:id="rId5186" ref="T2594"/>
    <hyperlink r:id="rId5187" ref="P2595"/>
    <hyperlink r:id="rId5188" ref="T2595"/>
    <hyperlink r:id="rId5189" ref="P2596"/>
    <hyperlink r:id="rId5190" ref="T2596"/>
    <hyperlink r:id="rId5191" ref="P2597"/>
    <hyperlink r:id="rId5192" ref="T2597"/>
    <hyperlink r:id="rId5193" ref="P2598"/>
    <hyperlink r:id="rId5194" ref="T2598"/>
    <hyperlink r:id="rId5195" ref="P2599"/>
    <hyperlink r:id="rId5196" ref="T2599"/>
    <hyperlink r:id="rId5197" ref="P2600"/>
    <hyperlink r:id="rId5198" ref="T2600"/>
    <hyperlink r:id="rId5199" ref="P2601"/>
    <hyperlink r:id="rId5200" ref="T2601"/>
    <hyperlink r:id="rId5201" ref="P2602"/>
    <hyperlink r:id="rId5202" ref="T2602"/>
    <hyperlink r:id="rId5203" ref="P2603"/>
    <hyperlink r:id="rId5204" ref="T2603"/>
    <hyperlink r:id="rId5205" ref="P2604"/>
    <hyperlink r:id="rId5206" ref="T2604"/>
    <hyperlink r:id="rId5207" ref="P2605"/>
    <hyperlink r:id="rId5208" ref="T2605"/>
    <hyperlink r:id="rId5209" ref="P2606"/>
    <hyperlink r:id="rId5210" ref="T2606"/>
    <hyperlink r:id="rId5211" ref="P2607"/>
    <hyperlink r:id="rId5212" ref="T2607"/>
    <hyperlink r:id="rId5213" ref="P2608"/>
    <hyperlink r:id="rId5214" ref="T2608"/>
    <hyperlink r:id="rId5215" ref="P2609"/>
    <hyperlink r:id="rId5216" ref="T2609"/>
    <hyperlink r:id="rId5217" ref="P2610"/>
    <hyperlink r:id="rId5218" ref="T2610"/>
    <hyperlink r:id="rId5219" ref="P2611"/>
    <hyperlink r:id="rId5220" ref="T2611"/>
    <hyperlink r:id="rId5221" ref="P2612"/>
    <hyperlink r:id="rId5222" ref="T2612"/>
    <hyperlink r:id="rId5223" ref="P2613"/>
    <hyperlink r:id="rId5224" ref="T2613"/>
    <hyperlink r:id="rId5225" ref="P2614"/>
    <hyperlink r:id="rId5226" ref="T2614"/>
    <hyperlink r:id="rId5227" ref="P2615"/>
    <hyperlink r:id="rId5228" ref="T2615"/>
    <hyperlink r:id="rId5229" ref="P2616"/>
    <hyperlink r:id="rId5230" ref="T2616"/>
    <hyperlink r:id="rId5231" ref="P2617"/>
    <hyperlink r:id="rId5232" ref="T2617"/>
    <hyperlink r:id="rId5233" ref="P2618"/>
    <hyperlink r:id="rId5234" ref="T2618"/>
    <hyperlink r:id="rId5235" ref="P2619"/>
    <hyperlink r:id="rId5236" ref="T2619"/>
    <hyperlink r:id="rId5237" ref="P2620"/>
    <hyperlink r:id="rId5238" ref="T2620"/>
    <hyperlink r:id="rId5239" ref="P2621"/>
    <hyperlink r:id="rId5240" ref="T2621"/>
    <hyperlink r:id="rId5241" ref="P2622"/>
    <hyperlink r:id="rId5242" ref="T2622"/>
    <hyperlink r:id="rId5243" ref="P2623"/>
    <hyperlink r:id="rId5244" ref="T2623"/>
    <hyperlink r:id="rId5245" ref="P2624"/>
    <hyperlink r:id="rId5246" ref="T2624"/>
    <hyperlink r:id="rId5247" ref="P2625"/>
    <hyperlink r:id="rId5248" ref="T2625"/>
    <hyperlink r:id="rId5249" ref="P2626"/>
    <hyperlink r:id="rId5250" ref="T2626"/>
    <hyperlink r:id="rId5251" ref="P2627"/>
    <hyperlink r:id="rId5252" ref="T2627"/>
    <hyperlink r:id="rId5253" ref="P2628"/>
    <hyperlink r:id="rId5254" ref="T2628"/>
    <hyperlink r:id="rId5255" ref="P2629"/>
    <hyperlink r:id="rId5256" ref="T2629"/>
    <hyperlink r:id="rId5257" ref="P2630"/>
    <hyperlink r:id="rId5258" ref="T2630"/>
    <hyperlink r:id="rId5259" ref="P2631"/>
    <hyperlink r:id="rId5260" ref="T2631"/>
    <hyperlink r:id="rId5261" ref="P2632"/>
    <hyperlink r:id="rId5262" ref="T2632"/>
    <hyperlink r:id="rId5263" ref="P2633"/>
    <hyperlink r:id="rId5264" ref="T2633"/>
    <hyperlink r:id="rId5265" ref="P2634"/>
    <hyperlink r:id="rId5266" ref="T2634"/>
    <hyperlink r:id="rId5267" ref="P2635"/>
    <hyperlink r:id="rId5268" ref="T2635"/>
    <hyperlink r:id="rId5269" ref="P2636"/>
    <hyperlink r:id="rId5270" ref="T2636"/>
    <hyperlink r:id="rId5271" ref="P2637"/>
    <hyperlink r:id="rId5272" ref="T2637"/>
    <hyperlink r:id="rId5273" ref="P2638"/>
    <hyperlink r:id="rId5274" ref="T2638"/>
    <hyperlink r:id="rId5275" ref="P2639"/>
    <hyperlink r:id="rId5276" ref="T2639"/>
    <hyperlink r:id="rId5277" ref="P2640"/>
    <hyperlink r:id="rId5278" ref="T2640"/>
    <hyperlink r:id="rId5279" ref="P2641"/>
    <hyperlink r:id="rId5280" ref="T2641"/>
    <hyperlink r:id="rId5281" ref="P2642"/>
    <hyperlink r:id="rId5282" ref="T2642"/>
    <hyperlink r:id="rId5283" ref="P2643"/>
    <hyperlink r:id="rId5284" ref="T2643"/>
    <hyperlink r:id="rId5285" ref="P2644"/>
    <hyperlink r:id="rId5286" ref="T2644"/>
    <hyperlink r:id="rId5287" ref="P2645"/>
    <hyperlink r:id="rId5288" ref="T2645"/>
    <hyperlink r:id="rId5289" ref="P2646"/>
    <hyperlink r:id="rId5290" ref="T2646"/>
    <hyperlink r:id="rId5291" ref="P2647"/>
    <hyperlink r:id="rId5292" ref="T2647"/>
    <hyperlink r:id="rId5293" ref="P2648"/>
    <hyperlink r:id="rId5294" ref="T2648"/>
    <hyperlink r:id="rId5295" ref="P2649"/>
    <hyperlink r:id="rId5296" ref="T2649"/>
    <hyperlink r:id="rId5297" ref="P2650"/>
    <hyperlink r:id="rId5298" ref="T2650"/>
    <hyperlink r:id="rId5299" ref="P2651"/>
    <hyperlink r:id="rId5300" ref="T2651"/>
    <hyperlink r:id="rId5301" ref="P2652"/>
    <hyperlink r:id="rId5302" ref="T2652"/>
    <hyperlink r:id="rId5303" ref="P2653"/>
    <hyperlink r:id="rId5304" ref="T2653"/>
    <hyperlink r:id="rId5305" ref="P2654"/>
    <hyperlink r:id="rId5306" ref="T2654"/>
    <hyperlink r:id="rId5307" ref="P2655"/>
    <hyperlink r:id="rId5308" ref="T2655"/>
    <hyperlink r:id="rId5309" ref="P2656"/>
    <hyperlink r:id="rId5310" ref="T2656"/>
    <hyperlink r:id="rId5311" ref="P2657"/>
    <hyperlink r:id="rId5312" ref="T2657"/>
    <hyperlink r:id="rId5313" ref="P2658"/>
    <hyperlink r:id="rId5314" ref="T2658"/>
    <hyperlink r:id="rId5315" ref="P2659"/>
    <hyperlink r:id="rId5316" ref="T2659"/>
    <hyperlink r:id="rId5317" ref="P2660"/>
    <hyperlink r:id="rId5318" ref="T2660"/>
    <hyperlink r:id="rId5319" ref="P2661"/>
    <hyperlink r:id="rId5320" ref="T2661"/>
    <hyperlink r:id="rId5321" ref="P2662"/>
    <hyperlink r:id="rId5322" ref="T2662"/>
    <hyperlink r:id="rId5323" ref="P2663"/>
    <hyperlink r:id="rId5324" ref="T2663"/>
    <hyperlink r:id="rId5325" ref="P2664"/>
    <hyperlink r:id="rId5326" ref="T2664"/>
    <hyperlink r:id="rId5327" ref="P2665"/>
    <hyperlink r:id="rId5328" ref="T2665"/>
    <hyperlink r:id="rId5329" ref="P2666"/>
    <hyperlink r:id="rId5330" ref="T2666"/>
    <hyperlink r:id="rId5331" ref="P2667"/>
    <hyperlink r:id="rId5332" ref="T2667"/>
    <hyperlink r:id="rId5333" ref="P2668"/>
    <hyperlink r:id="rId5334" ref="T2668"/>
    <hyperlink r:id="rId5335" ref="P2669"/>
    <hyperlink r:id="rId5336" ref="T2669"/>
    <hyperlink r:id="rId5337" ref="P2670"/>
    <hyperlink r:id="rId5338" ref="T2670"/>
    <hyperlink r:id="rId5339" ref="P2671"/>
    <hyperlink r:id="rId5340" ref="T2671"/>
    <hyperlink r:id="rId5341" ref="P2672"/>
    <hyperlink r:id="rId5342" ref="T2672"/>
    <hyperlink r:id="rId5343" ref="P2673"/>
    <hyperlink r:id="rId5344" ref="T2673"/>
    <hyperlink r:id="rId5345" ref="P2674"/>
    <hyperlink r:id="rId5346" ref="T2674"/>
    <hyperlink r:id="rId5347" ref="P2675"/>
    <hyperlink r:id="rId5348" ref="T2675"/>
    <hyperlink r:id="rId5349" ref="P2676"/>
    <hyperlink r:id="rId5350" ref="T2676"/>
    <hyperlink r:id="rId5351" ref="P2677"/>
    <hyperlink r:id="rId5352" ref="T2677"/>
    <hyperlink r:id="rId5353" ref="P2678"/>
    <hyperlink r:id="rId5354" ref="T2678"/>
    <hyperlink r:id="rId5355" ref="P2679"/>
    <hyperlink r:id="rId5356" ref="T2679"/>
    <hyperlink r:id="rId5357" ref="P2680"/>
    <hyperlink r:id="rId5358" ref="T2680"/>
    <hyperlink r:id="rId5359" ref="P2681"/>
    <hyperlink r:id="rId5360" ref="T2681"/>
    <hyperlink r:id="rId5361" ref="P2682"/>
    <hyperlink r:id="rId5362" ref="T2682"/>
    <hyperlink r:id="rId5363" ref="P2683"/>
    <hyperlink r:id="rId5364" ref="T2683"/>
    <hyperlink r:id="rId5365" ref="P2684"/>
    <hyperlink r:id="rId5366" ref="T2684"/>
    <hyperlink r:id="rId5367" ref="P2685"/>
    <hyperlink r:id="rId5368" ref="T2685"/>
    <hyperlink r:id="rId5369" ref="P2686"/>
    <hyperlink r:id="rId5370" ref="T2686"/>
    <hyperlink r:id="rId5371" ref="P2687"/>
    <hyperlink r:id="rId5372" ref="T2687"/>
    <hyperlink r:id="rId5373" ref="P2688"/>
    <hyperlink r:id="rId5374" ref="T2688"/>
    <hyperlink r:id="rId5375" ref="P2689"/>
    <hyperlink r:id="rId5376" ref="T2689"/>
    <hyperlink r:id="rId5377" ref="P2690"/>
    <hyperlink r:id="rId5378" ref="T2690"/>
    <hyperlink r:id="rId5379" ref="P2691"/>
    <hyperlink r:id="rId5380" ref="T2691"/>
    <hyperlink r:id="rId5381" ref="P2692"/>
    <hyperlink r:id="rId5382" ref="T2692"/>
    <hyperlink r:id="rId5383" ref="P2693"/>
    <hyperlink r:id="rId5384" ref="T2693"/>
    <hyperlink r:id="rId5385" ref="P2694"/>
    <hyperlink r:id="rId5386" ref="T2694"/>
    <hyperlink r:id="rId5387" ref="P2695"/>
    <hyperlink r:id="rId5388" ref="T2695"/>
    <hyperlink r:id="rId5389" ref="P2696"/>
    <hyperlink r:id="rId5390" ref="T2696"/>
    <hyperlink r:id="rId5391" ref="P2697"/>
    <hyperlink r:id="rId5392" ref="T2697"/>
    <hyperlink r:id="rId5393" ref="P2698"/>
    <hyperlink r:id="rId5394" ref="T2698"/>
    <hyperlink r:id="rId5395" ref="P2699"/>
    <hyperlink r:id="rId5396" ref="T2699"/>
    <hyperlink r:id="rId5397" ref="P2700"/>
    <hyperlink r:id="rId5398" ref="T2700"/>
    <hyperlink r:id="rId5399" ref="P2701"/>
    <hyperlink r:id="rId5400" ref="T2701"/>
    <hyperlink r:id="rId5401" ref="P2702"/>
    <hyperlink r:id="rId5402" ref="T2702"/>
    <hyperlink r:id="rId5403" ref="P2703"/>
    <hyperlink r:id="rId5404" ref="T2703"/>
    <hyperlink r:id="rId5405" ref="P2704"/>
    <hyperlink r:id="rId5406" ref="T2704"/>
    <hyperlink r:id="rId5407" ref="P2705"/>
    <hyperlink r:id="rId5408" ref="T2705"/>
    <hyperlink r:id="rId5409" ref="P2706"/>
    <hyperlink r:id="rId5410" ref="T2706"/>
    <hyperlink r:id="rId5411" ref="P2707"/>
    <hyperlink r:id="rId5412" ref="T2707"/>
    <hyperlink r:id="rId5413" ref="P2708"/>
    <hyperlink r:id="rId5414" ref="T2708"/>
    <hyperlink r:id="rId5415" ref="P2709"/>
    <hyperlink r:id="rId5416" ref="T2709"/>
    <hyperlink r:id="rId5417" ref="P2710"/>
    <hyperlink r:id="rId5418" ref="T2710"/>
    <hyperlink r:id="rId5419" ref="P2711"/>
    <hyperlink r:id="rId5420" ref="T2711"/>
    <hyperlink r:id="rId5421" ref="P2712"/>
    <hyperlink r:id="rId5422" ref="T2712"/>
    <hyperlink r:id="rId5423" ref="P2713"/>
    <hyperlink r:id="rId5424" ref="T2713"/>
    <hyperlink r:id="rId5425" ref="P2714"/>
    <hyperlink r:id="rId5426" ref="T2714"/>
    <hyperlink r:id="rId5427" ref="P2715"/>
    <hyperlink r:id="rId5428" ref="T2715"/>
    <hyperlink r:id="rId5429" ref="P2716"/>
    <hyperlink r:id="rId5430" ref="T2716"/>
    <hyperlink r:id="rId5431" ref="P2717"/>
    <hyperlink r:id="rId5432" ref="T2717"/>
    <hyperlink r:id="rId5433" ref="P2718"/>
    <hyperlink r:id="rId5434" ref="T2718"/>
    <hyperlink r:id="rId5435" ref="P2719"/>
    <hyperlink r:id="rId5436" ref="T2719"/>
    <hyperlink r:id="rId5437" ref="P2720"/>
    <hyperlink r:id="rId5438" ref="T2720"/>
    <hyperlink r:id="rId5439" ref="P2721"/>
    <hyperlink r:id="rId5440" ref="T2721"/>
    <hyperlink r:id="rId5441" ref="P2722"/>
    <hyperlink r:id="rId5442" ref="T2722"/>
    <hyperlink r:id="rId5443" ref="P2723"/>
    <hyperlink r:id="rId5444" ref="T2723"/>
    <hyperlink r:id="rId5445" ref="P2724"/>
    <hyperlink r:id="rId5446" ref="T2724"/>
    <hyperlink r:id="rId5447" ref="P2725"/>
    <hyperlink r:id="rId5448" ref="T2725"/>
    <hyperlink r:id="rId5449" ref="P2726"/>
    <hyperlink r:id="rId5450" ref="T2726"/>
    <hyperlink r:id="rId5451" ref="P2727"/>
    <hyperlink r:id="rId5452" ref="T2727"/>
    <hyperlink r:id="rId5453" ref="P2728"/>
    <hyperlink r:id="rId5454" ref="T2728"/>
    <hyperlink r:id="rId5455" ref="P2729"/>
    <hyperlink r:id="rId5456" ref="T2729"/>
    <hyperlink r:id="rId5457" ref="P2730"/>
    <hyperlink r:id="rId5458" ref="T2730"/>
    <hyperlink r:id="rId5459" ref="P2731"/>
    <hyperlink r:id="rId5460" ref="T2731"/>
    <hyperlink r:id="rId5461" ref="P2732"/>
    <hyperlink r:id="rId5462" ref="T2732"/>
    <hyperlink r:id="rId5463" ref="P2733"/>
    <hyperlink r:id="rId5464" ref="T2733"/>
    <hyperlink r:id="rId5465" ref="P2734"/>
    <hyperlink r:id="rId5466" ref="T2734"/>
    <hyperlink r:id="rId5467" ref="P2735"/>
    <hyperlink r:id="rId5468" ref="T2735"/>
    <hyperlink r:id="rId5469" ref="P2736"/>
    <hyperlink r:id="rId5470" ref="T2736"/>
    <hyperlink r:id="rId5471" ref="P2737"/>
    <hyperlink r:id="rId5472" ref="T2737"/>
    <hyperlink r:id="rId5473" ref="P2738"/>
    <hyperlink r:id="rId5474" ref="T2738"/>
    <hyperlink r:id="rId5475" ref="P2739"/>
    <hyperlink r:id="rId5476" ref="T2739"/>
    <hyperlink r:id="rId5477" ref="P2740"/>
    <hyperlink r:id="rId5478" ref="T2740"/>
    <hyperlink r:id="rId5479" ref="P2741"/>
    <hyperlink r:id="rId5480" ref="T2741"/>
    <hyperlink r:id="rId5481" ref="P2742"/>
    <hyperlink r:id="rId5482" ref="T2742"/>
    <hyperlink r:id="rId5483" ref="P2743"/>
    <hyperlink r:id="rId5484" ref="T2743"/>
    <hyperlink r:id="rId5485" ref="P2744"/>
    <hyperlink r:id="rId5486" ref="T2744"/>
    <hyperlink r:id="rId5487" ref="P2745"/>
    <hyperlink r:id="rId5488" ref="T2745"/>
    <hyperlink r:id="rId5489" ref="P2746"/>
    <hyperlink r:id="rId5490" ref="T2746"/>
    <hyperlink r:id="rId5491" ref="P2747"/>
    <hyperlink r:id="rId5492" ref="T2747"/>
    <hyperlink r:id="rId5493" ref="P2748"/>
    <hyperlink r:id="rId5494" ref="T2748"/>
    <hyperlink r:id="rId5495" ref="P2749"/>
    <hyperlink r:id="rId5496" ref="T2749"/>
    <hyperlink r:id="rId5497" ref="P2750"/>
    <hyperlink r:id="rId5498" ref="T2750"/>
    <hyperlink r:id="rId5499" ref="P2751"/>
    <hyperlink r:id="rId5500" ref="T2751"/>
    <hyperlink r:id="rId5501" ref="P2752"/>
    <hyperlink r:id="rId5502" ref="T2752"/>
    <hyperlink r:id="rId5503" ref="P2753"/>
    <hyperlink r:id="rId5504" ref="T2753"/>
    <hyperlink r:id="rId5505" ref="P2754"/>
    <hyperlink r:id="rId5506" ref="T2754"/>
    <hyperlink r:id="rId5507" ref="P2755"/>
    <hyperlink r:id="rId5508" ref="T2755"/>
    <hyperlink r:id="rId5509" ref="P2756"/>
    <hyperlink r:id="rId5510" ref="T2756"/>
    <hyperlink r:id="rId5511" ref="P2757"/>
    <hyperlink r:id="rId5512" ref="T2757"/>
    <hyperlink r:id="rId5513" ref="P2758"/>
    <hyperlink r:id="rId5514" ref="T2758"/>
    <hyperlink r:id="rId5515" ref="P2759"/>
    <hyperlink r:id="rId5516" ref="T2759"/>
    <hyperlink r:id="rId5517" ref="P2760"/>
    <hyperlink r:id="rId5518" ref="T2760"/>
    <hyperlink r:id="rId5519" ref="P2761"/>
    <hyperlink r:id="rId5520" ref="T2761"/>
    <hyperlink r:id="rId5521" ref="P2762"/>
    <hyperlink r:id="rId5522" ref="T2762"/>
    <hyperlink r:id="rId5523" ref="P2763"/>
    <hyperlink r:id="rId5524" ref="T2763"/>
    <hyperlink r:id="rId5525" ref="P2764"/>
    <hyperlink r:id="rId5526" ref="T2764"/>
    <hyperlink r:id="rId5527" ref="P2765"/>
    <hyperlink r:id="rId5528" ref="T2765"/>
    <hyperlink r:id="rId5529" ref="P2766"/>
    <hyperlink r:id="rId5530" ref="T2766"/>
    <hyperlink r:id="rId5531" ref="P2767"/>
    <hyperlink r:id="rId5532" ref="T2767"/>
    <hyperlink r:id="rId5533" ref="P2768"/>
    <hyperlink r:id="rId5534" ref="T2768"/>
    <hyperlink r:id="rId5535" ref="P2769"/>
    <hyperlink r:id="rId5536" ref="T2769"/>
    <hyperlink r:id="rId5537" ref="P2770"/>
    <hyperlink r:id="rId5538" ref="T2770"/>
    <hyperlink r:id="rId5539" ref="P2771"/>
    <hyperlink r:id="rId5540" ref="T2771"/>
    <hyperlink r:id="rId5541" ref="P2772"/>
    <hyperlink r:id="rId5542" ref="T2772"/>
    <hyperlink r:id="rId5543" ref="P2773"/>
    <hyperlink r:id="rId5544" ref="T2773"/>
    <hyperlink r:id="rId5545" ref="P2774"/>
    <hyperlink r:id="rId5546" ref="T2774"/>
    <hyperlink r:id="rId5547" ref="P2775"/>
    <hyperlink r:id="rId5548" ref="T2775"/>
    <hyperlink r:id="rId5549" ref="P2776"/>
    <hyperlink r:id="rId5550" ref="T2776"/>
    <hyperlink r:id="rId5551" ref="P2777"/>
    <hyperlink r:id="rId5552" ref="T2777"/>
    <hyperlink r:id="rId5553" ref="P2778"/>
    <hyperlink r:id="rId5554" ref="T2778"/>
    <hyperlink r:id="rId5555" ref="P2779"/>
    <hyperlink r:id="rId5556" ref="T2779"/>
    <hyperlink r:id="rId5557" ref="P2780"/>
    <hyperlink r:id="rId5558" ref="T2780"/>
    <hyperlink r:id="rId5559" ref="P2781"/>
    <hyperlink r:id="rId5560" ref="T2781"/>
    <hyperlink r:id="rId5561" ref="P2782"/>
    <hyperlink r:id="rId5562" ref="T2782"/>
    <hyperlink r:id="rId5563" ref="P2783"/>
    <hyperlink r:id="rId5564" ref="T2783"/>
    <hyperlink r:id="rId5565" ref="P2784"/>
    <hyperlink r:id="rId5566" ref="T2784"/>
    <hyperlink r:id="rId5567" ref="P2785"/>
    <hyperlink r:id="rId5568" ref="T2785"/>
    <hyperlink r:id="rId5569" ref="P2786"/>
    <hyperlink r:id="rId5570" ref="T2786"/>
    <hyperlink r:id="rId5571" ref="P2787"/>
    <hyperlink r:id="rId5572" ref="T2787"/>
    <hyperlink r:id="rId5573" ref="P2788"/>
    <hyperlink r:id="rId5574" ref="T2788"/>
    <hyperlink r:id="rId5575" ref="P2789"/>
    <hyperlink r:id="rId5576" ref="T2789"/>
    <hyperlink r:id="rId5577" ref="P2790"/>
    <hyperlink r:id="rId5578" ref="T2790"/>
    <hyperlink r:id="rId5579" ref="P2791"/>
    <hyperlink r:id="rId5580" ref="T2791"/>
    <hyperlink r:id="rId5581" ref="P2792"/>
    <hyperlink r:id="rId5582" ref="T2792"/>
    <hyperlink r:id="rId5583" ref="P2793"/>
    <hyperlink r:id="rId5584" ref="T2793"/>
    <hyperlink r:id="rId5585" ref="P2794"/>
    <hyperlink r:id="rId5586" ref="T2794"/>
    <hyperlink r:id="rId5587" ref="P2795"/>
    <hyperlink r:id="rId5588" ref="T2795"/>
    <hyperlink r:id="rId5589" ref="P2796"/>
    <hyperlink r:id="rId5590" ref="T2796"/>
    <hyperlink r:id="rId5591" ref="P2797"/>
    <hyperlink r:id="rId5592" ref="T2797"/>
    <hyperlink r:id="rId5593" ref="P2798"/>
    <hyperlink r:id="rId5594" ref="T2798"/>
    <hyperlink r:id="rId5595" ref="P2799"/>
    <hyperlink r:id="rId5596" ref="T2799"/>
    <hyperlink r:id="rId5597" ref="P2800"/>
    <hyperlink r:id="rId5598" ref="T2800"/>
    <hyperlink r:id="rId5599" ref="P2801"/>
    <hyperlink r:id="rId5600" ref="T2801"/>
    <hyperlink r:id="rId5601" ref="P2802"/>
    <hyperlink r:id="rId5602" ref="T2802"/>
    <hyperlink r:id="rId5603" ref="P2803"/>
    <hyperlink r:id="rId5604" ref="T2803"/>
    <hyperlink r:id="rId5605" ref="P2804"/>
    <hyperlink r:id="rId5606" ref="T2804"/>
    <hyperlink r:id="rId5607" ref="P2805"/>
    <hyperlink r:id="rId5608" ref="T2805"/>
    <hyperlink r:id="rId5609" ref="P2806"/>
    <hyperlink r:id="rId5610" ref="T2806"/>
    <hyperlink r:id="rId5611" ref="P2807"/>
    <hyperlink r:id="rId5612" ref="T2807"/>
    <hyperlink r:id="rId5613" ref="P2808"/>
    <hyperlink r:id="rId5614" ref="T2808"/>
    <hyperlink r:id="rId5615" ref="P2809"/>
    <hyperlink r:id="rId5616" ref="T2809"/>
    <hyperlink r:id="rId5617" ref="P2810"/>
    <hyperlink r:id="rId5618" ref="T2810"/>
    <hyperlink r:id="rId5619" ref="P2811"/>
    <hyperlink r:id="rId5620" ref="T2811"/>
    <hyperlink r:id="rId5621" ref="P2812"/>
    <hyperlink r:id="rId5622" ref="T2812"/>
    <hyperlink r:id="rId5623" ref="P2813"/>
    <hyperlink r:id="rId5624" ref="T2813"/>
    <hyperlink r:id="rId5625" ref="P2814"/>
    <hyperlink r:id="rId5626" ref="T2814"/>
    <hyperlink r:id="rId5627" ref="P2815"/>
    <hyperlink r:id="rId5628" ref="T2815"/>
    <hyperlink r:id="rId5629" ref="P2816"/>
    <hyperlink r:id="rId5630" ref="T2816"/>
    <hyperlink r:id="rId5631" ref="P2817"/>
    <hyperlink r:id="rId5632" ref="T2817"/>
    <hyperlink r:id="rId5633" ref="P2818"/>
    <hyperlink r:id="rId5634" ref="T2818"/>
    <hyperlink r:id="rId5635" ref="P2819"/>
    <hyperlink r:id="rId5636" ref="T2819"/>
    <hyperlink r:id="rId5637" ref="P2820"/>
    <hyperlink r:id="rId5638" ref="T2820"/>
    <hyperlink r:id="rId5639" ref="P2821"/>
    <hyperlink r:id="rId5640" ref="T2821"/>
    <hyperlink r:id="rId5641" ref="P2822"/>
    <hyperlink r:id="rId5642" ref="T2822"/>
    <hyperlink r:id="rId5643" ref="P2823"/>
    <hyperlink r:id="rId5644" ref="T2823"/>
    <hyperlink r:id="rId5645" ref="P2824"/>
    <hyperlink r:id="rId5646" ref="T2824"/>
    <hyperlink r:id="rId5647" ref="P2825"/>
    <hyperlink r:id="rId5648" ref="T2825"/>
    <hyperlink r:id="rId5649" ref="P2826"/>
    <hyperlink r:id="rId5650" ref="T2826"/>
    <hyperlink r:id="rId5651" ref="P2827"/>
    <hyperlink r:id="rId5652" ref="T2827"/>
    <hyperlink r:id="rId5653" ref="P2828"/>
    <hyperlink r:id="rId5654" ref="T2828"/>
    <hyperlink r:id="rId5655" ref="P2829"/>
    <hyperlink r:id="rId5656" ref="T2829"/>
    <hyperlink r:id="rId5657" ref="P2830"/>
    <hyperlink r:id="rId5658" ref="T2830"/>
    <hyperlink r:id="rId5659" ref="P2831"/>
    <hyperlink r:id="rId5660" ref="T2831"/>
    <hyperlink r:id="rId5661" ref="P2832"/>
    <hyperlink r:id="rId5662" ref="T2832"/>
    <hyperlink r:id="rId5663" ref="P2833"/>
    <hyperlink r:id="rId5664" ref="T2833"/>
    <hyperlink r:id="rId5665" ref="P2834"/>
    <hyperlink r:id="rId5666" ref="T2834"/>
    <hyperlink r:id="rId5667" ref="P2835"/>
    <hyperlink r:id="rId5668" ref="T2835"/>
    <hyperlink r:id="rId5669" ref="P2836"/>
    <hyperlink r:id="rId5670" ref="T2836"/>
    <hyperlink r:id="rId5671" ref="P2837"/>
    <hyperlink r:id="rId5672" ref="T2837"/>
    <hyperlink r:id="rId5673" ref="P2838"/>
    <hyperlink r:id="rId5674" ref="T2838"/>
    <hyperlink r:id="rId5675" ref="P2839"/>
    <hyperlink r:id="rId5676" ref="T2839"/>
    <hyperlink r:id="rId5677" ref="P2840"/>
    <hyperlink r:id="rId5678" ref="T2840"/>
    <hyperlink r:id="rId5679" ref="P2841"/>
    <hyperlink r:id="rId5680" ref="T2841"/>
    <hyperlink r:id="rId5681" ref="P2842"/>
    <hyperlink r:id="rId5682" ref="T2842"/>
    <hyperlink r:id="rId5683" ref="P2843"/>
    <hyperlink r:id="rId5684" ref="T2843"/>
    <hyperlink r:id="rId5685" ref="P2844"/>
    <hyperlink r:id="rId5686" ref="T2844"/>
    <hyperlink r:id="rId5687" ref="P2845"/>
    <hyperlink r:id="rId5688" ref="T2845"/>
    <hyperlink r:id="rId5689" ref="P2846"/>
    <hyperlink r:id="rId5690" ref="T2846"/>
    <hyperlink r:id="rId5691" ref="P2847"/>
    <hyperlink r:id="rId5692" ref="T2847"/>
    <hyperlink r:id="rId5693" ref="P2848"/>
    <hyperlink r:id="rId5694" ref="T2848"/>
    <hyperlink r:id="rId5695" ref="P2849"/>
    <hyperlink r:id="rId5696" ref="T2849"/>
    <hyperlink r:id="rId5697" ref="P2850"/>
    <hyperlink r:id="rId5698" ref="T2850"/>
    <hyperlink r:id="rId5699" ref="P2851"/>
    <hyperlink r:id="rId5700" ref="T2851"/>
    <hyperlink r:id="rId5701" ref="P2852"/>
    <hyperlink r:id="rId5702" ref="T2852"/>
    <hyperlink r:id="rId5703" ref="P2853"/>
    <hyperlink r:id="rId5704" ref="T2853"/>
    <hyperlink r:id="rId5705" ref="P2854"/>
    <hyperlink r:id="rId5706" ref="T2854"/>
    <hyperlink r:id="rId5707" ref="P2855"/>
    <hyperlink r:id="rId5708" ref="T2855"/>
    <hyperlink r:id="rId5709" ref="P2856"/>
    <hyperlink r:id="rId5710" ref="T2856"/>
    <hyperlink r:id="rId5711" ref="P2857"/>
    <hyperlink r:id="rId5712" ref="T2857"/>
    <hyperlink r:id="rId5713" ref="P2858"/>
    <hyperlink r:id="rId5714" ref="T2858"/>
    <hyperlink r:id="rId5715" ref="P2859"/>
    <hyperlink r:id="rId5716" ref="T2859"/>
    <hyperlink r:id="rId5717" ref="P2860"/>
    <hyperlink r:id="rId5718" ref="T2860"/>
    <hyperlink r:id="rId5719" ref="P2861"/>
    <hyperlink r:id="rId5720" ref="T2861"/>
    <hyperlink r:id="rId5721" ref="P2862"/>
    <hyperlink r:id="rId5722" ref="T2862"/>
    <hyperlink r:id="rId5723" ref="P2863"/>
    <hyperlink r:id="rId5724" ref="T2863"/>
    <hyperlink r:id="rId5725" ref="P2864"/>
    <hyperlink r:id="rId5726" ref="T2864"/>
    <hyperlink r:id="rId5727" ref="P2865"/>
    <hyperlink r:id="rId5728" ref="T2865"/>
    <hyperlink r:id="rId5729" ref="P2866"/>
    <hyperlink r:id="rId5730" ref="T2866"/>
    <hyperlink r:id="rId5731" ref="P2867"/>
    <hyperlink r:id="rId5732" ref="T2867"/>
    <hyperlink r:id="rId5733" ref="P2868"/>
    <hyperlink r:id="rId5734" ref="T2868"/>
    <hyperlink r:id="rId5735" ref="P2869"/>
    <hyperlink r:id="rId5736" ref="T2869"/>
    <hyperlink r:id="rId5737" ref="P2870"/>
    <hyperlink r:id="rId5738" ref="T2870"/>
    <hyperlink r:id="rId5739" ref="P2871"/>
    <hyperlink r:id="rId5740" ref="T2871"/>
    <hyperlink r:id="rId5741" ref="P2872"/>
    <hyperlink r:id="rId5742" ref="T2872"/>
    <hyperlink r:id="rId5743" ref="P2873"/>
    <hyperlink r:id="rId5744" ref="T2873"/>
    <hyperlink r:id="rId5745" ref="P2874"/>
    <hyperlink r:id="rId5746" ref="T2874"/>
    <hyperlink r:id="rId5747" ref="P2875"/>
    <hyperlink r:id="rId5748" ref="T2875"/>
    <hyperlink r:id="rId5749" ref="P2876"/>
    <hyperlink r:id="rId5750" ref="T2876"/>
    <hyperlink r:id="rId5751" ref="P2877"/>
    <hyperlink r:id="rId5752" ref="T2877"/>
    <hyperlink r:id="rId5753" ref="P2878"/>
    <hyperlink r:id="rId5754" ref="T2878"/>
    <hyperlink r:id="rId5755" ref="P2879"/>
    <hyperlink r:id="rId5756" ref="T2879"/>
    <hyperlink r:id="rId5757" ref="P2880"/>
    <hyperlink r:id="rId5758" ref="T2880"/>
    <hyperlink r:id="rId5759" ref="P2881"/>
    <hyperlink r:id="rId5760" ref="T2881"/>
    <hyperlink r:id="rId5761" ref="P2882"/>
    <hyperlink r:id="rId5762" ref="T2882"/>
    <hyperlink r:id="rId5763" ref="P2883"/>
    <hyperlink r:id="rId5764" ref="T2883"/>
    <hyperlink r:id="rId5765" ref="P2884"/>
    <hyperlink r:id="rId5766" ref="T2884"/>
    <hyperlink r:id="rId5767" ref="P2885"/>
    <hyperlink r:id="rId5768" ref="T2885"/>
    <hyperlink r:id="rId5769" ref="P2886"/>
    <hyperlink r:id="rId5770" ref="T2886"/>
    <hyperlink r:id="rId5771" ref="P2887"/>
    <hyperlink r:id="rId5772" ref="T2887"/>
    <hyperlink r:id="rId5773" ref="P2888"/>
    <hyperlink r:id="rId5774" ref="T2888"/>
    <hyperlink r:id="rId5775" ref="P2889"/>
    <hyperlink r:id="rId5776" ref="T2889"/>
    <hyperlink r:id="rId5777" ref="P2890"/>
    <hyperlink r:id="rId5778" ref="T2890"/>
    <hyperlink r:id="rId5779" ref="P2891"/>
    <hyperlink r:id="rId5780" ref="T2891"/>
    <hyperlink r:id="rId5781" ref="P2892"/>
    <hyperlink r:id="rId5782" ref="T2892"/>
    <hyperlink r:id="rId5783" ref="P2893"/>
    <hyperlink r:id="rId5784" ref="T2893"/>
    <hyperlink r:id="rId5785" ref="P2894"/>
    <hyperlink r:id="rId5786" ref="T2894"/>
    <hyperlink r:id="rId5787" ref="P2895"/>
    <hyperlink r:id="rId5788" ref="T2895"/>
    <hyperlink r:id="rId5789" ref="P2896"/>
    <hyperlink r:id="rId5790" ref="T2896"/>
    <hyperlink r:id="rId5791" ref="P2897"/>
    <hyperlink r:id="rId5792" ref="T2897"/>
    <hyperlink r:id="rId5793" ref="P2898"/>
    <hyperlink r:id="rId5794" ref="T2898"/>
    <hyperlink r:id="rId5795" ref="P2899"/>
    <hyperlink r:id="rId5796" ref="T2899"/>
    <hyperlink r:id="rId5797" ref="P2900"/>
    <hyperlink r:id="rId5798" ref="T2900"/>
    <hyperlink r:id="rId5799" ref="P2901"/>
    <hyperlink r:id="rId5800" ref="T2901"/>
    <hyperlink r:id="rId5801" ref="P2902"/>
    <hyperlink r:id="rId5802" ref="T2902"/>
    <hyperlink r:id="rId5803" ref="P2903"/>
    <hyperlink r:id="rId5804" ref="T2903"/>
    <hyperlink r:id="rId5805" ref="P2904"/>
    <hyperlink r:id="rId5806" ref="T2904"/>
    <hyperlink r:id="rId5807" ref="P2905"/>
    <hyperlink r:id="rId5808" ref="T2905"/>
    <hyperlink r:id="rId5809" ref="P2906"/>
    <hyperlink r:id="rId5810" ref="T2906"/>
    <hyperlink r:id="rId5811" ref="P2907"/>
    <hyperlink r:id="rId5812" ref="T2907"/>
    <hyperlink r:id="rId5813" ref="P2908"/>
    <hyperlink r:id="rId5814" ref="T2908"/>
    <hyperlink r:id="rId5815" ref="P2909"/>
    <hyperlink r:id="rId5816" ref="T2909"/>
    <hyperlink r:id="rId5817" ref="P2910"/>
    <hyperlink r:id="rId5818" ref="T2910"/>
    <hyperlink r:id="rId5819" ref="P2911"/>
    <hyperlink r:id="rId5820" ref="T2911"/>
    <hyperlink r:id="rId5821" ref="P2912"/>
    <hyperlink r:id="rId5822" ref="T2912"/>
    <hyperlink r:id="rId5823" ref="P2913"/>
    <hyperlink r:id="rId5824" ref="T2913"/>
    <hyperlink r:id="rId5825" ref="P2914"/>
    <hyperlink r:id="rId5826" ref="T2914"/>
    <hyperlink r:id="rId5827" ref="P2915"/>
    <hyperlink r:id="rId5828" ref="T2915"/>
    <hyperlink r:id="rId5829" ref="P2916"/>
    <hyperlink r:id="rId5830" ref="T2916"/>
    <hyperlink r:id="rId5831" ref="P2917"/>
    <hyperlink r:id="rId5832" ref="T2917"/>
    <hyperlink r:id="rId5833" ref="P2918"/>
    <hyperlink r:id="rId5834" ref="T2918"/>
    <hyperlink r:id="rId5835" ref="P2919"/>
    <hyperlink r:id="rId5836" ref="T2919"/>
    <hyperlink r:id="rId5837" ref="P2920"/>
    <hyperlink r:id="rId5838" ref="T2920"/>
    <hyperlink r:id="rId5839" ref="P2921"/>
    <hyperlink r:id="rId5840" ref="T2921"/>
    <hyperlink r:id="rId5841" ref="P2922"/>
    <hyperlink r:id="rId5842" ref="T2922"/>
    <hyperlink r:id="rId5843" ref="P2923"/>
    <hyperlink r:id="rId5844" ref="T2923"/>
    <hyperlink r:id="rId5845" ref="P2924"/>
    <hyperlink r:id="rId5846" ref="T2924"/>
    <hyperlink r:id="rId5847" ref="P2925"/>
    <hyperlink r:id="rId5848" ref="T2925"/>
    <hyperlink r:id="rId5849" ref="P2926"/>
    <hyperlink r:id="rId5850" ref="T2926"/>
    <hyperlink r:id="rId5851" ref="P2927"/>
    <hyperlink r:id="rId5852" ref="T2927"/>
    <hyperlink r:id="rId5853" ref="P2928"/>
    <hyperlink r:id="rId5854" ref="T2928"/>
    <hyperlink r:id="rId5855" ref="P2929"/>
    <hyperlink r:id="rId5856" ref="T2929"/>
    <hyperlink r:id="rId5857" ref="P2930"/>
    <hyperlink r:id="rId5858" ref="T2930"/>
    <hyperlink r:id="rId5859" ref="P2931"/>
    <hyperlink r:id="rId5860" ref="T2931"/>
    <hyperlink r:id="rId5861" ref="P2932"/>
    <hyperlink r:id="rId5862" ref="T2932"/>
    <hyperlink r:id="rId5863" ref="P2933"/>
    <hyperlink r:id="rId5864" ref="T2933"/>
    <hyperlink r:id="rId5865" ref="P2934"/>
    <hyperlink r:id="rId5866" ref="T2934"/>
    <hyperlink r:id="rId5867" ref="P2935"/>
    <hyperlink r:id="rId5868" ref="T2935"/>
    <hyperlink r:id="rId5869" ref="P2936"/>
    <hyperlink r:id="rId5870" ref="T2936"/>
    <hyperlink r:id="rId5871" ref="P2937"/>
    <hyperlink r:id="rId5872" ref="T2937"/>
    <hyperlink r:id="rId5873" ref="P2938"/>
    <hyperlink r:id="rId5874" ref="T2938"/>
    <hyperlink r:id="rId5875" ref="P2939"/>
    <hyperlink r:id="rId5876" ref="T2939"/>
    <hyperlink r:id="rId5877" ref="P2940"/>
    <hyperlink r:id="rId5878" ref="T2940"/>
    <hyperlink r:id="rId5879" ref="P2941"/>
    <hyperlink r:id="rId5880" ref="T2941"/>
    <hyperlink r:id="rId5881" ref="P2942"/>
    <hyperlink r:id="rId5882" ref="T2942"/>
    <hyperlink r:id="rId5883" ref="P2943"/>
    <hyperlink r:id="rId5884" ref="T2943"/>
    <hyperlink r:id="rId5885" ref="P2944"/>
    <hyperlink r:id="rId5886" ref="T2944"/>
    <hyperlink r:id="rId5887" ref="P2945"/>
    <hyperlink r:id="rId5888" ref="T2945"/>
    <hyperlink r:id="rId5889" ref="P2946"/>
    <hyperlink r:id="rId5890" ref="T2946"/>
    <hyperlink r:id="rId5891" ref="P2947"/>
    <hyperlink r:id="rId5892" ref="T2947"/>
    <hyperlink r:id="rId5893" ref="P2948"/>
    <hyperlink r:id="rId5894" ref="T2948"/>
    <hyperlink r:id="rId5895" ref="P2949"/>
    <hyperlink r:id="rId5896" ref="T2949"/>
    <hyperlink r:id="rId5897" ref="P2950"/>
    <hyperlink r:id="rId5898" ref="T2950"/>
    <hyperlink r:id="rId5899" ref="P2951"/>
    <hyperlink r:id="rId5900" ref="T2951"/>
    <hyperlink r:id="rId5901" ref="P2952"/>
    <hyperlink r:id="rId5902" ref="T2952"/>
    <hyperlink r:id="rId5903" ref="P2953"/>
    <hyperlink r:id="rId5904" ref="T2953"/>
    <hyperlink r:id="rId5905" ref="P2954"/>
    <hyperlink r:id="rId5906" ref="T2954"/>
    <hyperlink r:id="rId5907" ref="P2955"/>
    <hyperlink r:id="rId5908" ref="T2955"/>
    <hyperlink r:id="rId5909" ref="P2956"/>
    <hyperlink r:id="rId5910" ref="T2956"/>
    <hyperlink r:id="rId5911" ref="P2957"/>
    <hyperlink r:id="rId5912" ref="T2957"/>
    <hyperlink r:id="rId5913" ref="P2958"/>
    <hyperlink r:id="rId5914" ref="T2958"/>
    <hyperlink r:id="rId5915" ref="P2959"/>
    <hyperlink r:id="rId5916" ref="T2959"/>
    <hyperlink r:id="rId5917" ref="P2960"/>
    <hyperlink r:id="rId5918" ref="T2960"/>
    <hyperlink r:id="rId5919" ref="P2961"/>
    <hyperlink r:id="rId5920" ref="T2961"/>
    <hyperlink r:id="rId5921" ref="P2962"/>
    <hyperlink r:id="rId5922" ref="T2962"/>
    <hyperlink r:id="rId5923" ref="P2963"/>
    <hyperlink r:id="rId5924" ref="T2963"/>
    <hyperlink r:id="rId5925" ref="P2964"/>
    <hyperlink r:id="rId5926" ref="T2964"/>
    <hyperlink r:id="rId5927" ref="P2965"/>
    <hyperlink r:id="rId5928" ref="T2965"/>
    <hyperlink r:id="rId5929" ref="P2966"/>
    <hyperlink r:id="rId5930" ref="T2966"/>
    <hyperlink r:id="rId5931" ref="P2967"/>
    <hyperlink r:id="rId5932" ref="T2967"/>
    <hyperlink r:id="rId5933" ref="P2968"/>
    <hyperlink r:id="rId5934" ref="T2968"/>
    <hyperlink r:id="rId5935" ref="P2969"/>
    <hyperlink r:id="rId5936" ref="T2969"/>
    <hyperlink r:id="rId5937" ref="P2970"/>
    <hyperlink r:id="rId5938" ref="T2970"/>
    <hyperlink r:id="rId5939" ref="P2971"/>
    <hyperlink r:id="rId5940" ref="T2971"/>
    <hyperlink r:id="rId5941" ref="P2972"/>
    <hyperlink r:id="rId5942" ref="T2972"/>
    <hyperlink r:id="rId5943" ref="P2973"/>
    <hyperlink r:id="rId5944" ref="T2973"/>
    <hyperlink r:id="rId5945" ref="P2974"/>
    <hyperlink r:id="rId5946" ref="T2974"/>
    <hyperlink r:id="rId5947" ref="P2975"/>
    <hyperlink r:id="rId5948" ref="T2975"/>
    <hyperlink r:id="rId5949" ref="P2976"/>
    <hyperlink r:id="rId5950" ref="T2976"/>
    <hyperlink r:id="rId5951" ref="P2977"/>
    <hyperlink r:id="rId5952" ref="T2977"/>
    <hyperlink r:id="rId5953" ref="P2978"/>
    <hyperlink r:id="rId5954" ref="T2978"/>
    <hyperlink r:id="rId5955" ref="P2979"/>
    <hyperlink r:id="rId5956" ref="T2979"/>
    <hyperlink r:id="rId5957" ref="P2980"/>
    <hyperlink r:id="rId5958" ref="T2980"/>
    <hyperlink r:id="rId5959" ref="P2981"/>
    <hyperlink r:id="rId5960" ref="T2981"/>
    <hyperlink r:id="rId5961" ref="P2982"/>
    <hyperlink r:id="rId5962" ref="T2982"/>
    <hyperlink r:id="rId5963" ref="P2983"/>
    <hyperlink r:id="rId5964" ref="T2983"/>
    <hyperlink r:id="rId5965" ref="P2984"/>
    <hyperlink r:id="rId5966" ref="T2984"/>
    <hyperlink r:id="rId5967" ref="P2985"/>
    <hyperlink r:id="rId5968" ref="T2985"/>
    <hyperlink r:id="rId5969" ref="P2986"/>
    <hyperlink r:id="rId5970" ref="T2986"/>
    <hyperlink r:id="rId5971" ref="P2987"/>
    <hyperlink r:id="rId5972" ref="T2987"/>
    <hyperlink r:id="rId5973" ref="P2988"/>
    <hyperlink r:id="rId5974" ref="T2988"/>
    <hyperlink r:id="rId5975" ref="P2989"/>
    <hyperlink r:id="rId5976" ref="T2989"/>
    <hyperlink r:id="rId5977" ref="P2990"/>
    <hyperlink r:id="rId5978" ref="T2990"/>
    <hyperlink r:id="rId5979" ref="P2991"/>
    <hyperlink r:id="rId5980" ref="T2991"/>
    <hyperlink r:id="rId5981" ref="P2992"/>
    <hyperlink r:id="rId5982" ref="T2992"/>
    <hyperlink r:id="rId5983" ref="P2993"/>
    <hyperlink r:id="rId5984" ref="T2993"/>
    <hyperlink r:id="rId5985" ref="P2994"/>
    <hyperlink r:id="rId5986" ref="T2994"/>
    <hyperlink r:id="rId5987" ref="P2995"/>
    <hyperlink r:id="rId5988" ref="T2995"/>
    <hyperlink r:id="rId5989" ref="P2996"/>
    <hyperlink r:id="rId5990" ref="T2996"/>
    <hyperlink r:id="rId5991" ref="P2997"/>
    <hyperlink r:id="rId5992" ref="T2997"/>
    <hyperlink r:id="rId5993" ref="P2998"/>
    <hyperlink r:id="rId5994" ref="T2998"/>
    <hyperlink r:id="rId5995" ref="P2999"/>
    <hyperlink r:id="rId5996" ref="T2999"/>
    <hyperlink r:id="rId5997" ref="P3000"/>
    <hyperlink r:id="rId5998" ref="T3000"/>
    <hyperlink r:id="rId5999" ref="P3001"/>
    <hyperlink r:id="rId6000" ref="T3001"/>
    <hyperlink r:id="rId6001" ref="P3002"/>
    <hyperlink r:id="rId6002" ref="T3002"/>
    <hyperlink r:id="rId6003" ref="P3003"/>
    <hyperlink r:id="rId6004" ref="T3003"/>
    <hyperlink r:id="rId6005" ref="P3004"/>
    <hyperlink r:id="rId6006" ref="T3004"/>
    <hyperlink r:id="rId6007" ref="P3005"/>
    <hyperlink r:id="rId6008" ref="T3005"/>
    <hyperlink r:id="rId6009" ref="P3006"/>
    <hyperlink r:id="rId6010" ref="T3006"/>
    <hyperlink r:id="rId6011" ref="P3007"/>
    <hyperlink r:id="rId6012" ref="T3007"/>
    <hyperlink r:id="rId6013" ref="P3008"/>
    <hyperlink r:id="rId6014" ref="T3008"/>
  </hyperlinks>
  <drawing r:id="rId60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17.13"/>
  </cols>
  <sheetData>
    <row r="1"/>
    <row r="2"/>
    <row r="3"/>
    <row r="4"/>
    <row r="5"/>
    <row r="6"/>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4"/>
    <row r="5"/>
    <row r="6"/>
    <row r="7"/>
    <row r="8"/>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sheetData>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10.13"/>
    <col customWidth="1" min="4" max="6" width="5.0"/>
    <col customWidth="1" min="7" max="7" width="14.5"/>
    <col customWidth="1" min="8" max="8" width="4.5"/>
    <col customWidth="1" min="9" max="9" width="18.5"/>
    <col customWidth="1" min="10" max="10" width="17.38"/>
    <col customWidth="1" min="11" max="11" width="29.0"/>
    <col customWidth="1" min="12" max="12" width="7.0"/>
    <col customWidth="1" hidden="1" min="13" max="13" width="6.38"/>
  </cols>
  <sheetData>
    <row r="1" ht="24.0" customHeight="1">
      <c r="A1" s="64"/>
      <c r="B1" s="65" t="s">
        <v>18241</v>
      </c>
      <c r="C1" s="66" t="str">
        <f>IFERROR(__xludf.DUMMYFUNCTION("IF(Summary!sCalc=""On"",QUERY(Archive!B:M,"" Select B, COUNT(J)  WHERE B &lt;&gt; '' GROUP BY B ORDER BY COUNT(J) desc LABEL B 'Top Tweeters', COUNT(J) 'No.'"",TRUE),SPLIT(""Top Tweeters,No."","",""))"),"Top Tweeters")</f>
        <v>Top Tweeters</v>
      </c>
      <c r="D1" s="67" t="str">
        <f>IFERROR(__xludf.DUMMYFUNCTION("""COMPUTED_VALUE"""),"No.")</f>
        <v>No.</v>
      </c>
      <c r="E1" s="68" t="s">
        <v>18242</v>
      </c>
      <c r="F1" s="69" t="s">
        <v>18243</v>
      </c>
      <c r="G1" s="68" t="s">
        <v>18244</v>
      </c>
      <c r="H1" s="64"/>
      <c r="K1" s="70" t="s">
        <v>18245</v>
      </c>
      <c r="L1" s="70" t="s">
        <v>18246</v>
      </c>
      <c r="M1" s="71" t="s">
        <v>18247</v>
      </c>
    </row>
    <row r="2" ht="22.5" customHeight="1">
      <c r="A2" s="64"/>
      <c r="B2" s="72" t="str">
        <f t="array" ref="B2:B2715">IF(Summary!sCalc="On",IF(LEN(C2:C2715)&gt;0,HYPERLINK("http://hawksey.info/tagsexplorer/arc.html?key="&amp;getSheetKey()&amp;"&amp;gid="&amp;getSheetGID()&amp;"&amp;screenname="&amp;C2:C2715, "Link"),""),"")</f>
        <v>Link</v>
      </c>
      <c r="C2" s="73" t="str">
        <f>IFERROR(__xludf.DUMMYFUNCTION("""COMPUTED_VALUE"""),"007dnf")</f>
        <v>007dnf</v>
      </c>
      <c r="D2" s="74">
        <f>IFERROR(__xludf.DUMMYFUNCTION("""COMPUTED_VALUE"""),0.0)</f>
        <v>0</v>
      </c>
      <c r="E2" s="75" t="str">
        <f>IFERROR(__xludf.DUMMYFUNCTION("IF(LEN(C2)=0,"""",QUERY(Archive!C:C,""Select COUNT(C) WHERE lower(C) contains '""&amp;LOWER(C2)&amp;""' LABEL COUNT(C) ''""))"),"#N/A")</f>
        <v>#N/A</v>
      </c>
      <c r="F2" s="76" t="str">
        <f>IFERROR(__xludf.DUMMYFUNCTION("IF(LEN(C2)=0,"""",QUERY(Archive!B:C,""Select COUNT(B) WHERE C starts with 'RT' AND B ='""&amp;C2&amp;""' LABEL COUNT(B) ''"")/D2)"),"#N/A")</f>
        <v>#N/A</v>
      </c>
      <c r="G2" s="77" t="str">
        <f>IFERROR(__xludf.DUMMYFUNCTION("IF(LEN(C2)=0,"""",SPARKLINE(FREQUENCY(FILTER(Archive!H:H,Archive!B:B=C2),M$2:M$21)))"),"")</f>
        <v/>
      </c>
      <c r="H2" s="64"/>
      <c r="I2" s="78" t="s">
        <v>18248</v>
      </c>
      <c r="J2" s="79">
        <f t="array" ref="J2">IF(Summary!sCalc="On",SUM(IF(ISERROR(FIND("https://",LOWER(Archive!C:C))),0,1)),"")</f>
        <v>834</v>
      </c>
      <c r="K2" s="64"/>
      <c r="L2" s="64"/>
      <c r="M2">
        <f>ROUNDDOWN(J6)</f>
        <v>44682</v>
      </c>
    </row>
    <row r="3" ht="22.5" customHeight="1">
      <c r="A3" s="64"/>
      <c r="B3" s="80" t="s">
        <v>18249</v>
      </c>
      <c r="C3" s="81" t="str">
        <f>IFERROR(__xludf.DUMMYFUNCTION("""COMPUTED_VALUE"""),"100_maincove")</f>
        <v>100_maincove</v>
      </c>
      <c r="D3" s="75">
        <f>IFERROR(__xludf.DUMMYFUNCTION("""COMPUTED_VALUE"""),0.0)</f>
        <v>0</v>
      </c>
      <c r="E3" s="75" t="str">
        <f>IFERROR(__xludf.DUMMYFUNCTION("IF(LEN(C3)=0,"""",QUERY(Archive!C:C,""Select COUNT(C) WHERE lower(C) contains '""&amp;LOWER(C3)&amp;""' LABEL COUNT(C) ''""))"),"#N/A")</f>
        <v>#N/A</v>
      </c>
      <c r="F3" s="76" t="str">
        <f>IFERROR(__xludf.DUMMYFUNCTION("IF(LEN(C3)=0,"""",QUERY(Archive!B:C,""Select COUNT(B) WHERE C starts with 'RT' AND B ='""&amp;C3&amp;""' LABEL COUNT(B) ''"")/D3)"),"#N/A")</f>
        <v>#N/A</v>
      </c>
      <c r="G3" s="77" t="str">
        <f>IFERROR(__xludf.DUMMYFUNCTION("IF(LEN(C3)=0,"""",SPARKLINE(FREQUENCY(FILTER(Archive!H:H,Archive!B:B=C3),M$2:M$21)))"),"")</f>
        <v/>
      </c>
      <c r="H3" s="64"/>
      <c r="I3" s="78" t="s">
        <v>18250</v>
      </c>
      <c r="J3" s="79">
        <f t="array" ref="J3">IF(Summary!sCalc="On",SUM(IF(ISERROR(FIND("RT",Archive!C:C)),0,1)),"")</f>
        <v>2560</v>
      </c>
      <c r="K3" s="82" t="s">
        <v>18251</v>
      </c>
      <c r="L3" s="64"/>
      <c r="M3">
        <f t="shared" ref="M3:M20" si="1">(M$21-M$2)/20*(ROW()-1)+M$2</f>
        <v>44682.1</v>
      </c>
    </row>
    <row r="4" ht="22.5" customHeight="1">
      <c r="A4" s="64"/>
      <c r="B4" s="80" t="s">
        <v>18249</v>
      </c>
      <c r="C4" s="81" t="str">
        <f>IFERROR(__xludf.DUMMYFUNCTION("""COMPUTED_VALUE"""),"100pctcocoa")</f>
        <v>100pctcocoa</v>
      </c>
      <c r="D4" s="75">
        <f>IFERROR(__xludf.DUMMYFUNCTION("""COMPUTED_VALUE"""),0.0)</f>
        <v>0</v>
      </c>
      <c r="E4" s="75" t="str">
        <f>IFERROR(__xludf.DUMMYFUNCTION("IF(LEN(C4)=0,"""",QUERY(Archive!C:C,""Select COUNT(C) WHERE lower(C) contains '""&amp;LOWER(C4)&amp;""' LABEL COUNT(C) ''""))"),"#N/A")</f>
        <v>#N/A</v>
      </c>
      <c r="F4" s="76" t="str">
        <f>IFERROR(__xludf.DUMMYFUNCTION("IF(LEN(C4)=0,"""",QUERY(Archive!B:C,""Select COUNT(B) WHERE C starts with 'RT' AND B ='""&amp;C4&amp;""' LABEL COUNT(B) ''"")/D4)"),"#DIV/0!")</f>
        <v>#DIV/0!</v>
      </c>
      <c r="G4" s="77" t="str">
        <f>IFERROR(__xludf.DUMMYFUNCTION("IF(LEN(C4)=0,"""",SPARKLINE(FREQUENCY(FILTER(Archive!H:H,Archive!B:B=C4),M$2:M$21)))"),"")</f>
        <v/>
      </c>
      <c r="H4" s="64"/>
      <c r="I4" s="78" t="s">
        <v>23</v>
      </c>
      <c r="J4" s="79">
        <f>IF(Summary!sCalc="On",COUNTA(Archive!A:A)-1,"")</f>
        <v>3007</v>
      </c>
      <c r="K4" s="64"/>
      <c r="L4" s="64"/>
      <c r="M4">
        <f t="shared" si="1"/>
        <v>44682.15</v>
      </c>
    </row>
    <row r="5" ht="22.5" customHeight="1">
      <c r="A5" s="64"/>
      <c r="B5" s="80" t="s">
        <v>18249</v>
      </c>
      <c r="C5" s="81" t="str">
        <f>IFERROR(__xludf.DUMMYFUNCTION("""COMPUTED_VALUE"""),"1066cariad")</f>
        <v>1066cariad</v>
      </c>
      <c r="D5" s="75">
        <f>IFERROR(__xludf.DUMMYFUNCTION("""COMPUTED_VALUE"""),0.0)</f>
        <v>0</v>
      </c>
      <c r="E5" s="75" t="str">
        <f>IFERROR(__xludf.DUMMYFUNCTION("IF(LEN(C5)=0,"""",QUERY(Archive!C:C,""Select COUNT(C) WHERE lower(C) contains '""&amp;LOWER(C5)&amp;""' LABEL COUNT(C) ''""))"),"#N/A")</f>
        <v>#N/A</v>
      </c>
      <c r="F5" s="76" t="str">
        <f>IFERROR(__xludf.DUMMYFUNCTION("IF(LEN(C5)=0,"""",QUERY(Archive!B:C,""Select COUNT(B) WHERE C starts with 'RT' AND B ='""&amp;C5&amp;""' LABEL COUNT(B) ''"")/D5)"),"#DIV/0!")</f>
        <v>#DIV/0!</v>
      </c>
      <c r="G5" s="77" t="str">
        <f>IFERROR(__xludf.DUMMYFUNCTION("IF(LEN(C5)=0,"""",SPARKLINE(FREQUENCY(FILTER(Archive!H:H,Archive!B:B=C5),M$2:M$21)))"),"")</f>
        <v/>
      </c>
      <c r="H5" s="64"/>
      <c r="I5" s="78" t="s">
        <v>24</v>
      </c>
      <c r="J5" s="79">
        <f>IFERROR(__xludf.DUMMYFUNCTION("IF(Summary!sCalc=""On"",COUNTA(UNIQUE(Archive!A:A))-1,"""")"),3006.0)</f>
        <v>3006</v>
      </c>
      <c r="K5" s="82" t="s">
        <v>18252</v>
      </c>
      <c r="L5" s="64"/>
      <c r="M5">
        <f t="shared" si="1"/>
        <v>44682.2</v>
      </c>
    </row>
    <row r="6" ht="22.5" customHeight="1">
      <c r="A6" s="64"/>
      <c r="B6" s="80" t="s">
        <v>18249</v>
      </c>
      <c r="C6" s="81" t="str">
        <f>IFERROR(__xludf.DUMMYFUNCTION("""COMPUTED_VALUE"""),"10_000BC")</f>
        <v>10_000BC</v>
      </c>
      <c r="D6" s="75">
        <f>IFERROR(__xludf.DUMMYFUNCTION("""COMPUTED_VALUE"""),0.0)</f>
        <v>0</v>
      </c>
      <c r="E6" s="75">
        <f>IFERROR(__xludf.DUMMYFUNCTION("IF(LEN(C6)=0,"""",QUERY(Archive!C:C,""Select COUNT(C) WHERE lower(C) contains '""&amp;LOWER(C6)&amp;""' LABEL COUNT(C) ''""))"),1.0)</f>
        <v>1</v>
      </c>
      <c r="F6" s="76" t="str">
        <f>IFERROR(__xludf.DUMMYFUNCTION("IF(LEN(C6)=0,"""",QUERY(Archive!B:C,""Select COUNT(B) WHERE C starts with 'RT' AND B ='""&amp;C6&amp;""' LABEL COUNT(B) ''"")/D6)"),"#N/A")</f>
        <v>#N/A</v>
      </c>
      <c r="G6" s="77" t="str">
        <f>IFERROR(__xludf.DUMMYFUNCTION("IF(LEN(C6)=0,"""",SPARKLINE(FREQUENCY(FILTER(Archive!H:H,Archive!B:B=C6),M$2:M$21)))"),"")</f>
        <v/>
      </c>
      <c r="H6" s="64"/>
      <c r="I6" s="78" t="s">
        <v>18253</v>
      </c>
      <c r="J6" s="83">
        <f>IF(Summary!sCalc="On",MIN(Archive!H:H),"")</f>
        <v>44682.94916</v>
      </c>
      <c r="K6" s="82" t="s">
        <v>18254</v>
      </c>
      <c r="L6" s="64"/>
      <c r="M6">
        <f t="shared" si="1"/>
        <v>44682.25</v>
      </c>
    </row>
    <row r="7" ht="22.5" customHeight="1">
      <c r="A7" s="64"/>
      <c r="B7" s="80" t="s">
        <v>18249</v>
      </c>
      <c r="C7" s="81" t="str">
        <f>IFERROR(__xludf.DUMMYFUNCTION("""COMPUTED_VALUE"""),"16Sharkey")</f>
        <v>16Sharkey</v>
      </c>
      <c r="D7" s="75">
        <f>IFERROR(__xludf.DUMMYFUNCTION("""COMPUTED_VALUE"""),0.0)</f>
        <v>0</v>
      </c>
      <c r="E7" s="75" t="str">
        <f>IFERROR(__xludf.DUMMYFUNCTION("IF(LEN(C7)=0,"""",QUERY(Archive!C:C,""Select COUNT(C) WHERE lower(C) contains '""&amp;LOWER(C7)&amp;""' LABEL COUNT(C) ''""))"),"#N/A")</f>
        <v>#N/A</v>
      </c>
      <c r="F7" s="76" t="str">
        <f>IFERROR(__xludf.DUMMYFUNCTION("IF(LEN(C7)=0,"""",QUERY(Archive!B:C,""Select COUNT(B) WHERE C starts with 'RT' AND B ='""&amp;C7&amp;""' LABEL COUNT(B) ''"")/D7)"),"#DIV/0!")</f>
        <v>#DIV/0!</v>
      </c>
      <c r="G7" s="77" t="str">
        <f>IFERROR(__xludf.DUMMYFUNCTION("IF(LEN(C7)=0,"""",SPARKLINE(FREQUENCY(FILTER(Archive!H:H,Archive!B:B=C7),M$2:M$21)))"),"")</f>
        <v/>
      </c>
      <c r="H7" s="64"/>
      <c r="I7" s="78" t="s">
        <v>18255</v>
      </c>
      <c r="J7" s="83">
        <f>IF(Summary!sCalc="On",MAX(Archive!H:H),"")</f>
        <v>44683.47786</v>
      </c>
      <c r="K7" s="82" t="s">
        <v>18254</v>
      </c>
      <c r="L7" s="64"/>
      <c r="M7">
        <f t="shared" si="1"/>
        <v>44682.3</v>
      </c>
    </row>
    <row r="8" ht="22.5" customHeight="1">
      <c r="A8" s="64"/>
      <c r="B8" s="80" t="s">
        <v>18249</v>
      </c>
      <c r="C8" s="81" t="str">
        <f>IFERROR(__xludf.DUMMYFUNCTION("""COMPUTED_VALUE"""),"1949jack")</f>
        <v>1949jack</v>
      </c>
      <c r="D8" s="75">
        <f>IFERROR(__xludf.DUMMYFUNCTION("""COMPUTED_VALUE"""),0.0)</f>
        <v>0</v>
      </c>
      <c r="E8" s="75" t="str">
        <f>IFERROR(__xludf.DUMMYFUNCTION("IF(LEN(C8)=0,"""",QUERY(Archive!C:C,""Select COUNT(C) WHERE lower(C) contains '""&amp;LOWER(C8)&amp;""' LABEL COUNT(C) ''""))"),"#N/A")</f>
        <v>#N/A</v>
      </c>
      <c r="F8" s="76" t="str">
        <f>IFERROR(__xludf.DUMMYFUNCTION("IF(LEN(C8)=0,"""",QUERY(Archive!B:C,""Select COUNT(B) WHERE C starts with 'RT' AND B ='""&amp;C8&amp;""' LABEL COUNT(B) ''"")/D8)"),"#DIV/0!")</f>
        <v>#DIV/0!</v>
      </c>
      <c r="G8" s="77" t="str">
        <f>IFERROR(__xludf.DUMMYFUNCTION("IF(LEN(C8)=0,"""",SPARKLINE(FREQUENCY(FILTER(Archive!H:H,Archive!B:B=C8),M$2:M$21)))"),"")</f>
        <v/>
      </c>
      <c r="H8" s="64"/>
      <c r="I8" s="78" t="s">
        <v>18256</v>
      </c>
      <c r="J8" s="79">
        <f>IF(Summary!sCalc="On",COUNTA(Archive!N:N)-1,"")</f>
        <v>199</v>
      </c>
      <c r="K8" s="64"/>
      <c r="L8" s="64"/>
      <c r="M8">
        <f t="shared" si="1"/>
        <v>44682.35</v>
      </c>
    </row>
    <row r="9" ht="22.5" customHeight="1">
      <c r="A9" s="64"/>
      <c r="B9" s="80" t="s">
        <v>18249</v>
      </c>
      <c r="C9" s="81" t="str">
        <f>IFERROR(__xludf.DUMMYFUNCTION("""COMPUTED_VALUE"""),"1973GJWEcon")</f>
        <v>1973GJWEcon</v>
      </c>
      <c r="D9" s="75">
        <f>IFERROR(__xludf.DUMMYFUNCTION("""COMPUTED_VALUE"""),0.0)</f>
        <v>0</v>
      </c>
      <c r="E9" s="75" t="str">
        <f>IFERROR(__xludf.DUMMYFUNCTION("IF(LEN(C9)=0,"""",QUERY(Archive!C:C,""Select COUNT(C) WHERE lower(C) contains '""&amp;LOWER(C9)&amp;""' LABEL COUNT(C) ''""))"),"#N/A")</f>
        <v>#N/A</v>
      </c>
      <c r="F9" s="76" t="str">
        <f>IFERROR(__xludf.DUMMYFUNCTION("IF(LEN(C9)=0,"""",QUERY(Archive!B:C,""Select COUNT(B) WHERE C starts with 'RT' AND B ='""&amp;C9&amp;""' LABEL COUNT(B) ''"")/D9)"),"#N/A")</f>
        <v>#N/A</v>
      </c>
      <c r="G9" s="77" t="str">
        <f>IFERROR(__xludf.DUMMYFUNCTION("IF(LEN(C9)=0,"""",SPARKLINE(FREQUENCY(FILTER(Archive!H:H,Archive!B:B=C9),M$2:M$21)))"),"")</f>
        <v/>
      </c>
      <c r="H9" s="64"/>
      <c r="I9" s="78" t="s">
        <v>18257</v>
      </c>
      <c r="J9" s="79">
        <f t="array" ref="J9">IF(Summary!sCalc="On",COUNTIF(LEFT(Archive!C:C,1),"@"),"")</f>
        <v>198</v>
      </c>
      <c r="K9" s="64"/>
      <c r="L9" s="64"/>
      <c r="M9">
        <f t="shared" si="1"/>
        <v>44682.4</v>
      </c>
    </row>
    <row r="10" ht="22.5" customHeight="1">
      <c r="A10" s="64"/>
      <c r="B10" s="80" t="s">
        <v>18249</v>
      </c>
      <c r="C10" s="81" t="str">
        <f>IFERROR(__xludf.DUMMYFUNCTION("""COMPUTED_VALUE"""),"1karenannwalker")</f>
        <v>1karenannwalker</v>
      </c>
      <c r="D10" s="75">
        <f>IFERROR(__xludf.DUMMYFUNCTION("""COMPUTED_VALUE"""),0.0)</f>
        <v>0</v>
      </c>
      <c r="E10" s="75" t="str">
        <f>IFERROR(__xludf.DUMMYFUNCTION("IF(LEN(C10)=0,"""",QUERY(Archive!C:C,""Select COUNT(C) WHERE lower(C) contains '""&amp;LOWER(C10)&amp;""' LABEL COUNT(C) ''""))"),"#N/A")</f>
        <v>#N/A</v>
      </c>
      <c r="F10" s="76" t="str">
        <f>IFERROR(__xludf.DUMMYFUNCTION("IF(LEN(C10)=0,"""",QUERY(Archive!B:C,""Select COUNT(B) WHERE C starts with 'RT' AND B ='""&amp;C10&amp;""' LABEL COUNT(B) ''"")/D10)"),"#DIV/0!")</f>
        <v>#DIV/0!</v>
      </c>
      <c r="G10" s="77" t="str">
        <f>IFERROR(__xludf.DUMMYFUNCTION("IF(LEN(C10)=0,"""",SPARKLINE(FREQUENCY(FILTER(Archive!H:H,Archive!B:B=C10),M$2:M$21)))"),"")</f>
        <v/>
      </c>
      <c r="H10" s="64"/>
      <c r="I10" s="78" t="s">
        <v>18258</v>
      </c>
      <c r="J10" s="79">
        <f>IF(Summary!sCalc="On",COUNTIF(Archive!H:H,"&gt;"&amp;J7-1/24/60*10)/10,"")</f>
        <v>1.5</v>
      </c>
      <c r="K10" s="82" t="s">
        <v>18259</v>
      </c>
      <c r="L10" s="64"/>
      <c r="M10">
        <f t="shared" si="1"/>
        <v>44682.45</v>
      </c>
    </row>
    <row r="11" ht="22.5" customHeight="1">
      <c r="A11" s="64"/>
      <c r="B11" s="80" t="s">
        <v>18249</v>
      </c>
      <c r="C11" s="81" t="str">
        <f>IFERROR(__xludf.DUMMYFUNCTION("""COMPUTED_VALUE"""),"2busy2bhere")</f>
        <v>2busy2bhere</v>
      </c>
      <c r="D11" s="75">
        <f>IFERROR(__xludf.DUMMYFUNCTION("""COMPUTED_VALUE"""),0.0)</f>
        <v>0</v>
      </c>
      <c r="E11" s="75" t="str">
        <f>IFERROR(__xludf.DUMMYFUNCTION("IF(LEN(C11)=0,"""",QUERY(Archive!C:C,""Select COUNT(C) WHERE lower(C) contains '""&amp;LOWER(C11)&amp;""' LABEL COUNT(C) ''""))"),"#N/A")</f>
        <v>#N/A</v>
      </c>
      <c r="F11" s="76" t="str">
        <f>IFERROR(__xludf.DUMMYFUNCTION("IF(LEN(C11)=0,"""",QUERY(Archive!B:C,""Select COUNT(B) WHERE C starts with 'RT' AND B ='""&amp;C11&amp;""' LABEL COUNT(B) ''"")/D11)"),"#DIV/0!")</f>
        <v>#DIV/0!</v>
      </c>
      <c r="G11" s="77" t="str">
        <f>IFERROR(__xludf.DUMMYFUNCTION("IF(LEN(C11)=0,"""",SPARKLINE(FREQUENCY(FILTER(Archive!H:H,Archive!B:B=C11),M$2:M$21)))"),"")</f>
        <v/>
      </c>
      <c r="H11" s="64"/>
      <c r="I11" s="84"/>
      <c r="J11" s="64"/>
      <c r="K11" s="64"/>
      <c r="L11" s="64"/>
      <c r="M11">
        <f t="shared" si="1"/>
        <v>44682.5</v>
      </c>
    </row>
    <row r="12" ht="22.5" customHeight="1">
      <c r="A12" s="64"/>
      <c r="B12" s="80" t="s">
        <v>18249</v>
      </c>
      <c r="C12" s="81" t="str">
        <f>IFERROR(__xludf.DUMMYFUNCTION("""COMPUTED_VALUE"""),"2niteNetwork")</f>
        <v>2niteNetwork</v>
      </c>
      <c r="D12" s="75">
        <f>IFERROR(__xludf.DUMMYFUNCTION("""COMPUTED_VALUE"""),0.0)</f>
        <v>0</v>
      </c>
      <c r="E12" s="75" t="str">
        <f>IFERROR(__xludf.DUMMYFUNCTION("IF(LEN(C12)=0,"""",QUERY(Archive!C:C,""Select COUNT(C) WHERE lower(C) contains '""&amp;LOWER(C12)&amp;""' LABEL COUNT(C) ''""))"),"#N/A")</f>
        <v>#N/A</v>
      </c>
      <c r="F12" s="76" t="str">
        <f>IFERROR(__xludf.DUMMYFUNCTION("IF(LEN(C12)=0,"""",QUERY(Archive!B:C,""Select COUNT(B) WHERE C starts with 'RT' AND B ='""&amp;C12&amp;""' LABEL COUNT(B) ''"")/D12)"),"#N/A")</f>
        <v>#N/A</v>
      </c>
      <c r="G12" s="77" t="str">
        <f>IFERROR(__xludf.DUMMYFUNCTION("IF(LEN(C12)=0,"""",SPARKLINE(FREQUENCY(FILTER(Archive!H:H,Archive!B:B=C12),M$2:M$21)))"),"")</f>
        <v/>
      </c>
      <c r="H12" s="64"/>
      <c r="I12" s="78"/>
      <c r="J12" s="85"/>
      <c r="K12" s="86"/>
      <c r="L12" s="86"/>
      <c r="M12">
        <f t="shared" si="1"/>
        <v>44682.55</v>
      </c>
    </row>
    <row r="13" ht="22.5" customHeight="1">
      <c r="A13" s="64"/>
      <c r="B13" s="80" t="s">
        <v>18249</v>
      </c>
      <c r="C13" s="81" t="str">
        <f>IFERROR(__xludf.DUMMYFUNCTION("""COMPUTED_VALUE"""),"2xDutch31")</f>
        <v>2xDutch31</v>
      </c>
      <c r="D13" s="75">
        <f>IFERROR(__xludf.DUMMYFUNCTION("""COMPUTED_VALUE"""),0.0)</f>
        <v>0</v>
      </c>
      <c r="E13" s="75" t="str">
        <f>IFERROR(__xludf.DUMMYFUNCTION("IF(LEN(C13)=0,"""",QUERY(Archive!C:C,""Select COUNT(C) WHERE lower(C) contains '""&amp;LOWER(C13)&amp;""' LABEL COUNT(C) ''""))"),"#N/A")</f>
        <v>#N/A</v>
      </c>
      <c r="F13" s="76" t="str">
        <f>IFERROR(__xludf.DUMMYFUNCTION("IF(LEN(C13)=0,"""",QUERY(Archive!B:C,""Select COUNT(B) WHERE C starts with 'RT' AND B ='""&amp;C13&amp;""' LABEL COUNT(B) ''"")/D13)"),"#N/A")</f>
        <v>#N/A</v>
      </c>
      <c r="G13" s="77" t="str">
        <f>IFERROR(__xludf.DUMMYFUNCTION("IF(LEN(C13)=0,"""",SPARKLINE(FREQUENCY(FILTER(Archive!H:H,Archive!B:B=C13),M$2:M$21)))"),"")</f>
        <v/>
      </c>
      <c r="H13" s="64"/>
      <c r="I13" s="78"/>
      <c r="J13" s="87"/>
      <c r="K13" s="86"/>
      <c r="L13" s="86"/>
      <c r="M13">
        <f t="shared" si="1"/>
        <v>44682.6</v>
      </c>
    </row>
    <row r="14" ht="22.5" customHeight="1">
      <c r="A14" s="64"/>
      <c r="B14" s="80" t="s">
        <v>18249</v>
      </c>
      <c r="C14" s="81" t="str">
        <f>IFERROR(__xludf.DUMMYFUNCTION("""COMPUTED_VALUE"""),"3811015")</f>
        <v>3811015</v>
      </c>
      <c r="D14" s="75">
        <f>IFERROR(__xludf.DUMMYFUNCTION("""COMPUTED_VALUE"""),0.0)</f>
        <v>0</v>
      </c>
      <c r="E14" s="75" t="str">
        <f>IFERROR(__xludf.DUMMYFUNCTION("IF(LEN(C14)=0,"""",QUERY(Archive!C:C,""Select COUNT(C) WHERE lower(C) contains '""&amp;LOWER(C14)&amp;""' LABEL COUNT(C) ''""))"),"#N/A")</f>
        <v>#N/A</v>
      </c>
      <c r="F14" s="76" t="str">
        <f>IFERROR(__xludf.DUMMYFUNCTION("IF(LEN(C14)=0,"""",QUERY(Archive!B:C,""Select COUNT(B) WHERE C starts with 'RT' AND B ='""&amp;C14&amp;""' LABEL COUNT(B) ''"")/D14)"),"#DIV/0!")</f>
        <v>#DIV/0!</v>
      </c>
      <c r="G14" s="77" t="str">
        <f>IFERROR(__xludf.DUMMYFUNCTION("IF(LEN(C14)=0,"""",SPARKLINE(FREQUENCY(FILTER(Archive!H:H,Archive!B:B=C14),M$2:M$21)))"),"")</f>
        <v/>
      </c>
      <c r="H14" s="64"/>
      <c r="I14" s="84"/>
      <c r="J14" s="87"/>
      <c r="K14" s="88"/>
      <c r="L14" s="88"/>
      <c r="M14">
        <f t="shared" si="1"/>
        <v>44682.65</v>
      </c>
    </row>
    <row r="15" ht="22.5" customHeight="1">
      <c r="A15" s="64"/>
      <c r="B15" s="80" t="s">
        <v>18249</v>
      </c>
      <c r="C15" s="81" t="str">
        <f>IFERROR(__xludf.DUMMYFUNCTION("""COMPUTED_VALUE"""),"3d3dave")</f>
        <v>3d3dave</v>
      </c>
      <c r="D15" s="75">
        <f>IFERROR(__xludf.DUMMYFUNCTION("""COMPUTED_VALUE"""),0.0)</f>
        <v>0</v>
      </c>
      <c r="E15" s="75" t="str">
        <f>IFERROR(__xludf.DUMMYFUNCTION("IF(LEN(C15)=0,"""",QUERY(Archive!C:C,""Select COUNT(C) WHERE lower(C) contains '""&amp;LOWER(C15)&amp;""' LABEL COUNT(C) ''""))"),"#N/A")</f>
        <v>#N/A</v>
      </c>
      <c r="F15" s="76" t="str">
        <f>IFERROR(__xludf.DUMMYFUNCTION("IF(LEN(C15)=0,"""",QUERY(Archive!B:C,""Select COUNT(B) WHERE C starts with 'RT' AND B ='""&amp;C15&amp;""' LABEL COUNT(B) ''"")/D15)"),"#DIV/0!")</f>
        <v>#DIV/0!</v>
      </c>
      <c r="G15" s="77" t="str">
        <f>IFERROR(__xludf.DUMMYFUNCTION("IF(LEN(C15)=0,"""",SPARKLINE(FREQUENCY(FILTER(Archive!H:H,Archive!B:B=C15),M$2:M$21)))"),"")</f>
        <v/>
      </c>
      <c r="H15" s="64"/>
      <c r="I15" s="78" t="s">
        <v>18260</v>
      </c>
      <c r="J15" s="38" t="str">
        <f>HYPERLINK("http://hawksey.info/tagsexplorer/?key="&amp;getSheetKey(ReadmeSettings!B6)&amp;"&amp;gid="&amp;getSheetGID(), "TAGSExplorer")</f>
        <v>TAGSExplorer</v>
      </c>
      <c r="K15" s="82" t="s">
        <v>30</v>
      </c>
      <c r="L15" s="88"/>
      <c r="M15">
        <f t="shared" si="1"/>
        <v>44682.7</v>
      </c>
    </row>
    <row r="16" ht="22.5" customHeight="1">
      <c r="A16" s="64"/>
      <c r="B16" s="80" t="s">
        <v>18249</v>
      </c>
      <c r="C16" s="81" t="str">
        <f>IFERROR(__xludf.DUMMYFUNCTION("""COMPUTED_VALUE"""),"41below")</f>
        <v>41below</v>
      </c>
      <c r="D16" s="75">
        <f>IFERROR(__xludf.DUMMYFUNCTION("""COMPUTED_VALUE"""),0.0)</f>
        <v>0</v>
      </c>
      <c r="E16" s="75" t="str">
        <f>IFERROR(__xludf.DUMMYFUNCTION("IF(LEN(C16)=0,"""",QUERY(Archive!C:C,""Select COUNT(C) WHERE lower(C) contains '""&amp;LOWER(C16)&amp;""' LABEL COUNT(C) ''""))"),"#N/A")</f>
        <v>#N/A</v>
      </c>
      <c r="F16" s="76" t="str">
        <f>IFERROR(__xludf.DUMMYFUNCTION("IF(LEN(C16)=0,"""",QUERY(Archive!B:C,""Select COUNT(B) WHERE C starts with 'RT' AND B ='""&amp;C16&amp;""' LABEL COUNT(B) ''"")/D16)"),"#DIV/0!")</f>
        <v>#DIV/0!</v>
      </c>
      <c r="G16" s="77" t="str">
        <f>IFERROR(__xludf.DUMMYFUNCTION("IF(LEN(C16)=0,"""",SPARKLINE(FREQUENCY(FILTER(Archive!H:H,Archive!B:B=C16),M$2:M$21)))"),"")</f>
        <v/>
      </c>
      <c r="H16" s="64"/>
      <c r="I16" s="64"/>
      <c r="J16" s="38" t="str">
        <f>HYPERLINK("http://hawksey.info/tagsexplorer/arc.html?key="&amp;getSheetKey(ReadmeSettings!B9)&amp;"&amp;gid="&amp;getSheetGID(), "TAGS Archive")</f>
        <v>TAGS Archive</v>
      </c>
      <c r="K16" s="89" t="s">
        <v>31</v>
      </c>
      <c r="L16" s="88"/>
      <c r="M16">
        <f t="shared" si="1"/>
        <v>44682.75</v>
      </c>
    </row>
    <row r="17" ht="22.5" customHeight="1">
      <c r="A17" s="64"/>
      <c r="B17" s="80" t="s">
        <v>18249</v>
      </c>
      <c r="C17" s="81" t="str">
        <f>IFERROR(__xludf.DUMMYFUNCTION("""COMPUTED_VALUE"""),"51TJK")</f>
        <v>51TJK</v>
      </c>
      <c r="D17" s="75">
        <f>IFERROR(__xludf.DUMMYFUNCTION("""COMPUTED_VALUE"""),0.0)</f>
        <v>0</v>
      </c>
      <c r="E17" s="75">
        <f>IFERROR(__xludf.DUMMYFUNCTION("IF(LEN(C17)=0,"""",QUERY(Archive!C:C,""Select COUNT(C) WHERE lower(C) contains '""&amp;LOWER(C17)&amp;""' LABEL COUNT(C) ''""))"),3.0)</f>
        <v>3</v>
      </c>
      <c r="F17" s="76" t="str">
        <f>IFERROR(__xludf.DUMMYFUNCTION("IF(LEN(C17)=0,"""",QUERY(Archive!B:C,""Select COUNT(B) WHERE C starts with 'RT' AND B ='""&amp;C17&amp;""' LABEL COUNT(B) ''"")/D17)"),"#DIV/0!")</f>
        <v>#DIV/0!</v>
      </c>
      <c r="G17" s="77" t="str">
        <f>IFERROR(__xludf.DUMMYFUNCTION("IF(LEN(C17)=0,"""",SPARKLINE(FREQUENCY(FILTER(Archive!H:H,Archive!B:B=C17),M$2:M$21)))"),"")</f>
        <v/>
      </c>
      <c r="H17" s="64"/>
      <c r="I17" s="64"/>
      <c r="J17" s="90"/>
      <c r="K17" s="88"/>
      <c r="L17" s="88"/>
      <c r="M17">
        <f t="shared" si="1"/>
        <v>44682.8</v>
      </c>
    </row>
    <row r="18" ht="22.5" customHeight="1">
      <c r="A18" s="64"/>
      <c r="B18" s="80" t="s">
        <v>18249</v>
      </c>
      <c r="C18" s="81" t="str">
        <f>IFERROR(__xludf.DUMMYFUNCTION("""COMPUTED_VALUE"""),"58paulb")</f>
        <v>58paulb</v>
      </c>
      <c r="D18" s="75">
        <f>IFERROR(__xludf.DUMMYFUNCTION("""COMPUTED_VALUE"""),0.0)</f>
        <v>0</v>
      </c>
      <c r="E18" s="75">
        <f>IFERROR(__xludf.DUMMYFUNCTION("IF(LEN(C18)=0,"""",QUERY(Archive!C:C,""Select COUNT(C) WHERE lower(C) contains '""&amp;LOWER(C18)&amp;""' LABEL COUNT(C) ''""))"),1.0)</f>
        <v>1</v>
      </c>
      <c r="F18" s="76" t="str">
        <f>IFERROR(__xludf.DUMMYFUNCTION("IF(LEN(C18)=0,"""",QUERY(Archive!B:C,""Select COUNT(B) WHERE C starts with 'RT' AND B ='""&amp;C18&amp;""' LABEL COUNT(B) ''"")/D18)"),"#DIV/0!")</f>
        <v>#DIV/0!</v>
      </c>
      <c r="G18" s="77" t="str">
        <f>IFERROR(__xludf.DUMMYFUNCTION("IF(LEN(C18)=0,"""",SPARKLINE(FREQUENCY(FILTER(Archive!H:H,Archive!B:B=C18),M$2:M$21)))"),"")</f>
        <v/>
      </c>
      <c r="H18" s="64"/>
      <c r="I18" s="64"/>
      <c r="J18" s="88"/>
      <c r="K18" s="88"/>
      <c r="L18" s="88"/>
      <c r="M18">
        <f t="shared" si="1"/>
        <v>44682.85</v>
      </c>
    </row>
    <row r="19" ht="22.5" customHeight="1">
      <c r="A19" s="64"/>
      <c r="B19" s="80" t="s">
        <v>18249</v>
      </c>
      <c r="C19" s="81" t="str">
        <f>IFERROR(__xludf.DUMMYFUNCTION("""COMPUTED_VALUE"""),"8enoit")</f>
        <v>8enoit</v>
      </c>
      <c r="D19" s="75">
        <f>IFERROR(__xludf.DUMMYFUNCTION("""COMPUTED_VALUE"""),0.0)</f>
        <v>0</v>
      </c>
      <c r="E19" s="75" t="str">
        <f>IFERROR(__xludf.DUMMYFUNCTION("IF(LEN(C19)=0,"""",QUERY(Archive!C:C,""Select COUNT(C) WHERE lower(C) contains '""&amp;LOWER(C19)&amp;""' LABEL COUNT(C) ''""))"),"#N/A")</f>
        <v>#N/A</v>
      </c>
      <c r="F19" s="76" t="str">
        <f>IFERROR(__xludf.DUMMYFUNCTION("IF(LEN(C19)=0,"""",QUERY(Archive!B:C,""Select COUNT(B) WHERE C starts with 'RT' AND B ='""&amp;C19&amp;""' LABEL COUNT(B) ''"")/D19)"),"#DIV/0!")</f>
        <v>#DIV/0!</v>
      </c>
      <c r="G19" s="77" t="str">
        <f>IFERROR(__xludf.DUMMYFUNCTION("IF(LEN(C19)=0,"""",SPARKLINE(FREQUENCY(FILTER(Archive!H:H,Archive!B:B=C19),M$2:M$21)))"),"")</f>
        <v/>
      </c>
      <c r="H19" s="64"/>
      <c r="I19" s="91" t="s">
        <v>18261</v>
      </c>
      <c r="J19" s="92" t="s">
        <v>18262</v>
      </c>
      <c r="K19" s="88"/>
      <c r="L19" s="88"/>
      <c r="M19">
        <f t="shared" si="1"/>
        <v>44682.9</v>
      </c>
    </row>
    <row r="20" ht="22.5" customHeight="1">
      <c r="A20" s="64"/>
      <c r="B20" s="80" t="s">
        <v>18249</v>
      </c>
      <c r="C20" s="81" t="str">
        <f>IFERROR(__xludf.DUMMYFUNCTION("""COMPUTED_VALUE"""),"ABsworld5")</f>
        <v>ABsworld5</v>
      </c>
      <c r="D20" s="75">
        <f>IFERROR(__xludf.DUMMYFUNCTION("""COMPUTED_VALUE"""),0.0)</f>
        <v>0</v>
      </c>
      <c r="E20" s="75" t="str">
        <f>IFERROR(__xludf.DUMMYFUNCTION("IF(LEN(C20)=0,"""",QUERY(Archive!C:C,""Select COUNT(C) WHERE lower(C) contains '""&amp;LOWER(C20)&amp;""' LABEL COUNT(C) ''""))"),"#N/A")</f>
        <v>#N/A</v>
      </c>
      <c r="F20" s="76" t="str">
        <f>IFERROR(__xludf.DUMMYFUNCTION("IF(LEN(C20)=0,"""",QUERY(Archive!B:C,""Select COUNT(B) WHERE C starts with 'RT' AND B ='""&amp;C20&amp;""' LABEL COUNT(B) ''"")/D20)"),"#DIV/0!")</f>
        <v>#DIV/0!</v>
      </c>
      <c r="G20" s="77" t="str">
        <f>IFERROR(__xludf.DUMMYFUNCTION("IF(LEN(C20)=0,"""",SPARKLINE(FREQUENCY(FILTER(Archive!H:H,Archive!B:B=C20),M$2:M$21)))"),"")</f>
        <v/>
      </c>
      <c r="H20" s="64"/>
      <c r="I20" s="64"/>
      <c r="J20" s="93" t="s">
        <v>18263</v>
      </c>
      <c r="K20" s="88"/>
      <c r="L20" s="88"/>
      <c r="M20">
        <f t="shared" si="1"/>
        <v>44682.95</v>
      </c>
    </row>
    <row r="21" ht="22.5" customHeight="1">
      <c r="A21" s="64"/>
      <c r="B21" s="80" t="s">
        <v>18249</v>
      </c>
      <c r="C21" s="81" t="str">
        <f>IFERROR(__xludf.DUMMYFUNCTION("""COMPUTED_VALUE"""),"ACrowdedPlanet")</f>
        <v>ACrowdedPlanet</v>
      </c>
      <c r="D21" s="75">
        <f>IFERROR(__xludf.DUMMYFUNCTION("""COMPUTED_VALUE"""),0.0)</f>
        <v>0</v>
      </c>
      <c r="E21" s="75" t="str">
        <f>IFERROR(__xludf.DUMMYFUNCTION("IF(LEN(C21)=0,"""",QUERY(Archive!C:C,""Select COUNT(C) WHERE lower(C) contains '""&amp;LOWER(C21)&amp;""' LABEL COUNT(C) ''""))"),"#N/A")</f>
        <v>#N/A</v>
      </c>
      <c r="F21" s="76" t="str">
        <f>IFERROR(__xludf.DUMMYFUNCTION("IF(LEN(C21)=0,"""",QUERY(Archive!B:C,""Select COUNT(B) WHERE C starts with 'RT' AND B ='""&amp;C21&amp;""' LABEL COUNT(B) ''"")/D21)"),"#N/A")</f>
        <v>#N/A</v>
      </c>
      <c r="G21" s="77" t="str">
        <f>IFERROR(__xludf.DUMMYFUNCTION("IF(LEN(C21)=0,"""",SPARKLINE(FREQUENCY(FILTER(Archive!H:H,Archive!B:B=C21),M$2:M$21)))"),"")</f>
        <v/>
      </c>
      <c r="H21" s="64"/>
      <c r="I21" s="64"/>
      <c r="J21" s="88"/>
      <c r="K21" s="88"/>
      <c r="L21" s="88"/>
      <c r="M21">
        <f>ROUNDDOWN(J7)</f>
        <v>44683</v>
      </c>
    </row>
    <row r="22" ht="22.5" customHeight="1">
      <c r="A22" s="64"/>
      <c r="B22" s="80" t="s">
        <v>18249</v>
      </c>
      <c r="C22" s="81" t="str">
        <f>IFERROR(__xludf.DUMMYFUNCTION("""COMPUTED_VALUE"""),"AESimmons2")</f>
        <v>AESimmons2</v>
      </c>
      <c r="D22" s="75">
        <f>IFERROR(__xludf.DUMMYFUNCTION("""COMPUTED_VALUE"""),0.0)</f>
        <v>0</v>
      </c>
      <c r="E22" s="75" t="str">
        <f>IFERROR(__xludf.DUMMYFUNCTION("IF(LEN(C22)=0,"""",QUERY(Archive!C:C,""Select COUNT(C) WHERE lower(C) contains '""&amp;LOWER(C22)&amp;""' LABEL COUNT(C) ''""))"),"#N/A")</f>
        <v>#N/A</v>
      </c>
      <c r="F22" s="76" t="str">
        <f>IFERROR(__xludf.DUMMYFUNCTION("IF(LEN(C22)=0,"""",QUERY(Archive!B:C,""Select COUNT(B) WHERE C starts with 'RT' AND B ='""&amp;C22&amp;""' LABEL COUNT(B) ''"")/D22)"),"#DIV/0!")</f>
        <v>#DIV/0!</v>
      </c>
      <c r="G22" s="77" t="str">
        <f>IFERROR(__xludf.DUMMYFUNCTION("IF(LEN(C22)=0,"""",SPARKLINE(FREQUENCY(FILTER(Archive!H:H,Archive!B:B=C22),M$2:M$21)))"),"")</f>
        <v/>
      </c>
      <c r="H22" s="64"/>
      <c r="I22" s="64"/>
      <c r="J22" s="88"/>
      <c r="K22" s="88"/>
      <c r="L22" s="88"/>
      <c r="M22" s="94"/>
    </row>
    <row r="23" ht="22.5" customHeight="1">
      <c r="A23" s="64"/>
      <c r="B23" s="80" t="s">
        <v>18249</v>
      </c>
      <c r="C23" s="81" t="str">
        <f>IFERROR(__xludf.DUMMYFUNCTION("""COMPUTED_VALUE"""),"AHaglington")</f>
        <v>AHaglington</v>
      </c>
      <c r="D23" s="75">
        <f>IFERROR(__xludf.DUMMYFUNCTION("""COMPUTED_VALUE"""),0.0)</f>
        <v>0</v>
      </c>
      <c r="E23" s="75">
        <f>IFERROR(__xludf.DUMMYFUNCTION("IF(LEN(C23)=0,"""",QUERY(Archive!C:C,""Select COUNT(C) WHERE lower(C) contains '""&amp;LOWER(C23)&amp;""' LABEL COUNT(C) ''""))"),9.0)</f>
        <v>9</v>
      </c>
      <c r="F23" s="76" t="str">
        <f>IFERROR(__xludf.DUMMYFUNCTION("IF(LEN(C23)=0,"""",QUERY(Archive!B:C,""Select COUNT(B) WHERE C starts with 'RT' AND B ='""&amp;C23&amp;""' LABEL COUNT(B) ''"")/D23)"),"#DIV/0!")</f>
        <v>#DIV/0!</v>
      </c>
      <c r="G23" s="77" t="str">
        <f>IFERROR(__xludf.DUMMYFUNCTION("IF(LEN(C23)=0,"""",SPARKLINE(FREQUENCY(FILTER(Archive!H:H,Archive!B:B=C23),M$2:M$21)))"),"")</f>
        <v/>
      </c>
      <c r="H23" s="64"/>
      <c r="I23" s="64"/>
      <c r="J23" s="88"/>
      <c r="K23" s="88"/>
      <c r="L23" s="88"/>
      <c r="M23" s="94"/>
    </row>
    <row r="24" ht="22.5" customHeight="1">
      <c r="A24" s="64"/>
      <c r="B24" s="80" t="s">
        <v>18249</v>
      </c>
      <c r="C24" s="81" t="str">
        <f>IFERROR(__xludf.DUMMYFUNCTION("""COMPUTED_VALUE"""),"AMSM3")</f>
        <v>AMSM3</v>
      </c>
      <c r="D24" s="75">
        <f>IFERROR(__xludf.DUMMYFUNCTION("""COMPUTED_VALUE"""),0.0)</f>
        <v>0</v>
      </c>
      <c r="E24" s="75" t="str">
        <f>IFERROR(__xludf.DUMMYFUNCTION("IF(LEN(C24)=0,"""",QUERY(Archive!C:C,""Select COUNT(C) WHERE lower(C) contains '""&amp;LOWER(C24)&amp;""' LABEL COUNT(C) ''""))"),"#N/A")</f>
        <v>#N/A</v>
      </c>
      <c r="F24" s="76" t="str">
        <f>IFERROR(__xludf.DUMMYFUNCTION("IF(LEN(C24)=0,"""",QUERY(Archive!B:C,""Select COUNT(B) WHERE C starts with 'RT' AND B ='""&amp;C24&amp;""' LABEL COUNT(B) ''"")/D24)"),"#DIV/0!")</f>
        <v>#DIV/0!</v>
      </c>
      <c r="G24" s="77" t="str">
        <f>IFERROR(__xludf.DUMMYFUNCTION("IF(LEN(C24)=0,"""",SPARKLINE(FREQUENCY(FILTER(Archive!H:H,Archive!B:B=C24),M$2:M$21)))"),"")</f>
        <v/>
      </c>
      <c r="H24" s="64"/>
      <c r="I24" s="64"/>
      <c r="J24" s="64"/>
      <c r="K24" s="64"/>
      <c r="L24" s="64"/>
    </row>
    <row r="25" ht="22.5" customHeight="1">
      <c r="A25" s="64"/>
      <c r="B25" s="80" t="s">
        <v>18249</v>
      </c>
      <c r="C25" s="81" t="str">
        <f>IFERROR(__xludf.DUMMYFUNCTION("""COMPUTED_VALUE"""),"ARHunter1980")</f>
        <v>ARHunter1980</v>
      </c>
      <c r="D25" s="75">
        <f>IFERROR(__xludf.DUMMYFUNCTION("""COMPUTED_VALUE"""),0.0)</f>
        <v>0</v>
      </c>
      <c r="E25" s="75" t="str">
        <f>IFERROR(__xludf.DUMMYFUNCTION("IF(LEN(C25)=0,"""",QUERY(Archive!C:C,""Select COUNT(C) WHERE lower(C) contains '""&amp;LOWER(C25)&amp;""' LABEL COUNT(C) ''""))"),"#N/A")</f>
        <v>#N/A</v>
      </c>
      <c r="F25" s="76" t="str">
        <f>IFERROR(__xludf.DUMMYFUNCTION("IF(LEN(C25)=0,"""",QUERY(Archive!B:C,""Select COUNT(B) WHERE C starts with 'RT' AND B ='""&amp;C25&amp;""' LABEL COUNT(B) ''"")/D25)"),"#DIV/0!")</f>
        <v>#DIV/0!</v>
      </c>
      <c r="G25" s="77" t="str">
        <f>IFERROR(__xludf.DUMMYFUNCTION("IF(LEN(C25)=0,"""",SPARKLINE(FREQUENCY(FILTER(Archive!H:H,Archive!B:B=C25),M$2:M$21)))"),"")</f>
        <v/>
      </c>
      <c r="H25" s="64"/>
      <c r="I25" s="64"/>
      <c r="J25" s="64"/>
      <c r="K25" s="64"/>
      <c r="L25" s="64"/>
    </row>
    <row r="26" ht="22.5" customHeight="1">
      <c r="A26" s="64"/>
      <c r="B26" s="80" t="s">
        <v>18249</v>
      </c>
      <c r="C26" s="81" t="str">
        <f>IFERROR(__xludf.DUMMYFUNCTION("""COMPUTED_VALUE"""),"ARobinova")</f>
        <v>ARobinova</v>
      </c>
      <c r="D26" s="75">
        <f>IFERROR(__xludf.DUMMYFUNCTION("""COMPUTED_VALUE"""),0.0)</f>
        <v>0</v>
      </c>
      <c r="E26" s="75" t="str">
        <f>IFERROR(__xludf.DUMMYFUNCTION("IF(LEN(C26)=0,"""",QUERY(Archive!C:C,""Select COUNT(C) WHERE lower(C) contains '""&amp;LOWER(C26)&amp;""' LABEL COUNT(C) ''""))"),"#N/A")</f>
        <v>#N/A</v>
      </c>
      <c r="F26" s="76" t="str">
        <f>IFERROR(__xludf.DUMMYFUNCTION("IF(LEN(C26)=0,"""",QUERY(Archive!B:C,""Select COUNT(B) WHERE C starts with 'RT' AND B ='""&amp;C26&amp;""' LABEL COUNT(B) ''"")/D26)"),"#DIV/0!")</f>
        <v>#DIV/0!</v>
      </c>
      <c r="G26" s="77" t="str">
        <f>IFERROR(__xludf.DUMMYFUNCTION("IF(LEN(C26)=0,"""",SPARKLINE(FREQUENCY(FILTER(Archive!H:H,Archive!B:B=C26),M$2:M$21)))"),"")</f>
        <v/>
      </c>
      <c r="H26" s="64"/>
      <c r="I26" s="64"/>
      <c r="J26" s="64"/>
      <c r="K26" s="64"/>
      <c r="L26" s="64"/>
    </row>
    <row r="27" ht="22.5" customHeight="1">
      <c r="A27" s="64"/>
      <c r="B27" s="80" t="s">
        <v>18249</v>
      </c>
      <c r="C27" s="81" t="str">
        <f>IFERROR(__xludf.DUMMYFUNCTION("""COMPUTED_VALUE"""),"ASaramelkonian")</f>
        <v>ASaramelkonian</v>
      </c>
      <c r="D27" s="75">
        <f>IFERROR(__xludf.DUMMYFUNCTION("""COMPUTED_VALUE"""),0.0)</f>
        <v>0</v>
      </c>
      <c r="E27" s="75" t="str">
        <f>IFERROR(__xludf.DUMMYFUNCTION("IF(LEN(C27)=0,"""",QUERY(Archive!C:C,""Select COUNT(C) WHERE lower(C) contains '""&amp;LOWER(C27)&amp;""' LABEL COUNT(C) ''""))"),"#N/A")</f>
        <v>#N/A</v>
      </c>
      <c r="F27" s="76" t="str">
        <f>IFERROR(__xludf.DUMMYFUNCTION("IF(LEN(C27)=0,"""",QUERY(Archive!B:C,""Select COUNT(B) WHERE C starts with 'RT' AND B ='""&amp;C27&amp;""' LABEL COUNT(B) ''"")/D27)"),"#DIV/0!")</f>
        <v>#DIV/0!</v>
      </c>
      <c r="G27" s="77" t="str">
        <f>IFERROR(__xludf.DUMMYFUNCTION("IF(LEN(C27)=0,"""",SPARKLINE(FREQUENCY(FILTER(Archive!H:H,Archive!B:B=C27),M$2:M$21)))"),"")</f>
        <v/>
      </c>
      <c r="H27" s="64"/>
      <c r="I27" s="64"/>
      <c r="J27" s="64"/>
      <c r="K27" s="64"/>
      <c r="L27" s="64"/>
    </row>
    <row r="28" ht="22.5" customHeight="1">
      <c r="A28" s="64"/>
      <c r="B28" s="80" t="s">
        <v>18249</v>
      </c>
      <c r="C28" s="81" t="str">
        <f>IFERROR(__xludf.DUMMYFUNCTION("""COMPUTED_VALUE"""),"ASfB_UK")</f>
        <v>ASfB_UK</v>
      </c>
      <c r="D28" s="75">
        <f>IFERROR(__xludf.DUMMYFUNCTION("""COMPUTED_VALUE"""),0.0)</f>
        <v>0</v>
      </c>
      <c r="E28" s="75" t="str">
        <f>IFERROR(__xludf.DUMMYFUNCTION("IF(LEN(C28)=0,"""",QUERY(Archive!C:C,""Select COUNT(C) WHERE lower(C) contains '""&amp;LOWER(C28)&amp;""' LABEL COUNT(C) ''""))"),"#N/A")</f>
        <v>#N/A</v>
      </c>
      <c r="F28" s="76" t="str">
        <f>IFERROR(__xludf.DUMMYFUNCTION("IF(LEN(C28)=0,"""",QUERY(Archive!B:C,""Select COUNT(B) WHERE C starts with 'RT' AND B ='""&amp;C28&amp;""' LABEL COUNT(B) ''"")/D28)"),"#N/A")</f>
        <v>#N/A</v>
      </c>
      <c r="G28" s="77" t="str">
        <f>IFERROR(__xludf.DUMMYFUNCTION("IF(LEN(C28)=0,"""",SPARKLINE(FREQUENCY(FILTER(Archive!H:H,Archive!B:B=C28),M$2:M$21)))"),"")</f>
        <v/>
      </c>
      <c r="H28" s="64"/>
      <c r="I28" s="64"/>
      <c r="J28" s="64"/>
      <c r="K28" s="64"/>
      <c r="L28" s="64"/>
    </row>
    <row r="29" ht="22.5" customHeight="1">
      <c r="A29" s="64"/>
      <c r="B29" s="80" t="s">
        <v>18249</v>
      </c>
      <c r="C29" s="81" t="str">
        <f>IFERROR(__xludf.DUMMYFUNCTION("""COMPUTED_VALUE"""),"ASlightReturn1")</f>
        <v>ASlightReturn1</v>
      </c>
      <c r="D29" s="75">
        <f>IFERROR(__xludf.DUMMYFUNCTION("""COMPUTED_VALUE"""),0.0)</f>
        <v>0</v>
      </c>
      <c r="E29" s="75" t="str">
        <f>IFERROR(__xludf.DUMMYFUNCTION("IF(LEN(C29)=0,"""",QUERY(Archive!C:C,""Select COUNT(C) WHERE lower(C) contains '""&amp;LOWER(C29)&amp;""' LABEL COUNT(C) ''""))"),"#N/A")</f>
        <v>#N/A</v>
      </c>
      <c r="F29" s="76" t="str">
        <f>IFERROR(__xludf.DUMMYFUNCTION("IF(LEN(C29)=0,"""",QUERY(Archive!B:C,""Select COUNT(B) WHERE C starts with 'RT' AND B ='""&amp;C29&amp;""' LABEL COUNT(B) ''"")/D29)"),"#DIV/0!")</f>
        <v>#DIV/0!</v>
      </c>
      <c r="G29" s="77" t="str">
        <f>IFERROR(__xludf.DUMMYFUNCTION("IF(LEN(C29)=0,"""",SPARKLINE(FREQUENCY(FILTER(Archive!H:H,Archive!B:B=C29),M$2:M$21)))"),"")</f>
        <v/>
      </c>
      <c r="H29" s="64"/>
      <c r="I29" s="64"/>
      <c r="J29" s="64"/>
      <c r="K29" s="64"/>
      <c r="L29" s="64"/>
    </row>
    <row r="30" ht="22.5" customHeight="1">
      <c r="A30" s="64"/>
      <c r="B30" s="80" t="s">
        <v>18249</v>
      </c>
      <c r="C30" s="81" t="str">
        <f>IFERROR(__xludf.DUMMYFUNCTION("""COMPUTED_VALUE"""),"ATVG2k20")</f>
        <v>ATVG2k20</v>
      </c>
      <c r="D30" s="75">
        <f>IFERROR(__xludf.DUMMYFUNCTION("""COMPUTED_VALUE"""),0.0)</f>
        <v>0</v>
      </c>
      <c r="E30" s="75" t="str">
        <f>IFERROR(__xludf.DUMMYFUNCTION("IF(LEN(C30)=0,"""",QUERY(Archive!C:C,""Select COUNT(C) WHERE lower(C) contains '""&amp;LOWER(C30)&amp;""' LABEL COUNT(C) ''""))"),"#N/A")</f>
        <v>#N/A</v>
      </c>
      <c r="F30" s="76" t="str">
        <f>IFERROR(__xludf.DUMMYFUNCTION("IF(LEN(C30)=0,"""",QUERY(Archive!B:C,""Select COUNT(B) WHERE C starts with 'RT' AND B ='""&amp;C30&amp;""' LABEL COUNT(B) ''"")/D30)"),"#DIV/0!")</f>
        <v>#DIV/0!</v>
      </c>
      <c r="G30" s="77" t="str">
        <f>IFERROR(__xludf.DUMMYFUNCTION("IF(LEN(C30)=0,"""",SPARKLINE(FREQUENCY(FILTER(Archive!H:H,Archive!B:B=C30),M$2:M$21)))"),"")</f>
        <v/>
      </c>
      <c r="H30" s="64"/>
      <c r="I30" s="64"/>
      <c r="J30" s="64"/>
      <c r="K30" s="64"/>
      <c r="L30" s="64"/>
    </row>
    <row r="31" ht="22.5" customHeight="1">
      <c r="A31" s="64"/>
      <c r="B31" s="80" t="s">
        <v>18249</v>
      </c>
      <c r="C31" s="81" t="str">
        <f>IFERROR(__xludf.DUMMYFUNCTION("""COMPUTED_VALUE"""),"A_HORDE_OF_CATS")</f>
        <v>A_HORDE_OF_CATS</v>
      </c>
      <c r="D31" s="75">
        <f>IFERROR(__xludf.DUMMYFUNCTION("""COMPUTED_VALUE"""),0.0)</f>
        <v>0</v>
      </c>
      <c r="E31" s="75" t="str">
        <f>IFERROR(__xludf.DUMMYFUNCTION("IF(LEN(C31)=0,"""",QUERY(Archive!C:C,""Select COUNT(C) WHERE lower(C) contains '""&amp;LOWER(C31)&amp;""' LABEL COUNT(C) ''""))"),"#N/A")</f>
        <v>#N/A</v>
      </c>
      <c r="F31" s="76" t="str">
        <f>IFERROR(__xludf.DUMMYFUNCTION("IF(LEN(C31)=0,"""",QUERY(Archive!B:C,""Select COUNT(B) WHERE C starts with 'RT' AND B ='""&amp;C31&amp;""' LABEL COUNT(B) ''"")/D31)"),"#DIV/0!")</f>
        <v>#DIV/0!</v>
      </c>
      <c r="G31" s="77" t="str">
        <f>IFERROR(__xludf.DUMMYFUNCTION("IF(LEN(C31)=0,"""",SPARKLINE(FREQUENCY(FILTER(Archive!H:H,Archive!B:B=C31),M$2:M$21)))"),"")</f>
        <v/>
      </c>
      <c r="H31" s="64"/>
      <c r="I31" s="64"/>
      <c r="J31" s="64"/>
      <c r="K31" s="64"/>
      <c r="L31" s="64"/>
    </row>
    <row r="32" ht="16.5" customHeight="1">
      <c r="A32" s="64"/>
      <c r="B32" s="80" t="s">
        <v>18249</v>
      </c>
      <c r="C32" s="81" t="str">
        <f>IFERROR(__xludf.DUMMYFUNCTION("""COMPUTED_VALUE"""),"A_Nonny_123")</f>
        <v>A_Nonny_123</v>
      </c>
      <c r="D32" s="75">
        <f>IFERROR(__xludf.DUMMYFUNCTION("""COMPUTED_VALUE"""),0.0)</f>
        <v>0</v>
      </c>
      <c r="E32" s="75" t="str">
        <f>IFERROR(__xludf.DUMMYFUNCTION("IF(LEN(C32)=0,"""",QUERY(Archive!C:C,""Select COUNT(C) WHERE lower(C) contains '""&amp;LOWER(C32)&amp;""' LABEL COUNT(C) ''""))"),"#N/A")</f>
        <v>#N/A</v>
      </c>
      <c r="F32" s="95"/>
      <c r="G32" s="96"/>
      <c r="H32" s="64"/>
      <c r="I32" s="64"/>
      <c r="J32" s="64"/>
      <c r="K32" s="64"/>
      <c r="L32" s="64"/>
    </row>
    <row r="33" ht="16.5" customHeight="1">
      <c r="A33" s="64"/>
      <c r="B33" s="80" t="s">
        <v>18249</v>
      </c>
      <c r="C33" s="81" t="str">
        <f>IFERROR(__xludf.DUMMYFUNCTION("""COMPUTED_VALUE"""),"AaronJDavies1")</f>
        <v>AaronJDavies1</v>
      </c>
      <c r="D33" s="75">
        <f>IFERROR(__xludf.DUMMYFUNCTION("""COMPUTED_VALUE"""),0.0)</f>
        <v>0</v>
      </c>
      <c r="E33" s="75" t="str">
        <f>IFERROR(__xludf.DUMMYFUNCTION("IF(LEN(C33)=0,"""",QUERY(Archive!C:C,""Select COUNT(C) WHERE lower(C) contains '""&amp;LOWER(C33)&amp;""' LABEL COUNT(C) ''""))"),"#N/A")</f>
        <v>#N/A</v>
      </c>
      <c r="F33" s="95"/>
      <c r="G33" s="96"/>
      <c r="H33" s="64"/>
      <c r="I33" s="64"/>
      <c r="J33" s="64"/>
      <c r="K33" s="64"/>
      <c r="L33" s="64"/>
    </row>
    <row r="34" ht="16.5" customHeight="1">
      <c r="A34" s="64"/>
      <c r="B34" s="80" t="s">
        <v>18249</v>
      </c>
      <c r="C34" s="81" t="str">
        <f>IFERROR(__xludf.DUMMYFUNCTION("""COMPUTED_VALUE"""),"AbbieFerdinand1")</f>
        <v>AbbieFerdinand1</v>
      </c>
      <c r="D34" s="75">
        <f>IFERROR(__xludf.DUMMYFUNCTION("""COMPUTED_VALUE"""),0.0)</f>
        <v>0</v>
      </c>
      <c r="E34" s="75" t="str">
        <f>IFERROR(__xludf.DUMMYFUNCTION("IF(LEN(C34)=0,"""",QUERY(Archive!C:C,""Select COUNT(C) WHERE lower(C) contains '""&amp;LOWER(C34)&amp;""' LABEL COUNT(C) ''""))"),"#N/A")</f>
        <v>#N/A</v>
      </c>
      <c r="F34" s="95"/>
      <c r="G34" s="96"/>
      <c r="H34" s="64"/>
      <c r="I34" s="64"/>
      <c r="J34" s="64"/>
      <c r="K34" s="64"/>
      <c r="L34" s="64"/>
    </row>
    <row r="35" ht="16.5" customHeight="1">
      <c r="A35" s="64"/>
      <c r="B35" s="80" t="s">
        <v>18249</v>
      </c>
      <c r="C35" s="81" t="str">
        <f>IFERROR(__xludf.DUMMYFUNCTION("""COMPUTED_VALUE"""),"AbbieOBrien1")</f>
        <v>AbbieOBrien1</v>
      </c>
      <c r="D35" s="75">
        <f>IFERROR(__xludf.DUMMYFUNCTION("""COMPUTED_VALUE"""),0.0)</f>
        <v>0</v>
      </c>
      <c r="E35" s="75" t="str">
        <f>IFERROR(__xludf.DUMMYFUNCTION("IF(LEN(C35)=0,"""",QUERY(Archive!C:C,""Select COUNT(C) WHERE lower(C) contains '""&amp;LOWER(C35)&amp;""' LABEL COUNT(C) ''""))"),"#N/A")</f>
        <v>#N/A</v>
      </c>
      <c r="F35" s="95"/>
      <c r="G35" s="96"/>
      <c r="H35" s="64"/>
      <c r="I35" s="64"/>
      <c r="J35" s="64"/>
      <c r="K35" s="64"/>
      <c r="L35" s="64"/>
    </row>
    <row r="36" ht="16.5" customHeight="1">
      <c r="A36" s="64"/>
      <c r="B36" s="80" t="s">
        <v>18249</v>
      </c>
      <c r="C36" s="81" t="str">
        <f>IFERROR(__xludf.DUMMYFUNCTION("""COMPUTED_VALUE"""),"AbordAlessandro")</f>
        <v>AbordAlessandro</v>
      </c>
      <c r="D36" s="75">
        <f>IFERROR(__xludf.DUMMYFUNCTION("""COMPUTED_VALUE"""),0.0)</f>
        <v>0</v>
      </c>
      <c r="E36" s="75" t="str">
        <f>IFERROR(__xludf.DUMMYFUNCTION("IF(LEN(C36)=0,"""",QUERY(Archive!C:C,""Select COUNT(C) WHERE lower(C) contains '""&amp;LOWER(C36)&amp;""' LABEL COUNT(C) ''""))"),"#N/A")</f>
        <v>#N/A</v>
      </c>
      <c r="F36" s="95"/>
      <c r="G36" s="96"/>
      <c r="H36" s="64"/>
      <c r="I36" s="64"/>
      <c r="J36" s="64"/>
      <c r="K36" s="64"/>
      <c r="L36" s="64"/>
    </row>
    <row r="37" ht="16.5" customHeight="1">
      <c r="A37" s="64"/>
      <c r="B37" s="80" t="s">
        <v>18249</v>
      </c>
      <c r="C37" s="81" t="str">
        <f>IFERROR(__xludf.DUMMYFUNCTION("""COMPUTED_VALUE"""),"Accomlondon")</f>
        <v>Accomlondon</v>
      </c>
      <c r="D37" s="75">
        <f>IFERROR(__xludf.DUMMYFUNCTION("""COMPUTED_VALUE"""),0.0)</f>
        <v>0</v>
      </c>
      <c r="E37" s="75" t="str">
        <f>IFERROR(__xludf.DUMMYFUNCTION("IF(LEN(C37)=0,"""",QUERY(Archive!C:C,""Select COUNT(C) WHERE lower(C) contains '""&amp;LOWER(C37)&amp;""' LABEL COUNT(C) ''""))"),"#N/A")</f>
        <v>#N/A</v>
      </c>
      <c r="F37" s="95"/>
      <c r="G37" s="96"/>
      <c r="H37" s="64"/>
      <c r="I37" s="64"/>
      <c r="J37" s="64"/>
      <c r="K37" s="64"/>
      <c r="L37" s="64"/>
    </row>
    <row r="38" ht="16.5" customHeight="1">
      <c r="A38" s="64"/>
      <c r="B38" s="80" t="s">
        <v>18249</v>
      </c>
      <c r="C38" s="81" t="str">
        <f>IFERROR(__xludf.DUMMYFUNCTION("""COMPUTED_VALUE"""),"AdrianFarrellAT")</f>
        <v>AdrianFarrellAT</v>
      </c>
      <c r="D38" s="75">
        <f>IFERROR(__xludf.DUMMYFUNCTION("""COMPUTED_VALUE"""),0.0)</f>
        <v>0</v>
      </c>
      <c r="E38" s="75" t="str">
        <f>IFERROR(__xludf.DUMMYFUNCTION("IF(LEN(C38)=0,"""",QUERY(Archive!C:C,""Select COUNT(C) WHERE lower(C) contains '""&amp;LOWER(C38)&amp;""' LABEL COUNT(C) ''""))"),"#N/A")</f>
        <v>#N/A</v>
      </c>
      <c r="F38" s="95"/>
      <c r="G38" s="96"/>
      <c r="H38" s="64"/>
      <c r="I38" s="64"/>
      <c r="J38" s="64"/>
      <c r="K38" s="64"/>
      <c r="L38" s="64"/>
    </row>
    <row r="39" ht="16.5" customHeight="1">
      <c r="A39" s="64"/>
      <c r="B39" s="80" t="s">
        <v>18249</v>
      </c>
      <c r="C39" s="81" t="str">
        <f>IFERROR(__xludf.DUMMYFUNCTION("""COMPUTED_VALUE"""),"AiberdeinQuine")</f>
        <v>AiberdeinQuine</v>
      </c>
      <c r="D39" s="75">
        <f>IFERROR(__xludf.DUMMYFUNCTION("""COMPUTED_VALUE"""),0.0)</f>
        <v>0</v>
      </c>
      <c r="E39" s="75" t="str">
        <f>IFERROR(__xludf.DUMMYFUNCTION("IF(LEN(C39)=0,"""",QUERY(Archive!C:C,""Select COUNT(C) WHERE lower(C) contains '""&amp;LOWER(C39)&amp;""' LABEL COUNT(C) ''""))"),"#N/A")</f>
        <v>#N/A</v>
      </c>
      <c r="F39" s="95"/>
      <c r="G39" s="96"/>
      <c r="H39" s="64"/>
      <c r="I39" s="64"/>
      <c r="J39" s="64"/>
      <c r="K39" s="64"/>
      <c r="L39" s="64"/>
    </row>
    <row r="40" ht="16.5" customHeight="1">
      <c r="A40" s="64"/>
      <c r="B40" s="80" t="s">
        <v>18249</v>
      </c>
      <c r="C40" s="81" t="str">
        <f>IFERROR(__xludf.DUMMYFUNCTION("""COMPUTED_VALUE"""),"AilsaLaing")</f>
        <v>AilsaLaing</v>
      </c>
      <c r="D40" s="75">
        <f>IFERROR(__xludf.DUMMYFUNCTION("""COMPUTED_VALUE"""),0.0)</f>
        <v>0</v>
      </c>
      <c r="E40" s="75" t="str">
        <f>IFERROR(__xludf.DUMMYFUNCTION("IF(LEN(C40)=0,"""",QUERY(Archive!C:C,""Select COUNT(C) WHERE lower(C) contains '""&amp;LOWER(C40)&amp;""' LABEL COUNT(C) ''""))"),"#N/A")</f>
        <v>#N/A</v>
      </c>
      <c r="F40" s="95"/>
      <c r="G40" s="96"/>
      <c r="H40" s="64"/>
      <c r="I40" s="64"/>
      <c r="J40" s="64"/>
      <c r="K40" s="64"/>
      <c r="L40" s="64"/>
    </row>
    <row r="41" ht="16.5" customHeight="1">
      <c r="A41" s="64"/>
      <c r="B41" s="80" t="s">
        <v>18249</v>
      </c>
      <c r="C41" s="81" t="str">
        <f>IFERROR(__xludf.DUMMYFUNCTION("""COMPUTED_VALUE"""),"AiringViews")</f>
        <v>AiringViews</v>
      </c>
      <c r="D41" s="75">
        <f>IFERROR(__xludf.DUMMYFUNCTION("""COMPUTED_VALUE"""),0.0)</f>
        <v>0</v>
      </c>
      <c r="E41" s="75" t="str">
        <f>IFERROR(__xludf.DUMMYFUNCTION("IF(LEN(C41)=0,"""",QUERY(Archive!C:C,""Select COUNT(C) WHERE lower(C) contains '""&amp;LOWER(C41)&amp;""' LABEL COUNT(C) ''""))"),"#N/A")</f>
        <v>#N/A</v>
      </c>
      <c r="F41" s="95"/>
      <c r="G41" s="96"/>
      <c r="H41" s="64"/>
      <c r="I41" s="64"/>
      <c r="J41" s="64"/>
      <c r="K41" s="64"/>
      <c r="L41" s="64"/>
    </row>
    <row r="42" ht="16.5" customHeight="1">
      <c r="A42" s="64"/>
      <c r="B42" s="80" t="s">
        <v>18249</v>
      </c>
      <c r="C42" s="81" t="str">
        <f>IFERROR(__xludf.DUMMYFUNCTION("""COMPUTED_VALUE"""),"Akounas1")</f>
        <v>Akounas1</v>
      </c>
      <c r="D42" s="75">
        <f>IFERROR(__xludf.DUMMYFUNCTION("""COMPUTED_VALUE"""),0.0)</f>
        <v>0</v>
      </c>
      <c r="E42" s="75" t="str">
        <f>IFERROR(__xludf.DUMMYFUNCTION("IF(LEN(C42)=0,"""",QUERY(Archive!C:C,""Select COUNT(C) WHERE lower(C) contains '""&amp;LOWER(C42)&amp;""' LABEL COUNT(C) ''""))"),"#N/A")</f>
        <v>#N/A</v>
      </c>
      <c r="F42" s="95"/>
      <c r="G42" s="96"/>
      <c r="H42" s="64"/>
      <c r="I42" s="64"/>
      <c r="J42" s="64"/>
      <c r="K42" s="64"/>
      <c r="L42" s="64"/>
    </row>
    <row r="43" ht="16.5" customHeight="1">
      <c r="A43" s="64"/>
      <c r="B43" s="80" t="s">
        <v>18249</v>
      </c>
      <c r="C43" s="81" t="str">
        <f>IFERROR(__xludf.DUMMYFUNCTION("""COMPUTED_VALUE"""),"AlPinkerton")</f>
        <v>AlPinkerton</v>
      </c>
      <c r="D43" s="75">
        <f>IFERROR(__xludf.DUMMYFUNCTION("""COMPUTED_VALUE"""),0.0)</f>
        <v>0</v>
      </c>
      <c r="E43" s="75">
        <f>IFERROR(__xludf.DUMMYFUNCTION("IF(LEN(C43)=0,"""",QUERY(Archive!C:C,""Select COUNT(C) WHERE lower(C) contains '""&amp;LOWER(C43)&amp;""' LABEL COUNT(C) ''""))"),9.0)</f>
        <v>9</v>
      </c>
      <c r="F43" s="95"/>
      <c r="G43" s="96"/>
      <c r="H43" s="64"/>
      <c r="I43" s="64"/>
      <c r="J43" s="64"/>
      <c r="K43" s="64"/>
      <c r="L43" s="64"/>
    </row>
    <row r="44" ht="16.5" customHeight="1">
      <c r="A44" s="64"/>
      <c r="B44" s="80" t="s">
        <v>18249</v>
      </c>
      <c r="C44" s="81" t="str">
        <f>IFERROR(__xludf.DUMMYFUNCTION("""COMPUTED_VALUE"""),"AlacantPeter")</f>
        <v>AlacantPeter</v>
      </c>
      <c r="D44" s="75">
        <f>IFERROR(__xludf.DUMMYFUNCTION("""COMPUTED_VALUE"""),0.0)</f>
        <v>0</v>
      </c>
      <c r="E44" s="75" t="str">
        <f>IFERROR(__xludf.DUMMYFUNCTION("IF(LEN(C44)=0,"""",QUERY(Archive!C:C,""Select COUNT(C) WHERE lower(C) contains '""&amp;LOWER(C44)&amp;""' LABEL COUNT(C) ''""))"),"#N/A")</f>
        <v>#N/A</v>
      </c>
      <c r="F44" s="95"/>
      <c r="G44" s="96"/>
      <c r="H44" s="64"/>
      <c r="I44" s="64"/>
      <c r="J44" s="64"/>
      <c r="K44" s="64"/>
      <c r="L44" s="64"/>
    </row>
    <row r="45" ht="16.5" customHeight="1">
      <c r="A45" s="64"/>
      <c r="B45" s="80" t="s">
        <v>18249</v>
      </c>
      <c r="C45" s="81" t="str">
        <f>IFERROR(__xludf.DUMMYFUNCTION("""COMPUTED_VALUE"""),"AlanAmoody6161")</f>
        <v>AlanAmoody6161</v>
      </c>
      <c r="D45" s="75">
        <f>IFERROR(__xludf.DUMMYFUNCTION("""COMPUTED_VALUE"""),0.0)</f>
        <v>0</v>
      </c>
      <c r="E45" s="75" t="str">
        <f>IFERROR(__xludf.DUMMYFUNCTION("IF(LEN(C45)=0,"""",QUERY(Archive!C:C,""Select COUNT(C) WHERE lower(C) contains '""&amp;LOWER(C45)&amp;""' LABEL COUNT(C) ''""))"),"#N/A")</f>
        <v>#N/A</v>
      </c>
      <c r="F45" s="95"/>
      <c r="G45" s="96"/>
      <c r="H45" s="64"/>
      <c r="I45" s="64"/>
      <c r="J45" s="64"/>
      <c r="K45" s="64"/>
      <c r="L45" s="64"/>
    </row>
    <row r="46" ht="16.5" customHeight="1">
      <c r="A46" s="64"/>
      <c r="B46" s="80" t="s">
        <v>18249</v>
      </c>
      <c r="C46" s="81" t="str">
        <f>IFERROR(__xludf.DUMMYFUNCTION("""COMPUTED_VALUE"""),"AlanHPower")</f>
        <v>AlanHPower</v>
      </c>
      <c r="D46" s="75">
        <f>IFERROR(__xludf.DUMMYFUNCTION("""COMPUTED_VALUE"""),0.0)</f>
        <v>0</v>
      </c>
      <c r="E46" s="75" t="str">
        <f>IFERROR(__xludf.DUMMYFUNCTION("IF(LEN(C46)=0,"""",QUERY(Archive!C:C,""Select COUNT(C) WHERE lower(C) contains '""&amp;LOWER(C46)&amp;""' LABEL COUNT(C) ''""))"),"#N/A")</f>
        <v>#N/A</v>
      </c>
      <c r="F46" s="95"/>
      <c r="G46" s="96"/>
      <c r="H46" s="64"/>
      <c r="I46" s="64"/>
      <c r="J46" s="64"/>
      <c r="K46" s="64"/>
      <c r="L46" s="64"/>
    </row>
    <row r="47" ht="16.5" customHeight="1">
      <c r="A47" s="64"/>
      <c r="B47" s="80" t="s">
        <v>18249</v>
      </c>
      <c r="C47" s="81" t="str">
        <f>IFERROR(__xludf.DUMMYFUNCTION("""COMPUTED_VALUE"""),"AlanOak4")</f>
        <v>AlanOak4</v>
      </c>
      <c r="D47" s="75">
        <f>IFERROR(__xludf.DUMMYFUNCTION("""COMPUTED_VALUE"""),0.0)</f>
        <v>0</v>
      </c>
      <c r="E47" s="75" t="str">
        <f>IFERROR(__xludf.DUMMYFUNCTION("IF(LEN(C47)=0,"""",QUERY(Archive!C:C,""Select COUNT(C) WHERE lower(C) contains '""&amp;LOWER(C47)&amp;""' LABEL COUNT(C) ''""))"),"#N/A")</f>
        <v>#N/A</v>
      </c>
      <c r="F47" s="95"/>
      <c r="G47" s="96"/>
      <c r="H47" s="64"/>
      <c r="I47" s="64"/>
      <c r="J47" s="64"/>
      <c r="K47" s="64"/>
      <c r="L47" s="64"/>
    </row>
    <row r="48" ht="16.5" customHeight="1">
      <c r="A48" s="64"/>
      <c r="B48" s="80" t="s">
        <v>18249</v>
      </c>
      <c r="C48" s="81" t="str">
        <f>IFERROR(__xludf.DUMMYFUNCTION("""COMPUTED_VALUE"""),"AlasSmithJones")</f>
        <v>AlasSmithJones</v>
      </c>
      <c r="D48" s="75">
        <f>IFERROR(__xludf.DUMMYFUNCTION("""COMPUTED_VALUE"""),0.0)</f>
        <v>0</v>
      </c>
      <c r="E48" s="75">
        <f>IFERROR(__xludf.DUMMYFUNCTION("IF(LEN(C48)=0,"""",QUERY(Archive!C:C,""Select COUNT(C) WHERE lower(C) contains '""&amp;LOWER(C48)&amp;""' LABEL COUNT(C) ''""))"),12.0)</f>
        <v>12</v>
      </c>
      <c r="F48" s="95"/>
      <c r="G48" s="96"/>
      <c r="H48" s="64"/>
      <c r="I48" s="64"/>
      <c r="J48" s="64"/>
      <c r="K48" s="64"/>
      <c r="L48" s="64"/>
    </row>
    <row r="49" ht="16.5" customHeight="1">
      <c r="A49" s="64"/>
      <c r="B49" s="80" t="s">
        <v>18249</v>
      </c>
      <c r="C49" s="81" t="str">
        <f>IFERROR(__xludf.DUMMYFUNCTION("""COMPUTED_VALUE"""),"AlastairBreward")</f>
        <v>AlastairBreward</v>
      </c>
      <c r="D49" s="75">
        <f>IFERROR(__xludf.DUMMYFUNCTION("""COMPUTED_VALUE"""),0.0)</f>
        <v>0</v>
      </c>
      <c r="E49" s="75" t="str">
        <f>IFERROR(__xludf.DUMMYFUNCTION("IF(LEN(C49)=0,"""",QUERY(Archive!C:C,""Select COUNT(C) WHERE lower(C) contains '""&amp;LOWER(C49)&amp;""' LABEL COUNT(C) ''""))"),"#N/A")</f>
        <v>#N/A</v>
      </c>
      <c r="F49" s="95"/>
      <c r="G49" s="96"/>
      <c r="H49" s="64"/>
      <c r="I49" s="64"/>
      <c r="J49" s="64"/>
      <c r="K49" s="64"/>
      <c r="L49" s="64"/>
    </row>
    <row r="50" ht="16.5" customHeight="1">
      <c r="A50" s="64"/>
      <c r="B50" s="80" t="s">
        <v>18249</v>
      </c>
      <c r="C50" s="81" t="str">
        <f>IFERROR(__xludf.DUMMYFUNCTION("""COMPUTED_VALUE"""),"AlbaAyrshire")</f>
        <v>AlbaAyrshire</v>
      </c>
      <c r="D50" s="75">
        <f>IFERROR(__xludf.DUMMYFUNCTION("""COMPUTED_VALUE"""),0.0)</f>
        <v>0</v>
      </c>
      <c r="E50" s="75">
        <f>IFERROR(__xludf.DUMMYFUNCTION("IF(LEN(C50)=0,"""",QUERY(Archive!C:C,""Select COUNT(C) WHERE lower(C) contains '""&amp;LOWER(C50)&amp;""' LABEL COUNT(C) ''""))"),2.0)</f>
        <v>2</v>
      </c>
      <c r="F50" s="95"/>
      <c r="G50" s="96"/>
      <c r="H50" s="64"/>
      <c r="I50" s="64"/>
      <c r="J50" s="64"/>
      <c r="K50" s="64"/>
      <c r="L50" s="64"/>
    </row>
    <row r="51" ht="16.5" customHeight="1">
      <c r="A51" s="64"/>
      <c r="B51" s="80" t="s">
        <v>18249</v>
      </c>
      <c r="C51" s="81" t="str">
        <f>IFERROR(__xludf.DUMMYFUNCTION("""COMPUTED_VALUE"""),"Alchmist93till")</f>
        <v>Alchmist93till</v>
      </c>
      <c r="D51" s="75">
        <f>IFERROR(__xludf.DUMMYFUNCTION("""COMPUTED_VALUE"""),0.0)</f>
        <v>0</v>
      </c>
      <c r="E51" s="75" t="str">
        <f>IFERROR(__xludf.DUMMYFUNCTION("IF(LEN(C51)=0,"""",QUERY(Archive!C:C,""Select COUNT(C) WHERE lower(C) contains '""&amp;LOWER(C51)&amp;""' LABEL COUNT(C) ''""))"),"#N/A")</f>
        <v>#N/A</v>
      </c>
      <c r="F51" s="95"/>
      <c r="G51" s="96"/>
      <c r="H51" s="64"/>
      <c r="I51" s="64"/>
      <c r="J51" s="64"/>
      <c r="K51" s="64"/>
      <c r="L51" s="64"/>
    </row>
    <row r="52" ht="16.5" customHeight="1">
      <c r="A52" s="64"/>
      <c r="B52" s="80" t="s">
        <v>18249</v>
      </c>
      <c r="C52" s="81" t="str">
        <f>IFERROR(__xludf.DUMMYFUNCTION("""COMPUTED_VALUE"""),"AleksandarGodic")</f>
        <v>AleksandarGodic</v>
      </c>
      <c r="D52" s="75">
        <f>IFERROR(__xludf.DUMMYFUNCTION("""COMPUTED_VALUE"""),0.0)</f>
        <v>0</v>
      </c>
      <c r="E52" s="75" t="str">
        <f>IFERROR(__xludf.DUMMYFUNCTION("IF(LEN(C52)=0,"""",QUERY(Archive!C:C,""Select COUNT(C) WHERE lower(C) contains '""&amp;LOWER(C52)&amp;""' LABEL COUNT(C) ''""))"),"#N/A")</f>
        <v>#N/A</v>
      </c>
      <c r="F52" s="95"/>
      <c r="G52" s="96"/>
      <c r="H52" s="64"/>
      <c r="I52" s="64"/>
      <c r="J52" s="64"/>
      <c r="K52" s="64"/>
      <c r="L52" s="64"/>
    </row>
    <row r="53" ht="16.5" customHeight="1">
      <c r="A53" s="64"/>
      <c r="B53" s="80" t="s">
        <v>18249</v>
      </c>
      <c r="C53" s="81" t="str">
        <f>IFERROR(__xludf.DUMMYFUNCTION("""COMPUTED_VALUE"""),"AlexStillMe")</f>
        <v>AlexStillMe</v>
      </c>
      <c r="D53" s="75">
        <f>IFERROR(__xludf.DUMMYFUNCTION("""COMPUTED_VALUE"""),0.0)</f>
        <v>0</v>
      </c>
      <c r="E53" s="75" t="str">
        <f>IFERROR(__xludf.DUMMYFUNCTION("IF(LEN(C53)=0,"""",QUERY(Archive!C:C,""Select COUNT(C) WHERE lower(C) contains '""&amp;LOWER(C53)&amp;""' LABEL COUNT(C) ''""))"),"#N/A")</f>
        <v>#N/A</v>
      </c>
      <c r="F53" s="95"/>
      <c r="G53" s="96"/>
      <c r="H53" s="64"/>
      <c r="I53" s="64"/>
      <c r="J53" s="64"/>
      <c r="K53" s="64"/>
      <c r="L53" s="64"/>
    </row>
    <row r="54" ht="16.5" customHeight="1">
      <c r="A54" s="64"/>
      <c r="B54" s="80" t="s">
        <v>18249</v>
      </c>
      <c r="C54" s="81" t="str">
        <f>IFERROR(__xludf.DUMMYFUNCTION("""COMPUTED_VALUE"""),"Alexblx")</f>
        <v>Alexblx</v>
      </c>
      <c r="D54" s="75">
        <f>IFERROR(__xludf.DUMMYFUNCTION("""COMPUTED_VALUE"""),0.0)</f>
        <v>0</v>
      </c>
      <c r="E54" s="75" t="str">
        <f>IFERROR(__xludf.DUMMYFUNCTION("IF(LEN(C54)=0,"""",QUERY(Archive!C:C,""Select COUNT(C) WHERE lower(C) contains '""&amp;LOWER(C54)&amp;""' LABEL COUNT(C) ''""))"),"#N/A")</f>
        <v>#N/A</v>
      </c>
      <c r="F54" s="95"/>
      <c r="G54" s="96"/>
      <c r="H54" s="64"/>
      <c r="I54" s="64"/>
      <c r="J54" s="64"/>
      <c r="K54" s="64"/>
      <c r="L54" s="64"/>
    </row>
    <row r="55" ht="16.5" customHeight="1">
      <c r="A55" s="64"/>
      <c r="B55" s="80" t="s">
        <v>18249</v>
      </c>
      <c r="C55" s="81" t="str">
        <f>IFERROR(__xludf.DUMMYFUNCTION("""COMPUTED_VALUE"""),"AlfRendo123")</f>
        <v>AlfRendo123</v>
      </c>
      <c r="D55" s="75">
        <f>IFERROR(__xludf.DUMMYFUNCTION("""COMPUTED_VALUE"""),0.0)</f>
        <v>0</v>
      </c>
      <c r="E55" s="75" t="str">
        <f>IFERROR(__xludf.DUMMYFUNCTION("IF(LEN(C55)=0,"""",QUERY(Archive!C:C,""Select COUNT(C) WHERE lower(C) contains '""&amp;LOWER(C55)&amp;""' LABEL COUNT(C) ''""))"),"#N/A")</f>
        <v>#N/A</v>
      </c>
      <c r="F55" s="95"/>
      <c r="G55" s="96"/>
      <c r="H55" s="64"/>
      <c r="I55" s="64"/>
      <c r="J55" s="64"/>
      <c r="K55" s="64"/>
      <c r="L55" s="64"/>
    </row>
    <row r="56" ht="16.5" customHeight="1">
      <c r="A56" s="64"/>
      <c r="B56" s="80" t="s">
        <v>18249</v>
      </c>
      <c r="C56" s="81" t="str">
        <f>IFERROR(__xludf.DUMMYFUNCTION("""COMPUTED_VALUE"""),"Alheri")</f>
        <v>Alheri</v>
      </c>
      <c r="D56" s="75">
        <f>IFERROR(__xludf.DUMMYFUNCTION("""COMPUTED_VALUE"""),0.0)</f>
        <v>0</v>
      </c>
      <c r="E56" s="75" t="str">
        <f>IFERROR(__xludf.DUMMYFUNCTION("IF(LEN(C56)=0,"""",QUERY(Archive!C:C,""Select COUNT(C) WHERE lower(C) contains '""&amp;LOWER(C56)&amp;""' LABEL COUNT(C) ''""))"),"#N/A")</f>
        <v>#N/A</v>
      </c>
      <c r="F56" s="95"/>
      <c r="G56" s="96"/>
      <c r="H56" s="64"/>
      <c r="I56" s="64"/>
      <c r="J56" s="64"/>
      <c r="K56" s="64"/>
      <c r="L56" s="64"/>
    </row>
    <row r="57" ht="16.5" customHeight="1">
      <c r="A57" s="64"/>
      <c r="B57" s="80" t="s">
        <v>18249</v>
      </c>
      <c r="C57" s="81" t="str">
        <f>IFERROR(__xludf.DUMMYFUNCTION("""COMPUTED_VALUE"""),"AliBunting68")</f>
        <v>AliBunting68</v>
      </c>
      <c r="D57" s="75">
        <f>IFERROR(__xludf.DUMMYFUNCTION("""COMPUTED_VALUE"""),0.0)</f>
        <v>0</v>
      </c>
      <c r="E57" s="75" t="str">
        <f>IFERROR(__xludf.DUMMYFUNCTION("IF(LEN(C57)=0,"""",QUERY(Archive!C:C,""Select COUNT(C) WHERE lower(C) contains '""&amp;LOWER(C57)&amp;""' LABEL COUNT(C) ''""))"),"#N/A")</f>
        <v>#N/A</v>
      </c>
      <c r="F57" s="95"/>
      <c r="G57" s="96"/>
      <c r="H57" s="64"/>
      <c r="I57" s="64"/>
      <c r="J57" s="64"/>
      <c r="K57" s="64"/>
      <c r="L57" s="64"/>
    </row>
    <row r="58" ht="16.5" customHeight="1">
      <c r="A58" s="64"/>
      <c r="B58" s="80" t="s">
        <v>18249</v>
      </c>
      <c r="C58" s="81" t="str">
        <f>IFERROR(__xludf.DUMMYFUNCTION("""COMPUTED_VALUE"""),"AlisonmarYr")</f>
        <v>AlisonmarYr</v>
      </c>
      <c r="D58" s="75">
        <f>IFERROR(__xludf.DUMMYFUNCTION("""COMPUTED_VALUE"""),0.0)</f>
        <v>0</v>
      </c>
      <c r="E58" s="75" t="str">
        <f>IFERROR(__xludf.DUMMYFUNCTION("IF(LEN(C58)=0,"""",QUERY(Archive!C:C,""Select COUNT(C) WHERE lower(C) contains '""&amp;LOWER(C58)&amp;""' LABEL COUNT(C) ''""))"),"#N/A")</f>
        <v>#N/A</v>
      </c>
      <c r="F58" s="95"/>
      <c r="G58" s="96"/>
      <c r="H58" s="64"/>
      <c r="I58" s="64"/>
      <c r="J58" s="64"/>
      <c r="K58" s="64"/>
      <c r="L58" s="64"/>
    </row>
    <row r="59" ht="16.5" customHeight="1">
      <c r="A59" s="64"/>
      <c r="B59" s="80" t="s">
        <v>18249</v>
      </c>
      <c r="C59" s="81" t="str">
        <f>IFERROR(__xludf.DUMMYFUNCTION("""COMPUTED_VALUE"""),"Alisonmossy1")</f>
        <v>Alisonmossy1</v>
      </c>
      <c r="D59" s="75">
        <f>IFERROR(__xludf.DUMMYFUNCTION("""COMPUTED_VALUE"""),0.0)</f>
        <v>0</v>
      </c>
      <c r="E59" s="75" t="str">
        <f>IFERROR(__xludf.DUMMYFUNCTION("IF(LEN(C59)=0,"""",QUERY(Archive!C:C,""Select COUNT(C) WHERE lower(C) contains '""&amp;LOWER(C59)&amp;""' LABEL COUNT(C) ''""))"),"#N/A")</f>
        <v>#N/A</v>
      </c>
      <c r="F59" s="95"/>
      <c r="G59" s="96"/>
      <c r="H59" s="64"/>
      <c r="I59" s="64"/>
      <c r="J59" s="64"/>
      <c r="K59" s="64"/>
      <c r="L59" s="64"/>
    </row>
    <row r="60" ht="16.5" customHeight="1">
      <c r="A60" s="64"/>
      <c r="B60" s="80" t="s">
        <v>18249</v>
      </c>
      <c r="C60" s="81" t="str">
        <f>IFERROR(__xludf.DUMMYFUNCTION("""COMPUTED_VALUE"""),"AllanSkerratt")</f>
        <v>AllanSkerratt</v>
      </c>
      <c r="D60" s="75">
        <f>IFERROR(__xludf.DUMMYFUNCTION("""COMPUTED_VALUE"""),0.0)</f>
        <v>0</v>
      </c>
      <c r="E60" s="75" t="str">
        <f>IFERROR(__xludf.DUMMYFUNCTION("IF(LEN(C60)=0,"""",QUERY(Archive!C:C,""Select COUNT(C) WHERE lower(C) contains '""&amp;LOWER(C60)&amp;""' LABEL COUNT(C) ''""))"),"#N/A")</f>
        <v>#N/A</v>
      </c>
      <c r="F60" s="95"/>
      <c r="G60" s="96"/>
      <c r="H60" s="64"/>
      <c r="I60" s="64"/>
      <c r="J60" s="64"/>
      <c r="K60" s="64"/>
      <c r="L60" s="64"/>
    </row>
    <row r="61" ht="16.5" customHeight="1">
      <c r="A61" s="64"/>
      <c r="B61" s="80" t="s">
        <v>18249</v>
      </c>
      <c r="C61" s="81" t="str">
        <f>IFERROR(__xludf.DUMMYFUNCTION("""COMPUTED_VALUE"""),"AllenHernaman")</f>
        <v>AllenHernaman</v>
      </c>
      <c r="D61" s="75">
        <f>IFERROR(__xludf.DUMMYFUNCTION("""COMPUTED_VALUE"""),0.0)</f>
        <v>0</v>
      </c>
      <c r="E61" s="75" t="str">
        <f>IFERROR(__xludf.DUMMYFUNCTION("IF(LEN(C61)=0,"""",QUERY(Archive!C:C,""Select COUNT(C) WHERE lower(C) contains '""&amp;LOWER(C61)&amp;""' LABEL COUNT(C) ''""))"),"#N/A")</f>
        <v>#N/A</v>
      </c>
      <c r="F61" s="95"/>
      <c r="G61" s="96"/>
      <c r="H61" s="64"/>
      <c r="I61" s="64"/>
      <c r="J61" s="64"/>
      <c r="K61" s="64"/>
      <c r="L61" s="64"/>
    </row>
    <row r="62" ht="16.5" customHeight="1">
      <c r="A62" s="64"/>
      <c r="B62" s="80" t="s">
        <v>18249</v>
      </c>
      <c r="C62" s="81" t="str">
        <f>IFERROR(__xludf.DUMMYFUNCTION("""COMPUTED_VALUE"""),"AlliManson")</f>
        <v>AlliManson</v>
      </c>
      <c r="D62" s="75">
        <f>IFERROR(__xludf.DUMMYFUNCTION("""COMPUTED_VALUE"""),0.0)</f>
        <v>0</v>
      </c>
      <c r="E62" s="75" t="str">
        <f>IFERROR(__xludf.DUMMYFUNCTION("IF(LEN(C62)=0,"""",QUERY(Archive!C:C,""Select COUNT(C) WHERE lower(C) contains '""&amp;LOWER(C62)&amp;""' LABEL COUNT(C) ''""))"),"#N/A")</f>
        <v>#N/A</v>
      </c>
      <c r="F62" s="95"/>
      <c r="G62" s="96"/>
      <c r="H62" s="64"/>
      <c r="I62" s="64"/>
      <c r="J62" s="64"/>
      <c r="K62" s="64"/>
      <c r="L62" s="64"/>
    </row>
    <row r="63" ht="16.5" customHeight="1">
      <c r="A63" s="64"/>
      <c r="B63" s="80" t="s">
        <v>18249</v>
      </c>
      <c r="C63" s="81" t="str">
        <f>IFERROR(__xludf.DUMMYFUNCTION("""COMPUTED_VALUE"""),"AllyParry")</f>
        <v>AllyParry</v>
      </c>
      <c r="D63" s="75">
        <f>IFERROR(__xludf.DUMMYFUNCTION("""COMPUTED_VALUE"""),0.0)</f>
        <v>0</v>
      </c>
      <c r="E63" s="75" t="str">
        <f>IFERROR(__xludf.DUMMYFUNCTION("IF(LEN(C63)=0,"""",QUERY(Archive!C:C,""Select COUNT(C) WHERE lower(C) contains '""&amp;LOWER(C63)&amp;""' LABEL COUNT(C) ''""))"),"#N/A")</f>
        <v>#N/A</v>
      </c>
      <c r="F63" s="95"/>
      <c r="G63" s="96"/>
      <c r="H63" s="64"/>
      <c r="I63" s="64"/>
      <c r="J63" s="64"/>
      <c r="K63" s="64"/>
      <c r="L63" s="64"/>
    </row>
    <row r="64" ht="16.5" customHeight="1">
      <c r="A64" s="64"/>
      <c r="B64" s="80" t="s">
        <v>18249</v>
      </c>
      <c r="C64" s="81" t="str">
        <f>IFERROR(__xludf.DUMMYFUNCTION("""COMPUTED_VALUE"""),"Allyjambo")</f>
        <v>Allyjambo</v>
      </c>
      <c r="D64" s="75">
        <f>IFERROR(__xludf.DUMMYFUNCTION("""COMPUTED_VALUE"""),0.0)</f>
        <v>0</v>
      </c>
      <c r="E64" s="75" t="str">
        <f>IFERROR(__xludf.DUMMYFUNCTION("IF(LEN(C64)=0,"""",QUERY(Archive!C:C,""Select COUNT(C) WHERE lower(C) contains '""&amp;LOWER(C64)&amp;""' LABEL COUNT(C) ''""))"),"#N/A")</f>
        <v>#N/A</v>
      </c>
      <c r="F64" s="95"/>
      <c r="G64" s="96"/>
      <c r="H64" s="64"/>
      <c r="I64" s="64"/>
      <c r="J64" s="64"/>
      <c r="K64" s="64"/>
      <c r="L64" s="64"/>
    </row>
    <row r="65" ht="16.5" customHeight="1">
      <c r="A65" s="64"/>
      <c r="B65" s="80" t="s">
        <v>18249</v>
      </c>
      <c r="C65" s="81" t="str">
        <f>IFERROR(__xludf.DUMMYFUNCTION("""COMPUTED_VALUE"""),"AlportTaylor")</f>
        <v>AlportTaylor</v>
      </c>
      <c r="D65" s="75">
        <f>IFERROR(__xludf.DUMMYFUNCTION("""COMPUTED_VALUE"""),0.0)</f>
        <v>0</v>
      </c>
      <c r="E65" s="75" t="str">
        <f>IFERROR(__xludf.DUMMYFUNCTION("IF(LEN(C65)=0,"""",QUERY(Archive!C:C,""Select COUNT(C) WHERE lower(C) contains '""&amp;LOWER(C65)&amp;""' LABEL COUNT(C) ''""))"),"#N/A")</f>
        <v>#N/A</v>
      </c>
      <c r="F65" s="95"/>
      <c r="G65" s="96"/>
      <c r="H65" s="64"/>
      <c r="I65" s="64"/>
      <c r="J65" s="64"/>
      <c r="K65" s="64"/>
      <c r="L65" s="64"/>
    </row>
    <row r="66" ht="16.5" customHeight="1">
      <c r="A66" s="64"/>
      <c r="B66" s="80" t="s">
        <v>18249</v>
      </c>
      <c r="C66" s="81" t="str">
        <f>IFERROR(__xludf.DUMMYFUNCTION("""COMPUTED_VALUE"""),"AlvinFord14")</f>
        <v>AlvinFord14</v>
      </c>
      <c r="D66" s="75">
        <f>IFERROR(__xludf.DUMMYFUNCTION("""COMPUTED_VALUE"""),0.0)</f>
        <v>0</v>
      </c>
      <c r="E66" s="75" t="str">
        <f>IFERROR(__xludf.DUMMYFUNCTION("IF(LEN(C66)=0,"""",QUERY(Archive!C:C,""Select COUNT(C) WHERE lower(C) contains '""&amp;LOWER(C66)&amp;""' LABEL COUNT(C) ''""))"),"#N/A")</f>
        <v>#N/A</v>
      </c>
      <c r="F66" s="95"/>
      <c r="G66" s="96"/>
      <c r="H66" s="64"/>
      <c r="I66" s="64"/>
      <c r="J66" s="64"/>
      <c r="K66" s="64"/>
      <c r="L66" s="64"/>
    </row>
    <row r="67" ht="16.5" customHeight="1">
      <c r="A67" s="64"/>
      <c r="B67" s="80" t="s">
        <v>18249</v>
      </c>
      <c r="C67" s="81" t="str">
        <f>IFERROR(__xludf.DUMMYFUNCTION("""COMPUTED_VALUE"""),"Always_a_Yes")</f>
        <v>Always_a_Yes</v>
      </c>
      <c r="D67" s="75">
        <f>IFERROR(__xludf.DUMMYFUNCTION("""COMPUTED_VALUE"""),0.0)</f>
        <v>0</v>
      </c>
      <c r="E67" s="75" t="str">
        <f>IFERROR(__xludf.DUMMYFUNCTION("IF(LEN(C67)=0,"""",QUERY(Archive!C:C,""Select COUNT(C) WHERE lower(C) contains '""&amp;LOWER(C67)&amp;""' LABEL COUNT(C) ''""))"),"#N/A")</f>
        <v>#N/A</v>
      </c>
      <c r="F67" s="95"/>
      <c r="G67" s="96"/>
      <c r="H67" s="64"/>
      <c r="I67" s="64"/>
      <c r="J67" s="64"/>
      <c r="K67" s="64"/>
      <c r="L67" s="64"/>
    </row>
    <row r="68" ht="16.5" customHeight="1">
      <c r="A68" s="64"/>
      <c r="B68" s="80" t="s">
        <v>18249</v>
      </c>
      <c r="C68" s="81" t="str">
        <f>IFERROR(__xludf.DUMMYFUNCTION("""COMPUTED_VALUE"""),"AmandaGWEU")</f>
        <v>AmandaGWEU</v>
      </c>
      <c r="D68" s="75">
        <f>IFERROR(__xludf.DUMMYFUNCTION("""COMPUTED_VALUE"""),0.0)</f>
        <v>0</v>
      </c>
      <c r="E68" s="75" t="str">
        <f>IFERROR(__xludf.DUMMYFUNCTION("IF(LEN(C68)=0,"""",QUERY(Archive!C:C,""Select COUNT(C) WHERE lower(C) contains '""&amp;LOWER(C68)&amp;""' LABEL COUNT(C) ''""))"),"#N/A")</f>
        <v>#N/A</v>
      </c>
      <c r="F68" s="95"/>
      <c r="G68" s="96"/>
      <c r="H68" s="64"/>
      <c r="I68" s="64"/>
      <c r="J68" s="64"/>
      <c r="K68" s="64"/>
      <c r="L68" s="64"/>
    </row>
    <row r="69" ht="16.5" customHeight="1">
      <c r="A69" s="64"/>
      <c r="B69" s="80" t="s">
        <v>18249</v>
      </c>
      <c r="C69" s="81" t="str">
        <f>IFERROR(__xludf.DUMMYFUNCTION("""COMPUTED_VALUE"""),"Amanda_4d")</f>
        <v>Amanda_4d</v>
      </c>
      <c r="D69" s="75">
        <f>IFERROR(__xludf.DUMMYFUNCTION("""COMPUTED_VALUE"""),0.0)</f>
        <v>0</v>
      </c>
      <c r="E69" s="75" t="str">
        <f>IFERROR(__xludf.DUMMYFUNCTION("IF(LEN(C69)=0,"""",QUERY(Archive!C:C,""Select COUNT(C) WHERE lower(C) contains '""&amp;LOWER(C69)&amp;""' LABEL COUNT(C) ''""))"),"#N/A")</f>
        <v>#N/A</v>
      </c>
      <c r="F69" s="95"/>
      <c r="G69" s="96"/>
      <c r="H69" s="64"/>
      <c r="I69" s="64"/>
      <c r="J69" s="64"/>
      <c r="K69" s="64"/>
      <c r="L69" s="64"/>
    </row>
    <row r="70" ht="16.5" customHeight="1">
      <c r="A70" s="64"/>
      <c r="B70" s="80" t="s">
        <v>18249</v>
      </c>
      <c r="C70" s="81" t="str">
        <f>IFERROR(__xludf.DUMMYFUNCTION("""COMPUTED_VALUE"""),"AmandalikesRick")</f>
        <v>AmandalikesRick</v>
      </c>
      <c r="D70" s="75">
        <f>IFERROR(__xludf.DUMMYFUNCTION("""COMPUTED_VALUE"""),0.0)</f>
        <v>0</v>
      </c>
      <c r="E70" s="75" t="str">
        <f>IFERROR(__xludf.DUMMYFUNCTION("IF(LEN(C70)=0,"""",QUERY(Archive!C:C,""Select COUNT(C) WHERE lower(C) contains '""&amp;LOWER(C70)&amp;""' LABEL COUNT(C) ''""))"),"#N/A")</f>
        <v>#N/A</v>
      </c>
      <c r="F70" s="95"/>
      <c r="G70" s="96"/>
      <c r="H70" s="64"/>
      <c r="I70" s="64"/>
      <c r="J70" s="64"/>
      <c r="K70" s="64"/>
      <c r="L70" s="64"/>
    </row>
    <row r="71" ht="16.5" customHeight="1">
      <c r="A71" s="64"/>
      <c r="B71" s="80" t="s">
        <v>18249</v>
      </c>
      <c r="C71" s="81" t="str">
        <f>IFERROR(__xludf.DUMMYFUNCTION("""COMPUTED_VALUE"""),"AnExiledScot")</f>
        <v>AnExiledScot</v>
      </c>
      <c r="D71" s="75">
        <f>IFERROR(__xludf.DUMMYFUNCTION("""COMPUTED_VALUE"""),0.0)</f>
        <v>0</v>
      </c>
      <c r="E71" s="75" t="str">
        <f>IFERROR(__xludf.DUMMYFUNCTION("IF(LEN(C71)=0,"""",QUERY(Archive!C:C,""Select COUNT(C) WHERE lower(C) contains '""&amp;LOWER(C71)&amp;""' LABEL COUNT(C) ''""))"),"#N/A")</f>
        <v>#N/A</v>
      </c>
      <c r="F71" s="95"/>
      <c r="G71" s="96"/>
      <c r="H71" s="64"/>
      <c r="I71" s="64"/>
      <c r="J71" s="64"/>
      <c r="K71" s="64"/>
      <c r="L71" s="64"/>
    </row>
    <row r="72" ht="16.5" customHeight="1">
      <c r="A72" s="64"/>
      <c r="B72" s="80" t="s">
        <v>18249</v>
      </c>
      <c r="C72" s="81" t="str">
        <f>IFERROR(__xludf.DUMMYFUNCTION("""COMPUTED_VALUE"""),"AndIlkley")</f>
        <v>AndIlkley</v>
      </c>
      <c r="D72" s="75">
        <f>IFERROR(__xludf.DUMMYFUNCTION("""COMPUTED_VALUE"""),0.0)</f>
        <v>0</v>
      </c>
      <c r="E72" s="75" t="str">
        <f>IFERROR(__xludf.DUMMYFUNCTION("IF(LEN(C72)=0,"""",QUERY(Archive!C:C,""Select COUNT(C) WHERE lower(C) contains '""&amp;LOWER(C72)&amp;""' LABEL COUNT(C) ''""))"),"#N/A")</f>
        <v>#N/A</v>
      </c>
      <c r="F72" s="95"/>
      <c r="G72" s="96"/>
      <c r="H72" s="64"/>
      <c r="I72" s="64"/>
      <c r="J72" s="64"/>
      <c r="K72" s="64"/>
      <c r="L72" s="64"/>
    </row>
    <row r="73" ht="16.5" customHeight="1">
      <c r="A73" s="64"/>
      <c r="B73" s="80" t="s">
        <v>18249</v>
      </c>
      <c r="C73" s="81" t="str">
        <f>IFERROR(__xludf.DUMMYFUNCTION("""COMPUTED_VALUE"""),"Andrade1357")</f>
        <v>Andrade1357</v>
      </c>
      <c r="D73" s="75">
        <f>IFERROR(__xludf.DUMMYFUNCTION("""COMPUTED_VALUE"""),0.0)</f>
        <v>0</v>
      </c>
      <c r="E73" s="75" t="str">
        <f>IFERROR(__xludf.DUMMYFUNCTION("IF(LEN(C73)=0,"""",QUERY(Archive!C:C,""Select COUNT(C) WHERE lower(C) contains '""&amp;LOWER(C73)&amp;""' LABEL COUNT(C) ''""))"),"#N/A")</f>
        <v>#N/A</v>
      </c>
      <c r="F73" s="95"/>
      <c r="G73" s="96"/>
      <c r="H73" s="64"/>
      <c r="I73" s="64"/>
      <c r="J73" s="64"/>
      <c r="K73" s="64"/>
      <c r="L73" s="64"/>
    </row>
    <row r="74" ht="16.5" customHeight="1">
      <c r="A74" s="64"/>
      <c r="B74" s="80" t="s">
        <v>18249</v>
      </c>
      <c r="C74" s="81" t="str">
        <f>IFERROR(__xludf.DUMMYFUNCTION("""COMPUTED_VALUE"""),"AndreaMatyellow")</f>
        <v>AndreaMatyellow</v>
      </c>
      <c r="D74" s="75">
        <f>IFERROR(__xludf.DUMMYFUNCTION("""COMPUTED_VALUE"""),0.0)</f>
        <v>0</v>
      </c>
      <c r="E74" s="75" t="str">
        <f>IFERROR(__xludf.DUMMYFUNCTION("IF(LEN(C74)=0,"""",QUERY(Archive!C:C,""Select COUNT(C) WHERE lower(C) contains '""&amp;LOWER(C74)&amp;""' LABEL COUNT(C) ''""))"),"#N/A")</f>
        <v>#N/A</v>
      </c>
      <c r="F74" s="95"/>
      <c r="G74" s="96"/>
      <c r="H74" s="64"/>
      <c r="I74" s="64"/>
      <c r="J74" s="64"/>
      <c r="K74" s="64"/>
      <c r="L74" s="64"/>
    </row>
    <row r="75" ht="16.5" customHeight="1">
      <c r="A75" s="64"/>
      <c r="B75" s="80" t="s">
        <v>18249</v>
      </c>
      <c r="C75" s="81" t="str">
        <f>IFERROR(__xludf.DUMMYFUNCTION("""COMPUTED_VALUE"""),"AndrewJamesMM")</f>
        <v>AndrewJamesMM</v>
      </c>
      <c r="D75" s="75">
        <f>IFERROR(__xludf.DUMMYFUNCTION("""COMPUTED_VALUE"""),0.0)</f>
        <v>0</v>
      </c>
      <c r="E75" s="75" t="str">
        <f>IFERROR(__xludf.DUMMYFUNCTION("IF(LEN(C75)=0,"""",QUERY(Archive!C:C,""Select COUNT(C) WHERE lower(C) contains '""&amp;LOWER(C75)&amp;""' LABEL COUNT(C) ''""))"),"#N/A")</f>
        <v>#N/A</v>
      </c>
      <c r="F75" s="95"/>
      <c r="G75" s="96"/>
      <c r="H75" s="64"/>
      <c r="I75" s="64"/>
      <c r="J75" s="64"/>
      <c r="K75" s="64"/>
      <c r="L75" s="64"/>
    </row>
    <row r="76" ht="16.5" customHeight="1">
      <c r="A76" s="64"/>
      <c r="B76" s="80" t="s">
        <v>18249</v>
      </c>
      <c r="C76" s="81" t="str">
        <f>IFERROR(__xludf.DUMMYFUNCTION("""COMPUTED_VALUE"""),"AndrewOJ21MPP")</f>
        <v>AndrewOJ21MPP</v>
      </c>
      <c r="D76" s="75">
        <f>IFERROR(__xludf.DUMMYFUNCTION("""COMPUTED_VALUE"""),0.0)</f>
        <v>0</v>
      </c>
      <c r="E76" s="75" t="str">
        <f>IFERROR(__xludf.DUMMYFUNCTION("IF(LEN(C76)=0,"""",QUERY(Archive!C:C,""Select COUNT(C) WHERE lower(C) contains '""&amp;LOWER(C76)&amp;""' LABEL COUNT(C) ''""))"),"#N/A")</f>
        <v>#N/A</v>
      </c>
      <c r="F76" s="95"/>
      <c r="G76" s="96"/>
      <c r="H76" s="64"/>
      <c r="I76" s="64"/>
      <c r="J76" s="64"/>
      <c r="K76" s="64"/>
      <c r="L76" s="64"/>
    </row>
    <row r="77" ht="16.5" customHeight="1">
      <c r="A77" s="64"/>
      <c r="B77" s="80" t="s">
        <v>18249</v>
      </c>
      <c r="C77" s="81" t="str">
        <f>IFERROR(__xludf.DUMMYFUNCTION("""COMPUTED_VALUE"""),"AndrewRemainEU")</f>
        <v>AndrewRemainEU</v>
      </c>
      <c r="D77" s="75">
        <f>IFERROR(__xludf.DUMMYFUNCTION("""COMPUTED_VALUE"""),0.0)</f>
        <v>0</v>
      </c>
      <c r="E77" s="75" t="str">
        <f>IFERROR(__xludf.DUMMYFUNCTION("IF(LEN(C77)=0,"""",QUERY(Archive!C:C,""Select COUNT(C) WHERE lower(C) contains '""&amp;LOWER(C77)&amp;""' LABEL COUNT(C) ''""))"),"#N/A")</f>
        <v>#N/A</v>
      </c>
      <c r="F77" s="95"/>
      <c r="G77" s="96"/>
      <c r="H77" s="64"/>
      <c r="I77" s="64"/>
      <c r="J77" s="64"/>
      <c r="K77" s="64"/>
      <c r="L77" s="64"/>
    </row>
    <row r="78" ht="16.5" customHeight="1">
      <c r="A78" s="64"/>
      <c r="B78" s="80" t="s">
        <v>18249</v>
      </c>
      <c r="C78" s="81" t="str">
        <f>IFERROR(__xludf.DUMMYFUNCTION("""COMPUTED_VALUE"""),"Andrew_apac")</f>
        <v>Andrew_apac</v>
      </c>
      <c r="D78" s="75">
        <f>IFERROR(__xludf.DUMMYFUNCTION("""COMPUTED_VALUE"""),0.0)</f>
        <v>0</v>
      </c>
      <c r="E78" s="75" t="str">
        <f>IFERROR(__xludf.DUMMYFUNCTION("IF(LEN(C78)=0,"""",QUERY(Archive!C:C,""Select COUNT(C) WHERE lower(C) contains '""&amp;LOWER(C78)&amp;""' LABEL COUNT(C) ''""))"),"#N/A")</f>
        <v>#N/A</v>
      </c>
      <c r="F78" s="95"/>
      <c r="G78" s="96"/>
      <c r="H78" s="64"/>
      <c r="I78" s="64"/>
      <c r="J78" s="64"/>
      <c r="K78" s="64"/>
      <c r="L78" s="64"/>
    </row>
    <row r="79" ht="16.5" customHeight="1">
      <c r="A79" s="64"/>
      <c r="B79" s="80" t="s">
        <v>18249</v>
      </c>
      <c r="C79" s="81" t="str">
        <f>IFERROR(__xludf.DUMMYFUNCTION("""COMPUTED_VALUE"""),"AndyFarquhar2")</f>
        <v>AndyFarquhar2</v>
      </c>
      <c r="D79" s="75">
        <f>IFERROR(__xludf.DUMMYFUNCTION("""COMPUTED_VALUE"""),0.0)</f>
        <v>0</v>
      </c>
      <c r="E79" s="75" t="str">
        <f>IFERROR(__xludf.DUMMYFUNCTION("IF(LEN(C79)=0,"""",QUERY(Archive!C:C,""Select COUNT(C) WHERE lower(C) contains '""&amp;LOWER(C79)&amp;""' LABEL COUNT(C) ''""))"),"#N/A")</f>
        <v>#N/A</v>
      </c>
      <c r="F79" s="95"/>
      <c r="G79" s="96"/>
      <c r="H79" s="64"/>
      <c r="I79" s="64"/>
      <c r="J79" s="64"/>
      <c r="K79" s="64"/>
      <c r="L79" s="64"/>
    </row>
    <row r="80" ht="16.5" customHeight="1">
      <c r="A80" s="64"/>
      <c r="B80" s="80" t="s">
        <v>18249</v>
      </c>
      <c r="C80" s="81" t="str">
        <f>IFERROR(__xludf.DUMMYFUNCTION("""COMPUTED_VALUE"""),"AndyGerard100")</f>
        <v>AndyGerard100</v>
      </c>
      <c r="D80" s="75">
        <f>IFERROR(__xludf.DUMMYFUNCTION("""COMPUTED_VALUE"""),0.0)</f>
        <v>0</v>
      </c>
      <c r="E80" s="75" t="str">
        <f>IFERROR(__xludf.DUMMYFUNCTION("IF(LEN(C80)=0,"""",QUERY(Archive!C:C,""Select COUNT(C) WHERE lower(C) contains '""&amp;LOWER(C80)&amp;""' LABEL COUNT(C) ''""))"),"#N/A")</f>
        <v>#N/A</v>
      </c>
      <c r="F80" s="95"/>
      <c r="G80" s="96"/>
      <c r="H80" s="64"/>
      <c r="I80" s="64"/>
      <c r="J80" s="64"/>
      <c r="K80" s="64"/>
      <c r="L80" s="64"/>
    </row>
    <row r="81" ht="16.5" customHeight="1">
      <c r="A81" s="64"/>
      <c r="B81" s="80" t="s">
        <v>18249</v>
      </c>
      <c r="C81" s="81" t="str">
        <f>IFERROR(__xludf.DUMMYFUNCTION("""COMPUTED_VALUE"""),"AndyGreen_40")</f>
        <v>AndyGreen_40</v>
      </c>
      <c r="D81" s="75">
        <f>IFERROR(__xludf.DUMMYFUNCTION("""COMPUTED_VALUE"""),0.0)</f>
        <v>0</v>
      </c>
      <c r="E81" s="75" t="str">
        <f>IFERROR(__xludf.DUMMYFUNCTION("IF(LEN(C81)=0,"""",QUERY(Archive!C:C,""Select COUNT(C) WHERE lower(C) contains '""&amp;LOWER(C81)&amp;""' LABEL COUNT(C) ''""))"),"#N/A")</f>
        <v>#N/A</v>
      </c>
      <c r="F81" s="95"/>
      <c r="G81" s="96"/>
      <c r="H81" s="64"/>
      <c r="I81" s="64"/>
      <c r="J81" s="64"/>
      <c r="K81" s="64"/>
      <c r="L81" s="64"/>
    </row>
    <row r="82" ht="16.5" customHeight="1">
      <c r="A82" s="64"/>
      <c r="B82" s="80" t="s">
        <v>18249</v>
      </c>
      <c r="C82" s="81" t="str">
        <f>IFERROR(__xludf.DUMMYFUNCTION("""COMPUTED_VALUE"""),"AndyHustler2")</f>
        <v>AndyHustler2</v>
      </c>
      <c r="D82" s="75">
        <f>IFERROR(__xludf.DUMMYFUNCTION("""COMPUTED_VALUE"""),0.0)</f>
        <v>0</v>
      </c>
      <c r="E82" s="75" t="str">
        <f>IFERROR(__xludf.DUMMYFUNCTION("IF(LEN(C82)=0,"""",QUERY(Archive!C:C,""Select COUNT(C) WHERE lower(C) contains '""&amp;LOWER(C82)&amp;""' LABEL COUNT(C) ''""))"),"#N/A")</f>
        <v>#N/A</v>
      </c>
      <c r="F82" s="95"/>
      <c r="G82" s="96"/>
      <c r="H82" s="64"/>
      <c r="I82" s="64"/>
      <c r="J82" s="64"/>
      <c r="K82" s="64"/>
      <c r="L82" s="64"/>
    </row>
    <row r="83" ht="16.5" customHeight="1">
      <c r="A83" s="64"/>
      <c r="B83" s="80" t="s">
        <v>18249</v>
      </c>
      <c r="C83" s="81" t="str">
        <f>IFERROR(__xludf.DUMMYFUNCTION("""COMPUTED_VALUE"""),"AndyLippok")</f>
        <v>AndyLippok</v>
      </c>
      <c r="D83" s="75">
        <f>IFERROR(__xludf.DUMMYFUNCTION("""COMPUTED_VALUE"""),0.0)</f>
        <v>0</v>
      </c>
      <c r="E83" s="75" t="str">
        <f>IFERROR(__xludf.DUMMYFUNCTION("IF(LEN(C83)=0,"""",QUERY(Archive!C:C,""Select COUNT(C) WHERE lower(C) contains '""&amp;LOWER(C83)&amp;""' LABEL COUNT(C) ''""))"),"#N/A")</f>
        <v>#N/A</v>
      </c>
      <c r="F83" s="95"/>
      <c r="G83" s="96"/>
      <c r="H83" s="64"/>
      <c r="I83" s="64"/>
      <c r="J83" s="64"/>
      <c r="K83" s="64"/>
      <c r="L83" s="64"/>
    </row>
    <row r="84" ht="16.5" customHeight="1">
      <c r="A84" s="64"/>
      <c r="B84" s="80" t="s">
        <v>18249</v>
      </c>
      <c r="C84" s="81" t="str">
        <f>IFERROR(__xludf.DUMMYFUNCTION("""COMPUTED_VALUE"""),"Andy_g1979")</f>
        <v>Andy_g1979</v>
      </c>
      <c r="D84" s="75">
        <f>IFERROR(__xludf.DUMMYFUNCTION("""COMPUTED_VALUE"""),0.0)</f>
        <v>0</v>
      </c>
      <c r="E84" s="75" t="str">
        <f>IFERROR(__xludf.DUMMYFUNCTION("IF(LEN(C84)=0,"""",QUERY(Archive!C:C,""Select COUNT(C) WHERE lower(C) contains '""&amp;LOWER(C84)&amp;""' LABEL COUNT(C) ''""))"),"#N/A")</f>
        <v>#N/A</v>
      </c>
      <c r="F84" s="95"/>
      <c r="G84" s="96"/>
      <c r="H84" s="64"/>
      <c r="I84" s="64"/>
      <c r="J84" s="64"/>
      <c r="K84" s="64"/>
      <c r="L84" s="64"/>
    </row>
    <row r="85" ht="16.5" customHeight="1">
      <c r="A85" s="64"/>
      <c r="B85" s="80" t="s">
        <v>18249</v>
      </c>
      <c r="C85" s="81" t="str">
        <f>IFERROR(__xludf.DUMMYFUNCTION("""COMPUTED_VALUE"""),"Andy_sMyName")</f>
        <v>Andy_sMyName</v>
      </c>
      <c r="D85" s="75">
        <f>IFERROR(__xludf.DUMMYFUNCTION("""COMPUTED_VALUE"""),0.0)</f>
        <v>0</v>
      </c>
      <c r="E85" s="75" t="str">
        <f>IFERROR(__xludf.DUMMYFUNCTION("IF(LEN(C85)=0,"""",QUERY(Archive!C:C,""Select COUNT(C) WHERE lower(C) contains '""&amp;LOWER(C85)&amp;""' LABEL COUNT(C) ''""))"),"#N/A")</f>
        <v>#N/A</v>
      </c>
      <c r="F85" s="95"/>
      <c r="G85" s="96"/>
      <c r="H85" s="64"/>
      <c r="I85" s="64"/>
      <c r="J85" s="64"/>
      <c r="K85" s="64"/>
      <c r="L85" s="64"/>
    </row>
    <row r="86" ht="16.5" customHeight="1">
      <c r="A86" s="64"/>
      <c r="B86" s="80" t="s">
        <v>18249</v>
      </c>
      <c r="C86" s="81" t="str">
        <f>IFERROR(__xludf.DUMMYFUNCTION("""COMPUTED_VALUE"""),"Andymorgantwit")</f>
        <v>Andymorgantwit</v>
      </c>
      <c r="D86" s="75">
        <f>IFERROR(__xludf.DUMMYFUNCTION("""COMPUTED_VALUE"""),0.0)</f>
        <v>0</v>
      </c>
      <c r="E86" s="75" t="str">
        <f>IFERROR(__xludf.DUMMYFUNCTION("IF(LEN(C86)=0,"""",QUERY(Archive!C:C,""Select COUNT(C) WHERE lower(C) contains '""&amp;LOWER(C86)&amp;""' LABEL COUNT(C) ''""))"),"#N/A")</f>
        <v>#N/A</v>
      </c>
      <c r="F86" s="95"/>
      <c r="G86" s="96"/>
      <c r="H86" s="64"/>
      <c r="I86" s="64"/>
      <c r="J86" s="64"/>
      <c r="K86" s="64"/>
      <c r="L86" s="64"/>
    </row>
    <row r="87" ht="16.5" customHeight="1">
      <c r="A87" s="64"/>
      <c r="B87" s="80" t="s">
        <v>18249</v>
      </c>
      <c r="C87" s="81" t="str">
        <f>IFERROR(__xludf.DUMMYFUNCTION("""COMPUTED_VALUE"""),"Ann06957684")</f>
        <v>Ann06957684</v>
      </c>
      <c r="D87" s="75">
        <f>IFERROR(__xludf.DUMMYFUNCTION("""COMPUTED_VALUE"""),0.0)</f>
        <v>0</v>
      </c>
      <c r="E87" s="75" t="str">
        <f>IFERROR(__xludf.DUMMYFUNCTION("IF(LEN(C87)=0,"""",QUERY(Archive!C:C,""Select COUNT(C) WHERE lower(C) contains '""&amp;LOWER(C87)&amp;""' LABEL COUNT(C) ''""))"),"#N/A")</f>
        <v>#N/A</v>
      </c>
      <c r="F87" s="95"/>
      <c r="G87" s="96"/>
      <c r="H87" s="64"/>
      <c r="I87" s="64"/>
      <c r="J87" s="64"/>
      <c r="K87" s="64"/>
      <c r="L87" s="64"/>
    </row>
    <row r="88" ht="16.5" customHeight="1">
      <c r="A88" s="64"/>
      <c r="B88" s="80" t="s">
        <v>18249</v>
      </c>
      <c r="C88" s="81" t="str">
        <f>IFERROR(__xludf.DUMMYFUNCTION("""COMPUTED_VALUE"""),"AnnEllis6")</f>
        <v>AnnEllis6</v>
      </c>
      <c r="D88" s="75">
        <f>IFERROR(__xludf.DUMMYFUNCTION("""COMPUTED_VALUE"""),0.0)</f>
        <v>0</v>
      </c>
      <c r="E88" s="75" t="str">
        <f>IFERROR(__xludf.DUMMYFUNCTION("IF(LEN(C88)=0,"""",QUERY(Archive!C:C,""Select COUNT(C) WHERE lower(C) contains '""&amp;LOWER(C88)&amp;""' LABEL COUNT(C) ''""))"),"#N/A")</f>
        <v>#N/A</v>
      </c>
      <c r="F88" s="95"/>
      <c r="G88" s="96"/>
      <c r="H88" s="64"/>
      <c r="I88" s="64"/>
      <c r="J88" s="64"/>
      <c r="K88" s="64"/>
      <c r="L88" s="64"/>
    </row>
    <row r="89" ht="16.5" customHeight="1">
      <c r="A89" s="64"/>
      <c r="B89" s="80" t="s">
        <v>18249</v>
      </c>
      <c r="C89" s="81" t="str">
        <f>IFERROR(__xludf.DUMMYFUNCTION("""COMPUTED_VALUE"""),"AnnSpencer001")</f>
        <v>AnnSpencer001</v>
      </c>
      <c r="D89" s="75">
        <f>IFERROR(__xludf.DUMMYFUNCTION("""COMPUTED_VALUE"""),0.0)</f>
        <v>0</v>
      </c>
      <c r="E89" s="75" t="str">
        <f>IFERROR(__xludf.DUMMYFUNCTION("IF(LEN(C89)=0,"""",QUERY(Archive!C:C,""Select COUNT(C) WHERE lower(C) contains '""&amp;LOWER(C89)&amp;""' LABEL COUNT(C) ''""))"),"#N/A")</f>
        <v>#N/A</v>
      </c>
      <c r="F89" s="95"/>
      <c r="G89" s="96"/>
      <c r="H89" s="64"/>
      <c r="I89" s="64"/>
      <c r="J89" s="64"/>
      <c r="K89" s="64"/>
      <c r="L89" s="64"/>
    </row>
    <row r="90" ht="16.5" customHeight="1">
      <c r="A90" s="64"/>
      <c r="B90" s="80" t="s">
        <v>18249</v>
      </c>
      <c r="C90" s="81" t="str">
        <f>IFERROR(__xludf.DUMMYFUNCTION("""COMPUTED_VALUE"""),"AnnaBatchelor")</f>
        <v>AnnaBatchelor</v>
      </c>
      <c r="D90" s="75">
        <f>IFERROR(__xludf.DUMMYFUNCTION("""COMPUTED_VALUE"""),0.0)</f>
        <v>0</v>
      </c>
      <c r="E90" s="75" t="str">
        <f>IFERROR(__xludf.DUMMYFUNCTION("IF(LEN(C90)=0,"""",QUERY(Archive!C:C,""Select COUNT(C) WHERE lower(C) contains '""&amp;LOWER(C90)&amp;""' LABEL COUNT(C) ''""))"),"#N/A")</f>
        <v>#N/A</v>
      </c>
      <c r="F90" s="95"/>
      <c r="G90" s="96"/>
      <c r="H90" s="64"/>
      <c r="I90" s="64"/>
      <c r="J90" s="64"/>
      <c r="K90" s="64"/>
      <c r="L90" s="64"/>
    </row>
    <row r="91" ht="16.5" customHeight="1">
      <c r="A91" s="64"/>
      <c r="B91" s="80" t="s">
        <v>18249</v>
      </c>
      <c r="C91" s="81" t="str">
        <f>IFERROR(__xludf.DUMMYFUNCTION("""COMPUTED_VALUE"""),"AnneMcEwan8")</f>
        <v>AnneMcEwan8</v>
      </c>
      <c r="D91" s="75">
        <f>IFERROR(__xludf.DUMMYFUNCTION("""COMPUTED_VALUE"""),0.0)</f>
        <v>0</v>
      </c>
      <c r="E91" s="75" t="str">
        <f>IFERROR(__xludf.DUMMYFUNCTION("IF(LEN(C91)=0,"""",QUERY(Archive!C:C,""Select COUNT(C) WHERE lower(C) contains '""&amp;LOWER(C91)&amp;""' LABEL COUNT(C) ''""))"),"#N/A")</f>
        <v>#N/A</v>
      </c>
      <c r="F91" s="95"/>
      <c r="G91" s="96"/>
      <c r="H91" s="64"/>
      <c r="I91" s="64"/>
      <c r="J91" s="64"/>
      <c r="K91" s="64"/>
      <c r="L91" s="64"/>
    </row>
    <row r="92" ht="16.5" customHeight="1">
      <c r="A92" s="64"/>
      <c r="B92" s="80" t="s">
        <v>18249</v>
      </c>
      <c r="C92" s="81" t="str">
        <f>IFERROR(__xludf.DUMMYFUNCTION("""COMPUTED_VALUE"""),"Annette56341407")</f>
        <v>Annette56341407</v>
      </c>
      <c r="D92" s="75">
        <f>IFERROR(__xludf.DUMMYFUNCTION("""COMPUTED_VALUE"""),0.0)</f>
        <v>0</v>
      </c>
      <c r="E92" s="75" t="str">
        <f>IFERROR(__xludf.DUMMYFUNCTION("IF(LEN(C92)=0,"""",QUERY(Archive!C:C,""Select COUNT(C) WHERE lower(C) contains '""&amp;LOWER(C92)&amp;""' LABEL COUNT(C) ''""))"),"#N/A")</f>
        <v>#N/A</v>
      </c>
      <c r="F92" s="95"/>
      <c r="G92" s="96"/>
      <c r="H92" s="64"/>
      <c r="I92" s="64"/>
      <c r="J92" s="64"/>
      <c r="K92" s="64"/>
      <c r="L92" s="64"/>
    </row>
    <row r="93" ht="16.5" customHeight="1">
      <c r="A93" s="64"/>
      <c r="B93" s="80" t="s">
        <v>18249</v>
      </c>
      <c r="C93" s="81" t="str">
        <f>IFERROR(__xludf.DUMMYFUNCTION("""COMPUTED_VALUE"""),"AnnetteSilvest3")</f>
        <v>AnnetteSilvest3</v>
      </c>
      <c r="D93" s="75">
        <f>IFERROR(__xludf.DUMMYFUNCTION("""COMPUTED_VALUE"""),0.0)</f>
        <v>0</v>
      </c>
      <c r="E93" s="75" t="str">
        <f>IFERROR(__xludf.DUMMYFUNCTION("IF(LEN(C93)=0,"""",QUERY(Archive!C:C,""Select COUNT(C) WHERE lower(C) contains '""&amp;LOWER(C93)&amp;""' LABEL COUNT(C) ''""))"),"#N/A")</f>
        <v>#N/A</v>
      </c>
      <c r="F93" s="95"/>
      <c r="G93" s="96"/>
      <c r="H93" s="64"/>
      <c r="I93" s="64"/>
      <c r="J93" s="64"/>
      <c r="K93" s="64"/>
      <c r="L93" s="64"/>
    </row>
    <row r="94" ht="16.5" customHeight="1">
      <c r="A94" s="64"/>
      <c r="B94" s="80" t="s">
        <v>18249</v>
      </c>
      <c r="C94" s="81" t="str">
        <f>IFERROR(__xludf.DUMMYFUNCTION("""COMPUTED_VALUE"""),"Annettewhatmou1")</f>
        <v>Annettewhatmou1</v>
      </c>
      <c r="D94" s="75">
        <f>IFERROR(__xludf.DUMMYFUNCTION("""COMPUTED_VALUE"""),0.0)</f>
        <v>0</v>
      </c>
      <c r="E94" s="75" t="str">
        <f>IFERROR(__xludf.DUMMYFUNCTION("IF(LEN(C94)=0,"""",QUERY(Archive!C:C,""Select COUNT(C) WHERE lower(C) contains '""&amp;LOWER(C94)&amp;""' LABEL COUNT(C) ''""))"),"#N/A")</f>
        <v>#N/A</v>
      </c>
      <c r="F94" s="95"/>
      <c r="G94" s="96"/>
      <c r="H94" s="64"/>
      <c r="I94" s="64"/>
      <c r="J94" s="64"/>
      <c r="K94" s="64"/>
      <c r="L94" s="64"/>
    </row>
    <row r="95" ht="16.5" customHeight="1">
      <c r="A95" s="64"/>
      <c r="B95" s="80" t="s">
        <v>18249</v>
      </c>
      <c r="C95" s="81" t="str">
        <f>IFERROR(__xludf.DUMMYFUNCTION("""COMPUTED_VALUE"""),"Anniepop2027")</f>
        <v>Anniepop2027</v>
      </c>
      <c r="D95" s="75">
        <f>IFERROR(__xludf.DUMMYFUNCTION("""COMPUTED_VALUE"""),0.0)</f>
        <v>0</v>
      </c>
      <c r="E95" s="75" t="str">
        <f>IFERROR(__xludf.DUMMYFUNCTION("IF(LEN(C95)=0,"""",QUERY(Archive!C:C,""Select COUNT(C) WHERE lower(C) contains '""&amp;LOWER(C95)&amp;""' LABEL COUNT(C) ''""))"),"#N/A")</f>
        <v>#N/A</v>
      </c>
      <c r="F95" s="95"/>
      <c r="G95" s="96"/>
      <c r="H95" s="64"/>
      <c r="I95" s="64"/>
      <c r="J95" s="64"/>
      <c r="K95" s="64"/>
      <c r="L95" s="64"/>
    </row>
    <row r="96" ht="16.5" customHeight="1">
      <c r="A96" s="64"/>
      <c r="B96" s="80" t="s">
        <v>18249</v>
      </c>
      <c r="C96" s="81" t="str">
        <f>IFERROR(__xludf.DUMMYFUNCTION("""COMPUTED_VALUE"""),"AntiEU2")</f>
        <v>AntiEU2</v>
      </c>
      <c r="D96" s="75">
        <f>IFERROR(__xludf.DUMMYFUNCTION("""COMPUTED_VALUE"""),0.0)</f>
        <v>0</v>
      </c>
      <c r="E96" s="75" t="str">
        <f>IFERROR(__xludf.DUMMYFUNCTION("IF(LEN(C96)=0,"""",QUERY(Archive!C:C,""Select COUNT(C) WHERE lower(C) contains '""&amp;LOWER(C96)&amp;""' LABEL COUNT(C) ''""))"),"#N/A")</f>
        <v>#N/A</v>
      </c>
      <c r="F96" s="95"/>
      <c r="G96" s="96"/>
      <c r="H96" s="64"/>
      <c r="I96" s="64"/>
      <c r="J96" s="64"/>
      <c r="K96" s="64"/>
      <c r="L96" s="64"/>
    </row>
    <row r="97" ht="16.5" customHeight="1">
      <c r="A97" s="64"/>
      <c r="B97" s="80" t="s">
        <v>18249</v>
      </c>
      <c r="C97" s="81" t="str">
        <f>IFERROR(__xludf.DUMMYFUNCTION("""COMPUTED_VALUE"""),"ApertureImage")</f>
        <v>ApertureImage</v>
      </c>
      <c r="D97" s="75">
        <f>IFERROR(__xludf.DUMMYFUNCTION("""COMPUTED_VALUE"""),0.0)</f>
        <v>0</v>
      </c>
      <c r="E97" s="75" t="str">
        <f>IFERROR(__xludf.DUMMYFUNCTION("IF(LEN(C97)=0,"""",QUERY(Archive!C:C,""Select COUNT(C) WHERE lower(C) contains '""&amp;LOWER(C97)&amp;""' LABEL COUNT(C) ''""))"),"#N/A")</f>
        <v>#N/A</v>
      </c>
      <c r="F97" s="95"/>
      <c r="G97" s="96"/>
      <c r="H97" s="64"/>
      <c r="I97" s="64"/>
      <c r="J97" s="64"/>
      <c r="K97" s="64"/>
      <c r="L97" s="64"/>
    </row>
    <row r="98" ht="16.5" customHeight="1">
      <c r="A98" s="64"/>
      <c r="B98" s="80" t="s">
        <v>18249</v>
      </c>
      <c r="C98" s="81" t="str">
        <f>IFERROR(__xludf.DUMMYFUNCTION("""COMPUTED_VALUE"""),"Architarist")</f>
        <v>Architarist</v>
      </c>
      <c r="D98" s="75">
        <f>IFERROR(__xludf.DUMMYFUNCTION("""COMPUTED_VALUE"""),0.0)</f>
        <v>0</v>
      </c>
      <c r="E98" s="75" t="str">
        <f>IFERROR(__xludf.DUMMYFUNCTION("IF(LEN(C98)=0,"""",QUERY(Archive!C:C,""Select COUNT(C) WHERE lower(C) contains '""&amp;LOWER(C98)&amp;""' LABEL COUNT(C) ''""))"),"#N/A")</f>
        <v>#N/A</v>
      </c>
      <c r="F98" s="95"/>
      <c r="G98" s="96"/>
      <c r="H98" s="64"/>
      <c r="I98" s="64"/>
      <c r="J98" s="64"/>
      <c r="K98" s="64"/>
      <c r="L98" s="64"/>
    </row>
    <row r="99" ht="16.5" customHeight="1">
      <c r="A99" s="64"/>
      <c r="B99" s="80" t="s">
        <v>18249</v>
      </c>
      <c r="C99" s="81" t="str">
        <f>IFERROR(__xludf.DUMMYFUNCTION("""COMPUTED_VALUE"""),"ArchonLondon")</f>
        <v>ArchonLondon</v>
      </c>
      <c r="D99" s="75">
        <f>IFERROR(__xludf.DUMMYFUNCTION("""COMPUTED_VALUE"""),0.0)</f>
        <v>0</v>
      </c>
      <c r="E99" s="75" t="str">
        <f>IFERROR(__xludf.DUMMYFUNCTION("IF(LEN(C99)=0,"""",QUERY(Archive!C:C,""Select COUNT(C) WHERE lower(C) contains '""&amp;LOWER(C99)&amp;""' LABEL COUNT(C) ''""))"),"#N/A")</f>
        <v>#N/A</v>
      </c>
      <c r="F99" s="95"/>
      <c r="G99" s="96"/>
      <c r="H99" s="64"/>
      <c r="I99" s="64"/>
      <c r="J99" s="64"/>
      <c r="K99" s="64"/>
      <c r="L99" s="64"/>
    </row>
    <row r="100" ht="16.5" customHeight="1">
      <c r="A100" s="64"/>
      <c r="B100" s="80" t="s">
        <v>18249</v>
      </c>
      <c r="C100" s="81" t="str">
        <f>IFERROR(__xludf.DUMMYFUNCTION("""COMPUTED_VALUE"""),"ArdentArchivis1")</f>
        <v>ArdentArchivis1</v>
      </c>
      <c r="D100" s="75">
        <f>IFERROR(__xludf.DUMMYFUNCTION("""COMPUTED_VALUE"""),0.0)</f>
        <v>0</v>
      </c>
      <c r="E100" s="75" t="str">
        <f>IFERROR(__xludf.DUMMYFUNCTION("IF(LEN(C100)=0,"""",QUERY(Archive!C:C,""Select COUNT(C) WHERE lower(C) contains '""&amp;LOWER(C100)&amp;""' LABEL COUNT(C) ''""))"),"#N/A")</f>
        <v>#N/A</v>
      </c>
      <c r="F100" s="95"/>
      <c r="G100" s="96"/>
      <c r="H100" s="64"/>
      <c r="I100" s="64"/>
      <c r="J100" s="64"/>
      <c r="K100" s="64"/>
      <c r="L100" s="64"/>
    </row>
    <row r="101" ht="16.5" customHeight="1">
      <c r="A101" s="64"/>
      <c r="B101" s="80" t="s">
        <v>18249</v>
      </c>
      <c r="C101" s="81" t="str">
        <f>IFERROR(__xludf.DUMMYFUNCTION("""COMPUTED_VALUE"""),"ArnoEu")</f>
        <v>ArnoEu</v>
      </c>
      <c r="D101" s="75">
        <f>IFERROR(__xludf.DUMMYFUNCTION("""COMPUTED_VALUE"""),0.0)</f>
        <v>0</v>
      </c>
      <c r="E101" s="75" t="str">
        <f>IFERROR(__xludf.DUMMYFUNCTION("IF(LEN(C101)=0,"""",QUERY(Archive!C:C,""Select COUNT(C) WHERE lower(C) contains '""&amp;LOWER(C101)&amp;""' LABEL COUNT(C) ''""))"),"#N/A")</f>
        <v>#N/A</v>
      </c>
      <c r="F101" s="95"/>
      <c r="G101" s="96"/>
      <c r="H101" s="64"/>
      <c r="I101" s="64"/>
      <c r="J101" s="64"/>
      <c r="K101" s="64"/>
      <c r="L101" s="64"/>
    </row>
    <row r="102" ht="16.5" customHeight="1">
      <c r="A102" s="64"/>
      <c r="B102" s="80" t="s">
        <v>18249</v>
      </c>
      <c r="C102" s="81" t="str">
        <f>IFERROR(__xludf.DUMMYFUNCTION("""COMPUTED_VALUE"""),"ArsilvanaLis")</f>
        <v>ArsilvanaLis</v>
      </c>
      <c r="D102" s="75">
        <f>IFERROR(__xludf.DUMMYFUNCTION("""COMPUTED_VALUE"""),0.0)</f>
        <v>0</v>
      </c>
      <c r="E102" s="75" t="str">
        <f>IFERROR(__xludf.DUMMYFUNCTION("IF(LEN(C102)=0,"""",QUERY(Archive!C:C,""Select COUNT(C) WHERE lower(C) contains '""&amp;LOWER(C102)&amp;""' LABEL COUNT(C) ''""))"),"#N/A")</f>
        <v>#N/A</v>
      </c>
      <c r="F102" s="95"/>
      <c r="G102" s="96"/>
      <c r="H102" s="64"/>
      <c r="I102" s="64"/>
      <c r="J102" s="64"/>
      <c r="K102" s="64"/>
      <c r="L102" s="64"/>
    </row>
    <row r="103" ht="16.5" customHeight="1">
      <c r="A103" s="64"/>
      <c r="B103" s="80" t="s">
        <v>18249</v>
      </c>
      <c r="C103" s="81" t="str">
        <f>IFERROR(__xludf.DUMMYFUNCTION("""COMPUTED_VALUE"""),"ArtBear1000")</f>
        <v>ArtBear1000</v>
      </c>
      <c r="D103" s="75">
        <f>IFERROR(__xludf.DUMMYFUNCTION("""COMPUTED_VALUE"""),0.0)</f>
        <v>0</v>
      </c>
      <c r="E103" s="75">
        <f>IFERROR(__xludf.DUMMYFUNCTION("IF(LEN(C103)=0,"""",QUERY(Archive!C:C,""Select COUNT(C) WHERE lower(C) contains '""&amp;LOWER(C103)&amp;""' LABEL COUNT(C) ''""))"),2.0)</f>
        <v>2</v>
      </c>
      <c r="F103" s="95"/>
      <c r="G103" s="96"/>
      <c r="H103" s="64"/>
      <c r="I103" s="64"/>
      <c r="J103" s="64"/>
      <c r="K103" s="64"/>
      <c r="L103" s="64"/>
    </row>
    <row r="104" ht="16.5" customHeight="1">
      <c r="A104" s="64"/>
      <c r="B104" s="80" t="s">
        <v>18249</v>
      </c>
      <c r="C104" s="81" t="str">
        <f>IFERROR(__xludf.DUMMYFUNCTION("""COMPUTED_VALUE"""),"ArthurC63013634")</f>
        <v>ArthurC63013634</v>
      </c>
      <c r="D104" s="75">
        <f>IFERROR(__xludf.DUMMYFUNCTION("""COMPUTED_VALUE"""),0.0)</f>
        <v>0</v>
      </c>
      <c r="E104" s="75" t="str">
        <f>IFERROR(__xludf.DUMMYFUNCTION("IF(LEN(C104)=0,"""",QUERY(Archive!C:C,""Select COUNT(C) WHERE lower(C) contains '""&amp;LOWER(C104)&amp;""' LABEL COUNT(C) ''""))"),"#N/A")</f>
        <v>#N/A</v>
      </c>
      <c r="F104" s="95"/>
      <c r="G104" s="96"/>
      <c r="H104" s="64"/>
      <c r="I104" s="64"/>
      <c r="J104" s="64"/>
      <c r="K104" s="64"/>
      <c r="L104" s="64"/>
    </row>
    <row r="105" ht="16.5" customHeight="1">
      <c r="A105" s="64"/>
      <c r="B105" s="80" t="s">
        <v>18249</v>
      </c>
      <c r="C105" s="81" t="str">
        <f>IFERROR(__xludf.DUMMYFUNCTION("""COMPUTED_VALUE"""),"ArtsCombined")</f>
        <v>ArtsCombined</v>
      </c>
      <c r="D105" s="75">
        <f>IFERROR(__xludf.DUMMYFUNCTION("""COMPUTED_VALUE"""),0.0)</f>
        <v>0</v>
      </c>
      <c r="E105" s="75" t="str">
        <f>IFERROR(__xludf.DUMMYFUNCTION("IF(LEN(C105)=0,"""",QUERY(Archive!C:C,""Select COUNT(C) WHERE lower(C) contains '""&amp;LOWER(C105)&amp;""' LABEL COUNT(C) ''""))"),"#N/A")</f>
        <v>#N/A</v>
      </c>
      <c r="F105" s="95"/>
      <c r="G105" s="96"/>
      <c r="H105" s="64"/>
      <c r="I105" s="64"/>
      <c r="J105" s="64"/>
      <c r="K105" s="64"/>
      <c r="L105" s="64"/>
    </row>
    <row r="106" ht="16.5" customHeight="1">
      <c r="A106" s="64"/>
      <c r="B106" s="80" t="s">
        <v>18249</v>
      </c>
      <c r="C106" s="81" t="str">
        <f>IFERROR(__xludf.DUMMYFUNCTION("""COMPUTED_VALUE"""),"AscendinPenguin")</f>
        <v>AscendinPenguin</v>
      </c>
      <c r="D106" s="75">
        <f>IFERROR(__xludf.DUMMYFUNCTION("""COMPUTED_VALUE"""),0.0)</f>
        <v>0</v>
      </c>
      <c r="E106" s="75" t="str">
        <f>IFERROR(__xludf.DUMMYFUNCTION("IF(LEN(C106)=0,"""",QUERY(Archive!C:C,""Select COUNT(C) WHERE lower(C) contains '""&amp;LOWER(C106)&amp;""' LABEL COUNT(C) ''""))"),"#N/A")</f>
        <v>#N/A</v>
      </c>
      <c r="F106" s="95"/>
      <c r="G106" s="96"/>
      <c r="H106" s="64"/>
      <c r="I106" s="64"/>
      <c r="J106" s="64"/>
      <c r="K106" s="64"/>
      <c r="L106" s="64"/>
    </row>
    <row r="107" ht="16.5" customHeight="1">
      <c r="A107" s="64"/>
      <c r="B107" s="80" t="s">
        <v>18249</v>
      </c>
      <c r="C107" s="81" t="str">
        <f>IFERROR(__xludf.DUMMYFUNCTION("""COMPUTED_VALUE"""),"Athelwulf_wulf")</f>
        <v>Athelwulf_wulf</v>
      </c>
      <c r="D107" s="75">
        <f>IFERROR(__xludf.DUMMYFUNCTION("""COMPUTED_VALUE"""),0.0)</f>
        <v>0</v>
      </c>
      <c r="E107" s="75" t="str">
        <f>IFERROR(__xludf.DUMMYFUNCTION("IF(LEN(C107)=0,"""",QUERY(Archive!C:C,""Select COUNT(C) WHERE lower(C) contains '""&amp;LOWER(C107)&amp;""' LABEL COUNT(C) ''""))"),"#N/A")</f>
        <v>#N/A</v>
      </c>
      <c r="F107" s="95"/>
      <c r="G107" s="96"/>
      <c r="H107" s="64"/>
      <c r="I107" s="64"/>
      <c r="J107" s="64"/>
      <c r="K107" s="64"/>
      <c r="L107" s="64"/>
    </row>
    <row r="108" ht="16.5" customHeight="1">
      <c r="A108" s="64"/>
      <c r="B108" s="80" t="s">
        <v>18249</v>
      </c>
      <c r="C108" s="81" t="str">
        <f>IFERROR(__xludf.DUMMYFUNCTION("""COMPUTED_VALUE"""),"AuSeEc2")</f>
        <v>AuSeEc2</v>
      </c>
      <c r="D108" s="75">
        <f>IFERROR(__xludf.DUMMYFUNCTION("""COMPUTED_VALUE"""),0.0)</f>
        <v>0</v>
      </c>
      <c r="E108" s="75" t="str">
        <f>IFERROR(__xludf.DUMMYFUNCTION("IF(LEN(C108)=0,"""",QUERY(Archive!C:C,""Select COUNT(C) WHERE lower(C) contains '""&amp;LOWER(C108)&amp;""' LABEL COUNT(C) ''""))"),"#N/A")</f>
        <v>#N/A</v>
      </c>
      <c r="F108" s="95"/>
      <c r="G108" s="96"/>
      <c r="H108" s="64"/>
      <c r="I108" s="64"/>
      <c r="J108" s="64"/>
      <c r="K108" s="64"/>
      <c r="L108" s="64"/>
    </row>
    <row r="109" ht="16.5" customHeight="1">
      <c r="A109" s="64"/>
      <c r="B109" s="80" t="s">
        <v>18249</v>
      </c>
      <c r="C109" s="81" t="str">
        <f>IFERROR(__xludf.DUMMYFUNCTION("""COMPUTED_VALUE"""),"AudreyCowling")</f>
        <v>AudreyCowling</v>
      </c>
      <c r="D109" s="75">
        <f>IFERROR(__xludf.DUMMYFUNCTION("""COMPUTED_VALUE"""),0.0)</f>
        <v>0</v>
      </c>
      <c r="E109" s="75" t="str">
        <f>IFERROR(__xludf.DUMMYFUNCTION("IF(LEN(C109)=0,"""",QUERY(Archive!C:C,""Select COUNT(C) WHERE lower(C) contains '""&amp;LOWER(C109)&amp;""' LABEL COUNT(C) ''""))"),"#N/A")</f>
        <v>#N/A</v>
      </c>
      <c r="F109" s="95"/>
      <c r="G109" s="96"/>
      <c r="H109" s="64"/>
      <c r="I109" s="64"/>
      <c r="J109" s="64"/>
      <c r="K109" s="64"/>
      <c r="L109" s="64"/>
    </row>
    <row r="110" ht="16.5" customHeight="1">
      <c r="A110" s="64"/>
      <c r="B110" s="80" t="s">
        <v>18249</v>
      </c>
      <c r="C110" s="81" t="str">
        <f>IFERROR(__xludf.DUMMYFUNCTION("""COMPUTED_VALUE"""),"AudreyParmtier")</f>
        <v>AudreyParmtier</v>
      </c>
      <c r="D110" s="75">
        <f>IFERROR(__xludf.DUMMYFUNCTION("""COMPUTED_VALUE"""),0.0)</f>
        <v>0</v>
      </c>
      <c r="E110" s="75" t="str">
        <f>IFERROR(__xludf.DUMMYFUNCTION("IF(LEN(C110)=0,"""",QUERY(Archive!C:C,""Select COUNT(C) WHERE lower(C) contains '""&amp;LOWER(C110)&amp;""' LABEL COUNT(C) ''""))"),"#N/A")</f>
        <v>#N/A</v>
      </c>
      <c r="F110" s="95"/>
      <c r="G110" s="96"/>
      <c r="H110" s="64"/>
      <c r="I110" s="64"/>
      <c r="J110" s="64"/>
      <c r="K110" s="64"/>
      <c r="L110" s="64"/>
    </row>
    <row r="111" ht="16.5" customHeight="1">
      <c r="A111" s="64"/>
      <c r="B111" s="80" t="s">
        <v>18249</v>
      </c>
      <c r="C111" s="81" t="str">
        <f>IFERROR(__xludf.DUMMYFUNCTION("""COMPUTED_VALUE"""),"AylingMiriam")</f>
        <v>AylingMiriam</v>
      </c>
      <c r="D111" s="75">
        <f>IFERROR(__xludf.DUMMYFUNCTION("""COMPUTED_VALUE"""),0.0)</f>
        <v>0</v>
      </c>
      <c r="E111" s="75" t="str">
        <f>IFERROR(__xludf.DUMMYFUNCTION("IF(LEN(C111)=0,"""",QUERY(Archive!C:C,""Select COUNT(C) WHERE lower(C) contains '""&amp;LOWER(C111)&amp;""' LABEL COUNT(C) ''""))"),"#N/A")</f>
        <v>#N/A</v>
      </c>
      <c r="F111" s="95"/>
      <c r="G111" s="96"/>
      <c r="H111" s="64"/>
      <c r="I111" s="64"/>
      <c r="J111" s="64"/>
      <c r="K111" s="64"/>
      <c r="L111" s="64"/>
    </row>
    <row r="112" ht="16.5" customHeight="1">
      <c r="A112" s="64"/>
      <c r="B112" s="80" t="s">
        <v>18249</v>
      </c>
      <c r="C112" s="81" t="str">
        <f>IFERROR(__xludf.DUMMYFUNCTION("""COMPUTED_VALUE"""),"B123Bradley")</f>
        <v>B123Bradley</v>
      </c>
      <c r="D112" s="75">
        <f>IFERROR(__xludf.DUMMYFUNCTION("""COMPUTED_VALUE"""),0.0)</f>
        <v>0</v>
      </c>
      <c r="E112" s="75" t="str">
        <f>IFERROR(__xludf.DUMMYFUNCTION("IF(LEN(C112)=0,"""",QUERY(Archive!C:C,""Select COUNT(C) WHERE lower(C) contains '""&amp;LOWER(C112)&amp;""' LABEL COUNT(C) ''""))"),"#N/A")</f>
        <v>#N/A</v>
      </c>
      <c r="F112" s="95"/>
      <c r="G112" s="96"/>
      <c r="H112" s="64"/>
      <c r="I112" s="64"/>
      <c r="J112" s="64"/>
      <c r="K112" s="64"/>
      <c r="L112" s="64"/>
    </row>
    <row r="113" ht="16.5" customHeight="1">
      <c r="A113" s="64"/>
      <c r="B113" s="80" t="s">
        <v>18249</v>
      </c>
      <c r="C113" s="81" t="str">
        <f>IFERROR(__xludf.DUMMYFUNCTION("""COMPUTED_VALUE"""),"BCFCMalky")</f>
        <v>BCFCMalky</v>
      </c>
      <c r="D113" s="75">
        <f>IFERROR(__xludf.DUMMYFUNCTION("""COMPUTED_VALUE"""),0.0)</f>
        <v>0</v>
      </c>
      <c r="E113" s="75" t="str">
        <f>IFERROR(__xludf.DUMMYFUNCTION("IF(LEN(C113)=0,"""",QUERY(Archive!C:C,""Select COUNT(C) WHERE lower(C) contains '""&amp;LOWER(C113)&amp;""' LABEL COUNT(C) ''""))"),"#N/A")</f>
        <v>#N/A</v>
      </c>
      <c r="F113" s="95"/>
      <c r="G113" s="96"/>
      <c r="H113" s="64"/>
      <c r="I113" s="64"/>
      <c r="J113" s="64"/>
      <c r="K113" s="64"/>
      <c r="L113" s="64"/>
    </row>
    <row r="114" ht="16.5" customHeight="1">
      <c r="A114" s="64"/>
      <c r="B114" s="80" t="s">
        <v>18249</v>
      </c>
      <c r="C114" s="81" t="str">
        <f>IFERROR(__xludf.DUMMYFUNCTION("""COMPUTED_VALUE"""),"BFforthewin")</f>
        <v>BFforthewin</v>
      </c>
      <c r="D114" s="75">
        <f>IFERROR(__xludf.DUMMYFUNCTION("""COMPUTED_VALUE"""),0.0)</f>
        <v>0</v>
      </c>
      <c r="E114" s="75" t="str">
        <f>IFERROR(__xludf.DUMMYFUNCTION("IF(LEN(C114)=0,"""",QUERY(Archive!C:C,""Select COUNT(C) WHERE lower(C) contains '""&amp;LOWER(C114)&amp;""' LABEL COUNT(C) ''""))"),"#N/A")</f>
        <v>#N/A</v>
      </c>
      <c r="F114" s="95"/>
      <c r="G114" s="96"/>
      <c r="H114" s="64"/>
      <c r="I114" s="64"/>
      <c r="J114" s="64"/>
      <c r="K114" s="64"/>
      <c r="L114" s="64"/>
    </row>
    <row r="115" ht="16.5" customHeight="1">
      <c r="A115" s="64"/>
      <c r="B115" s="80" t="s">
        <v>18249</v>
      </c>
      <c r="C115" s="81" t="str">
        <f>IFERROR(__xludf.DUMMYFUNCTION("""COMPUTED_VALUE"""),"BFinham")</f>
        <v>BFinham</v>
      </c>
      <c r="D115" s="75">
        <f>IFERROR(__xludf.DUMMYFUNCTION("""COMPUTED_VALUE"""),0.0)</f>
        <v>0</v>
      </c>
      <c r="E115" s="75" t="str">
        <f>IFERROR(__xludf.DUMMYFUNCTION("IF(LEN(C115)=0,"""",QUERY(Archive!C:C,""Select COUNT(C) WHERE lower(C) contains '""&amp;LOWER(C115)&amp;""' LABEL COUNT(C) ''""))"),"#N/A")</f>
        <v>#N/A</v>
      </c>
      <c r="F115" s="95"/>
      <c r="G115" s="96"/>
      <c r="H115" s="64"/>
      <c r="I115" s="64"/>
      <c r="J115" s="64"/>
      <c r="K115" s="64"/>
      <c r="L115" s="64"/>
    </row>
    <row r="116" ht="16.5" customHeight="1">
      <c r="A116" s="64"/>
      <c r="B116" s="80" t="s">
        <v>18249</v>
      </c>
      <c r="C116" s="81" t="str">
        <f>IFERROR(__xludf.DUMMYFUNCTION("""COMPUTED_VALUE"""),"BHaigh1")</f>
        <v>BHaigh1</v>
      </c>
      <c r="D116" s="75">
        <f>IFERROR(__xludf.DUMMYFUNCTION("""COMPUTED_VALUE"""),0.0)</f>
        <v>0</v>
      </c>
      <c r="E116" s="75" t="str">
        <f>IFERROR(__xludf.DUMMYFUNCTION("IF(LEN(C116)=0,"""",QUERY(Archive!C:C,""Select COUNT(C) WHERE lower(C) contains '""&amp;LOWER(C116)&amp;""' LABEL COUNT(C) ''""))"),"#N/A")</f>
        <v>#N/A</v>
      </c>
      <c r="F116" s="95"/>
      <c r="G116" s="96"/>
      <c r="H116" s="64"/>
      <c r="I116" s="64"/>
      <c r="J116" s="64"/>
      <c r="K116" s="64"/>
      <c r="L116" s="64"/>
    </row>
    <row r="117" ht="16.5" customHeight="1">
      <c r="A117" s="64"/>
      <c r="B117" s="80" t="s">
        <v>18249</v>
      </c>
      <c r="C117" s="81" t="str">
        <f>IFERROR(__xludf.DUMMYFUNCTION("""COMPUTED_VALUE"""),"BJ_Gardener")</f>
        <v>BJ_Gardener</v>
      </c>
      <c r="D117" s="75">
        <f>IFERROR(__xludf.DUMMYFUNCTION("""COMPUTED_VALUE"""),0.0)</f>
        <v>0</v>
      </c>
      <c r="E117" s="75" t="str">
        <f>IFERROR(__xludf.DUMMYFUNCTION("IF(LEN(C117)=0,"""",QUERY(Archive!C:C,""Select COUNT(C) WHERE lower(C) contains '""&amp;LOWER(C117)&amp;""' LABEL COUNT(C) ''""))"),"#N/A")</f>
        <v>#N/A</v>
      </c>
      <c r="F117" s="95"/>
      <c r="G117" s="96"/>
      <c r="H117" s="64"/>
      <c r="I117" s="64"/>
      <c r="J117" s="64"/>
      <c r="K117" s="64"/>
      <c r="L117" s="64"/>
    </row>
    <row r="118" ht="16.5" customHeight="1">
      <c r="A118" s="64"/>
      <c r="B118" s="80" t="s">
        <v>18249</v>
      </c>
      <c r="C118" s="81" t="str">
        <f>IFERROR(__xludf.DUMMYFUNCTION("""COMPUTED_VALUE"""),"BPelluet")</f>
        <v>BPelluet</v>
      </c>
      <c r="D118" s="75">
        <f>IFERROR(__xludf.DUMMYFUNCTION("""COMPUTED_VALUE"""),0.0)</f>
        <v>0</v>
      </c>
      <c r="E118" s="75" t="str">
        <f>IFERROR(__xludf.DUMMYFUNCTION("IF(LEN(C118)=0,"""",QUERY(Archive!C:C,""Select COUNT(C) WHERE lower(C) contains '""&amp;LOWER(C118)&amp;""' LABEL COUNT(C) ''""))"),"#N/A")</f>
        <v>#N/A</v>
      </c>
      <c r="F118" s="95"/>
      <c r="G118" s="96"/>
      <c r="H118" s="64"/>
      <c r="I118" s="64"/>
      <c r="J118" s="64"/>
      <c r="K118" s="64"/>
      <c r="L118" s="64"/>
    </row>
    <row r="119" ht="16.5" customHeight="1">
      <c r="A119" s="64"/>
      <c r="B119" s="80" t="s">
        <v>18249</v>
      </c>
      <c r="C119" s="81" t="str">
        <f>IFERROR(__xludf.DUMMYFUNCTION("""COMPUTED_VALUE"""),"BadawiLeila")</f>
        <v>BadawiLeila</v>
      </c>
      <c r="D119" s="75">
        <f>IFERROR(__xludf.DUMMYFUNCTION("""COMPUTED_VALUE"""),0.0)</f>
        <v>0</v>
      </c>
      <c r="E119" s="75" t="str">
        <f>IFERROR(__xludf.DUMMYFUNCTION("IF(LEN(C119)=0,"""",QUERY(Archive!C:C,""Select COUNT(C) WHERE lower(C) contains '""&amp;LOWER(C119)&amp;""' LABEL COUNT(C) ''""))"),"#N/A")</f>
        <v>#N/A</v>
      </c>
      <c r="F119" s="95"/>
      <c r="G119" s="96"/>
      <c r="H119" s="64"/>
      <c r="I119" s="64"/>
      <c r="J119" s="64"/>
      <c r="K119" s="64"/>
      <c r="L119" s="64"/>
    </row>
    <row r="120" ht="16.5" customHeight="1">
      <c r="A120" s="64"/>
      <c r="B120" s="80" t="s">
        <v>18249</v>
      </c>
      <c r="C120" s="81" t="str">
        <f>IFERROR(__xludf.DUMMYFUNCTION("""COMPUTED_VALUE"""),"BaioniNazzareno")</f>
        <v>BaioniNazzareno</v>
      </c>
      <c r="D120" s="75">
        <f>IFERROR(__xludf.DUMMYFUNCTION("""COMPUTED_VALUE"""),0.0)</f>
        <v>0</v>
      </c>
      <c r="E120" s="75" t="str">
        <f>IFERROR(__xludf.DUMMYFUNCTION("IF(LEN(C120)=0,"""",QUERY(Archive!C:C,""Select COUNT(C) WHERE lower(C) contains '""&amp;LOWER(C120)&amp;""' LABEL COUNT(C) ''""))"),"#N/A")</f>
        <v>#N/A</v>
      </c>
      <c r="F120" s="95"/>
      <c r="G120" s="96"/>
      <c r="H120" s="64"/>
      <c r="I120" s="64"/>
      <c r="J120" s="64"/>
      <c r="K120" s="64"/>
      <c r="L120" s="64"/>
    </row>
    <row r="121" ht="16.5" customHeight="1">
      <c r="A121" s="64"/>
      <c r="B121" s="80" t="s">
        <v>18249</v>
      </c>
      <c r="C121" s="81" t="str">
        <f>IFERROR(__xludf.DUMMYFUNCTION("""COMPUTED_VALUE"""),"BakerMcGER")</f>
        <v>BakerMcGER</v>
      </c>
      <c r="D121" s="75">
        <f>IFERROR(__xludf.DUMMYFUNCTION("""COMPUTED_VALUE"""),0.0)</f>
        <v>0</v>
      </c>
      <c r="E121" s="75">
        <f>IFERROR(__xludf.DUMMYFUNCTION("IF(LEN(C121)=0,"""",QUERY(Archive!C:C,""Select COUNT(C) WHERE lower(C) contains '""&amp;LOWER(C121)&amp;""' LABEL COUNT(C) ''""))"),1.0)</f>
        <v>1</v>
      </c>
      <c r="F121" s="95"/>
      <c r="G121" s="96"/>
      <c r="H121" s="64"/>
      <c r="I121" s="64"/>
      <c r="J121" s="64"/>
      <c r="K121" s="64"/>
      <c r="L121" s="64"/>
    </row>
    <row r="122" ht="16.5" customHeight="1">
      <c r="A122" s="64"/>
      <c r="B122" s="80" t="s">
        <v>18249</v>
      </c>
      <c r="C122" s="81" t="str">
        <f>IFERROR(__xludf.DUMMYFUNCTION("""COMPUTED_VALUE"""),"BameFor")</f>
        <v>BameFor</v>
      </c>
      <c r="D122" s="75">
        <f>IFERROR(__xludf.DUMMYFUNCTION("""COMPUTED_VALUE"""),0.0)</f>
        <v>0</v>
      </c>
      <c r="E122" s="75" t="str">
        <f>IFERROR(__xludf.DUMMYFUNCTION("IF(LEN(C122)=0,"""",QUERY(Archive!C:C,""Select COUNT(C) WHERE lower(C) contains '""&amp;LOWER(C122)&amp;""' LABEL COUNT(C) ''""))"),"#N/A")</f>
        <v>#N/A</v>
      </c>
      <c r="F122" s="95"/>
      <c r="G122" s="96"/>
      <c r="H122" s="64"/>
      <c r="I122" s="64"/>
      <c r="J122" s="64"/>
      <c r="K122" s="64"/>
      <c r="L122" s="64"/>
    </row>
    <row r="123" ht="16.5" customHeight="1">
      <c r="A123" s="64"/>
      <c r="B123" s="80" t="s">
        <v>18249</v>
      </c>
      <c r="C123" s="81" t="str">
        <f>IFERROR(__xludf.DUMMYFUNCTION("""COMPUTED_VALUE"""),"BanditoSjp")</f>
        <v>BanditoSjp</v>
      </c>
      <c r="D123" s="75">
        <f>IFERROR(__xludf.DUMMYFUNCTION("""COMPUTED_VALUE"""),0.0)</f>
        <v>0</v>
      </c>
      <c r="E123" s="75" t="str">
        <f>IFERROR(__xludf.DUMMYFUNCTION("IF(LEN(C123)=0,"""",QUERY(Archive!C:C,""Select COUNT(C) WHERE lower(C) contains '""&amp;LOWER(C123)&amp;""' LABEL COUNT(C) ''""))"),"#N/A")</f>
        <v>#N/A</v>
      </c>
      <c r="F123" s="95"/>
      <c r="G123" s="96"/>
      <c r="H123" s="64"/>
      <c r="I123" s="64"/>
      <c r="J123" s="64"/>
      <c r="K123" s="64"/>
      <c r="L123" s="64"/>
    </row>
    <row r="124" ht="16.5" customHeight="1">
      <c r="A124" s="64"/>
      <c r="B124" s="80" t="s">
        <v>18249</v>
      </c>
      <c r="C124" s="81" t="str">
        <f>IFERROR(__xludf.DUMMYFUNCTION("""COMPUTED_VALUE"""),"BapaArts")</f>
        <v>BapaArts</v>
      </c>
      <c r="D124" s="75">
        <f>IFERROR(__xludf.DUMMYFUNCTION("""COMPUTED_VALUE"""),0.0)</f>
        <v>0</v>
      </c>
      <c r="E124" s="75" t="str">
        <f>IFERROR(__xludf.DUMMYFUNCTION("IF(LEN(C124)=0,"""",QUERY(Archive!C:C,""Select COUNT(C) WHERE lower(C) contains '""&amp;LOWER(C124)&amp;""' LABEL COUNT(C) ''""))"),"#N/A")</f>
        <v>#N/A</v>
      </c>
      <c r="F124" s="95"/>
      <c r="G124" s="96"/>
      <c r="H124" s="64"/>
      <c r="I124" s="64"/>
      <c r="J124" s="64"/>
      <c r="K124" s="64"/>
      <c r="L124" s="64"/>
    </row>
    <row r="125" ht="16.5" customHeight="1">
      <c r="A125" s="64"/>
      <c r="B125" s="80" t="s">
        <v>18249</v>
      </c>
      <c r="C125" s="81" t="str">
        <f>IFERROR(__xludf.DUMMYFUNCTION("""COMPUTED_VALUE"""),"BarbaraHunter07")</f>
        <v>BarbaraHunter07</v>
      </c>
      <c r="D125" s="75">
        <f>IFERROR(__xludf.DUMMYFUNCTION("""COMPUTED_VALUE"""),0.0)</f>
        <v>0</v>
      </c>
      <c r="E125" s="75" t="str">
        <f>IFERROR(__xludf.DUMMYFUNCTION("IF(LEN(C125)=0,"""",QUERY(Archive!C:C,""Select COUNT(C) WHERE lower(C) contains '""&amp;LOWER(C125)&amp;""' LABEL COUNT(C) ''""))"),"#N/A")</f>
        <v>#N/A</v>
      </c>
      <c r="F125" s="95"/>
      <c r="G125" s="96"/>
      <c r="H125" s="64"/>
      <c r="I125" s="64"/>
      <c r="J125" s="64"/>
      <c r="K125" s="64"/>
      <c r="L125" s="64"/>
    </row>
    <row r="126" ht="16.5" customHeight="1">
      <c r="A126" s="64"/>
      <c r="B126" s="80" t="s">
        <v>18249</v>
      </c>
      <c r="C126" s="81" t="str">
        <f>IFERROR(__xludf.DUMMYFUNCTION("""COMPUTED_VALUE"""),"BarbarasShears")</f>
        <v>BarbarasShears</v>
      </c>
      <c r="D126" s="75">
        <f>IFERROR(__xludf.DUMMYFUNCTION("""COMPUTED_VALUE"""),0.0)</f>
        <v>0</v>
      </c>
      <c r="E126" s="75" t="str">
        <f>IFERROR(__xludf.DUMMYFUNCTION("IF(LEN(C126)=0,"""",QUERY(Archive!C:C,""Select COUNT(C) WHERE lower(C) contains '""&amp;LOWER(C126)&amp;""' LABEL COUNT(C) ''""))"),"#N/A")</f>
        <v>#N/A</v>
      </c>
      <c r="F126" s="95"/>
      <c r="G126" s="96"/>
      <c r="H126" s="64"/>
      <c r="I126" s="64"/>
      <c r="J126" s="64"/>
      <c r="K126" s="64"/>
      <c r="L126" s="64"/>
    </row>
    <row r="127" ht="16.5" customHeight="1">
      <c r="A127" s="64"/>
      <c r="B127" s="80" t="s">
        <v>18249</v>
      </c>
      <c r="C127" s="81" t="str">
        <f>IFERROR(__xludf.DUMMYFUNCTION("""COMPUTED_VALUE"""),"BarkerLeadershp")</f>
        <v>BarkerLeadershp</v>
      </c>
      <c r="D127" s="75">
        <f>IFERROR(__xludf.DUMMYFUNCTION("""COMPUTED_VALUE"""),0.0)</f>
        <v>0</v>
      </c>
      <c r="E127" s="75" t="str">
        <f>IFERROR(__xludf.DUMMYFUNCTION("IF(LEN(C127)=0,"""",QUERY(Archive!C:C,""Select COUNT(C) WHERE lower(C) contains '""&amp;LOWER(C127)&amp;""' LABEL COUNT(C) ''""))"),"#N/A")</f>
        <v>#N/A</v>
      </c>
      <c r="F127" s="95"/>
      <c r="G127" s="96"/>
      <c r="H127" s="64"/>
      <c r="I127" s="64"/>
      <c r="J127" s="64"/>
      <c r="K127" s="64"/>
      <c r="L127" s="64"/>
    </row>
    <row r="128" ht="16.5" customHeight="1">
      <c r="A128" s="64"/>
      <c r="B128" s="80" t="s">
        <v>18249</v>
      </c>
      <c r="C128" s="81" t="str">
        <f>IFERROR(__xludf.DUMMYFUNCTION("""COMPUTED_VALUE"""),"BarnAnt14")</f>
        <v>BarnAnt14</v>
      </c>
      <c r="D128" s="75">
        <f>IFERROR(__xludf.DUMMYFUNCTION("""COMPUTED_VALUE"""),0.0)</f>
        <v>0</v>
      </c>
      <c r="E128" s="75" t="str">
        <f>IFERROR(__xludf.DUMMYFUNCTION("IF(LEN(C128)=0,"""",QUERY(Archive!C:C,""Select COUNT(C) WHERE lower(C) contains '""&amp;LOWER(C128)&amp;""' LABEL COUNT(C) ''""))"),"#N/A")</f>
        <v>#N/A</v>
      </c>
      <c r="F128" s="95"/>
      <c r="G128" s="96"/>
      <c r="H128" s="64"/>
      <c r="I128" s="64"/>
      <c r="J128" s="64"/>
      <c r="K128" s="64"/>
      <c r="L128" s="64"/>
    </row>
    <row r="129" ht="16.5" customHeight="1">
      <c r="A129" s="64"/>
      <c r="B129" s="80" t="s">
        <v>18249</v>
      </c>
      <c r="C129" s="81" t="str">
        <f>IFERROR(__xludf.DUMMYFUNCTION("""COMPUTED_VALUE"""),"BarondeBrock")</f>
        <v>BarondeBrock</v>
      </c>
      <c r="D129" s="75">
        <f>IFERROR(__xludf.DUMMYFUNCTION("""COMPUTED_VALUE"""),0.0)</f>
        <v>0</v>
      </c>
      <c r="E129" s="75" t="str">
        <f>IFERROR(__xludf.DUMMYFUNCTION("IF(LEN(C129)=0,"""",QUERY(Archive!C:C,""Select COUNT(C) WHERE lower(C) contains '""&amp;LOWER(C129)&amp;""' LABEL COUNT(C) ''""))"),"#N/A")</f>
        <v>#N/A</v>
      </c>
      <c r="F129" s="95"/>
      <c r="G129" s="96"/>
      <c r="H129" s="64"/>
      <c r="I129" s="64"/>
      <c r="J129" s="64"/>
      <c r="K129" s="64"/>
      <c r="L129" s="64"/>
    </row>
    <row r="130" ht="16.5" customHeight="1">
      <c r="A130" s="64"/>
      <c r="B130" s="80" t="s">
        <v>18249</v>
      </c>
      <c r="C130" s="81" t="str">
        <f>IFERROR(__xludf.DUMMYFUNCTION("""COMPUTED_VALUE"""),"Bassaces1")</f>
        <v>Bassaces1</v>
      </c>
      <c r="D130" s="75">
        <f>IFERROR(__xludf.DUMMYFUNCTION("""COMPUTED_VALUE"""),0.0)</f>
        <v>0</v>
      </c>
      <c r="E130" s="75" t="str">
        <f>IFERROR(__xludf.DUMMYFUNCTION("IF(LEN(C130)=0,"""",QUERY(Archive!C:C,""Select COUNT(C) WHERE lower(C) contains '""&amp;LOWER(C130)&amp;""' LABEL COUNT(C) ''""))"),"#N/A")</f>
        <v>#N/A</v>
      </c>
      <c r="F130" s="95"/>
      <c r="G130" s="96"/>
      <c r="H130" s="64"/>
      <c r="I130" s="64"/>
      <c r="J130" s="64"/>
      <c r="K130" s="64"/>
      <c r="L130" s="64"/>
    </row>
    <row r="131" ht="16.5" customHeight="1">
      <c r="A131" s="64"/>
      <c r="B131" s="80" t="s">
        <v>18249</v>
      </c>
      <c r="C131" s="81" t="str">
        <f>IFERROR(__xludf.DUMMYFUNCTION("""COMPUTED_VALUE"""),"BastionBucks")</f>
        <v>BastionBucks</v>
      </c>
      <c r="D131" s="75">
        <f>IFERROR(__xludf.DUMMYFUNCTION("""COMPUTED_VALUE"""),0.0)</f>
        <v>0</v>
      </c>
      <c r="E131" s="75" t="str">
        <f>IFERROR(__xludf.DUMMYFUNCTION("IF(LEN(C131)=0,"""",QUERY(Archive!C:C,""Select COUNT(C) WHERE lower(C) contains '""&amp;LOWER(C131)&amp;""' LABEL COUNT(C) ''""))"),"#N/A")</f>
        <v>#N/A</v>
      </c>
      <c r="F131" s="95"/>
      <c r="G131" s="96"/>
      <c r="H131" s="64"/>
      <c r="I131" s="64"/>
      <c r="J131" s="64"/>
      <c r="K131" s="64"/>
      <c r="L131" s="64"/>
    </row>
    <row r="132" ht="16.5" customHeight="1">
      <c r="A132" s="64"/>
      <c r="B132" s="80" t="s">
        <v>18249</v>
      </c>
      <c r="C132" s="81" t="str">
        <f>IFERROR(__xludf.DUMMYFUNCTION("""COMPUTED_VALUE"""),"BawsmanJJ")</f>
        <v>BawsmanJJ</v>
      </c>
      <c r="D132" s="75">
        <f>IFERROR(__xludf.DUMMYFUNCTION("""COMPUTED_VALUE"""),0.0)</f>
        <v>0</v>
      </c>
      <c r="E132" s="75" t="str">
        <f>IFERROR(__xludf.DUMMYFUNCTION("IF(LEN(C132)=0,"""",QUERY(Archive!C:C,""Select COUNT(C) WHERE lower(C) contains '""&amp;LOWER(C132)&amp;""' LABEL COUNT(C) ''""))"),"#N/A")</f>
        <v>#N/A</v>
      </c>
      <c r="F132" s="95"/>
      <c r="G132" s="96"/>
      <c r="H132" s="64"/>
      <c r="I132" s="64"/>
      <c r="J132" s="64"/>
      <c r="K132" s="64"/>
      <c r="L132" s="64"/>
    </row>
    <row r="133" ht="16.5" customHeight="1">
      <c r="A133" s="64"/>
      <c r="B133" s="80" t="s">
        <v>18249</v>
      </c>
      <c r="C133" s="81" t="str">
        <f>IFERROR(__xludf.DUMMYFUNCTION("""COMPUTED_VALUE"""),"Bazbike")</f>
        <v>Bazbike</v>
      </c>
      <c r="D133" s="75">
        <f>IFERROR(__xludf.DUMMYFUNCTION("""COMPUTED_VALUE"""),0.0)</f>
        <v>0</v>
      </c>
      <c r="E133" s="75" t="str">
        <f>IFERROR(__xludf.DUMMYFUNCTION("IF(LEN(C133)=0,"""",QUERY(Archive!C:C,""Select COUNT(C) WHERE lower(C) contains '""&amp;LOWER(C133)&amp;""' LABEL COUNT(C) ''""))"),"#N/A")</f>
        <v>#N/A</v>
      </c>
      <c r="F133" s="95"/>
      <c r="G133" s="96"/>
      <c r="H133" s="64"/>
      <c r="I133" s="64"/>
      <c r="J133" s="64"/>
      <c r="K133" s="64"/>
      <c r="L133" s="64"/>
    </row>
    <row r="134" ht="16.5" customHeight="1">
      <c r="A134" s="64"/>
      <c r="B134" s="80" t="s">
        <v>18249</v>
      </c>
      <c r="C134" s="81" t="str">
        <f>IFERROR(__xludf.DUMMYFUNCTION("""COMPUTED_VALUE"""),"Baznut")</f>
        <v>Baznut</v>
      </c>
      <c r="D134" s="75">
        <f>IFERROR(__xludf.DUMMYFUNCTION("""COMPUTED_VALUE"""),0.0)</f>
        <v>0</v>
      </c>
      <c r="E134" s="75" t="str">
        <f>IFERROR(__xludf.DUMMYFUNCTION("IF(LEN(C134)=0,"""",QUERY(Archive!C:C,""Select COUNT(C) WHERE lower(C) contains '""&amp;LOWER(C134)&amp;""' LABEL COUNT(C) ''""))"),"#N/A")</f>
        <v>#N/A</v>
      </c>
      <c r="F134" s="95"/>
      <c r="G134" s="96"/>
      <c r="H134" s="64"/>
      <c r="I134" s="64"/>
      <c r="J134" s="64"/>
      <c r="K134" s="64"/>
      <c r="L134" s="64"/>
    </row>
    <row r="135" ht="16.5" customHeight="1">
      <c r="A135" s="64"/>
      <c r="B135" s="80" t="s">
        <v>18249</v>
      </c>
      <c r="C135" s="81" t="str">
        <f>IFERROR(__xludf.DUMMYFUNCTION("""COMPUTED_VALUE"""),"BearnePeter")</f>
        <v>BearnePeter</v>
      </c>
      <c r="D135" s="75">
        <f>IFERROR(__xludf.DUMMYFUNCTION("""COMPUTED_VALUE"""),0.0)</f>
        <v>0</v>
      </c>
      <c r="E135" s="75" t="str">
        <f>IFERROR(__xludf.DUMMYFUNCTION("IF(LEN(C135)=0,"""",QUERY(Archive!C:C,""Select COUNT(C) WHERE lower(C) contains '""&amp;LOWER(C135)&amp;""' LABEL COUNT(C) ''""))"),"#N/A")</f>
        <v>#N/A</v>
      </c>
      <c r="F135" s="95"/>
      <c r="G135" s="96"/>
      <c r="H135" s="64"/>
      <c r="I135" s="64"/>
      <c r="J135" s="64"/>
      <c r="K135" s="64"/>
      <c r="L135" s="64"/>
    </row>
    <row r="136" ht="16.5" customHeight="1">
      <c r="A136" s="64"/>
      <c r="B136" s="80" t="s">
        <v>18249</v>
      </c>
      <c r="C136" s="81" t="str">
        <f>IFERROR(__xludf.DUMMYFUNCTION("""COMPUTED_VALUE"""),"BedlingtonJamie")</f>
        <v>BedlingtonJamie</v>
      </c>
      <c r="D136" s="75">
        <f>IFERROR(__xludf.DUMMYFUNCTION("""COMPUTED_VALUE"""),0.0)</f>
        <v>0</v>
      </c>
      <c r="E136" s="75" t="str">
        <f>IFERROR(__xludf.DUMMYFUNCTION("IF(LEN(C136)=0,"""",QUERY(Archive!C:C,""Select COUNT(C) WHERE lower(C) contains '""&amp;LOWER(C136)&amp;""' LABEL COUNT(C) ''""))"),"#N/A")</f>
        <v>#N/A</v>
      </c>
      <c r="F136" s="95"/>
      <c r="G136" s="96"/>
      <c r="H136" s="64"/>
      <c r="I136" s="64"/>
      <c r="J136" s="64"/>
      <c r="K136" s="64"/>
      <c r="L136" s="64"/>
    </row>
    <row r="137" ht="16.5" customHeight="1">
      <c r="A137" s="64"/>
      <c r="B137" s="80" t="s">
        <v>18249</v>
      </c>
      <c r="C137" s="81" t="str">
        <f>IFERROR(__xludf.DUMMYFUNCTION("""COMPUTED_VALUE"""),"BeesterGee")</f>
        <v>BeesterGee</v>
      </c>
      <c r="D137" s="75">
        <f>IFERROR(__xludf.DUMMYFUNCTION("""COMPUTED_VALUE"""),0.0)</f>
        <v>0</v>
      </c>
      <c r="E137" s="75" t="str">
        <f>IFERROR(__xludf.DUMMYFUNCTION("IF(LEN(C137)=0,"""",QUERY(Archive!C:C,""Select COUNT(C) WHERE lower(C) contains '""&amp;LOWER(C137)&amp;""' LABEL COUNT(C) ''""))"),"#N/A")</f>
        <v>#N/A</v>
      </c>
      <c r="F137" s="95"/>
      <c r="G137" s="96"/>
      <c r="H137" s="64"/>
      <c r="I137" s="64"/>
      <c r="J137" s="64"/>
      <c r="K137" s="64"/>
      <c r="L137" s="64"/>
    </row>
    <row r="138" ht="16.5" customHeight="1">
      <c r="A138" s="64"/>
      <c r="B138" s="80" t="s">
        <v>18249</v>
      </c>
      <c r="C138" s="81" t="str">
        <f>IFERROR(__xludf.DUMMYFUNCTION("""COMPUTED_VALUE"""),"Bekinddietrying")</f>
        <v>Bekinddietrying</v>
      </c>
      <c r="D138" s="75">
        <f>IFERROR(__xludf.DUMMYFUNCTION("""COMPUTED_VALUE"""),0.0)</f>
        <v>0</v>
      </c>
      <c r="E138" s="75" t="str">
        <f>IFERROR(__xludf.DUMMYFUNCTION("IF(LEN(C138)=0,"""",QUERY(Archive!C:C,""Select COUNT(C) WHERE lower(C) contains '""&amp;LOWER(C138)&amp;""' LABEL COUNT(C) ''""))"),"#N/A")</f>
        <v>#N/A</v>
      </c>
      <c r="F138" s="95"/>
      <c r="G138" s="96"/>
      <c r="H138" s="64"/>
      <c r="I138" s="64"/>
      <c r="J138" s="64"/>
      <c r="K138" s="64"/>
      <c r="L138" s="64"/>
    </row>
    <row r="139" ht="16.5" customHeight="1">
      <c r="A139" s="64"/>
      <c r="B139" s="80" t="s">
        <v>18249</v>
      </c>
      <c r="C139" s="81" t="str">
        <f>IFERROR(__xludf.DUMMYFUNCTION("""COMPUTED_VALUE"""),"BelAmi06337376")</f>
        <v>BelAmi06337376</v>
      </c>
      <c r="D139" s="75">
        <f>IFERROR(__xludf.DUMMYFUNCTION("""COMPUTED_VALUE"""),0.0)</f>
        <v>0</v>
      </c>
      <c r="E139" s="75" t="str">
        <f>IFERROR(__xludf.DUMMYFUNCTION("IF(LEN(C139)=0,"""",QUERY(Archive!C:C,""Select COUNT(C) WHERE lower(C) contains '""&amp;LOWER(C139)&amp;""' LABEL COUNT(C) ''""))"),"#N/A")</f>
        <v>#N/A</v>
      </c>
      <c r="F139" s="95"/>
      <c r="G139" s="96"/>
      <c r="H139" s="64"/>
      <c r="I139" s="64"/>
      <c r="J139" s="64"/>
      <c r="K139" s="64"/>
      <c r="L139" s="64"/>
    </row>
    <row r="140" ht="16.5" customHeight="1">
      <c r="A140" s="64"/>
      <c r="B140" s="80" t="s">
        <v>18249</v>
      </c>
      <c r="C140" s="81" t="str">
        <f>IFERROR(__xludf.DUMMYFUNCTION("""COMPUTED_VALUE"""),"BelfastUnionist")</f>
        <v>BelfastUnionist</v>
      </c>
      <c r="D140" s="75">
        <f>IFERROR(__xludf.DUMMYFUNCTION("""COMPUTED_VALUE"""),0.0)</f>
        <v>0</v>
      </c>
      <c r="E140" s="75" t="str">
        <f>IFERROR(__xludf.DUMMYFUNCTION("IF(LEN(C140)=0,"""",QUERY(Archive!C:C,""Select COUNT(C) WHERE lower(C) contains '""&amp;LOWER(C140)&amp;""' LABEL COUNT(C) ''""))"),"#N/A")</f>
        <v>#N/A</v>
      </c>
      <c r="F140" s="95"/>
      <c r="G140" s="96"/>
      <c r="H140" s="64"/>
      <c r="I140" s="64"/>
      <c r="J140" s="64"/>
      <c r="K140" s="64"/>
      <c r="L140" s="64"/>
    </row>
    <row r="141" ht="16.5" customHeight="1">
      <c r="A141" s="64"/>
      <c r="B141" s="80" t="s">
        <v>18249</v>
      </c>
      <c r="C141" s="81" t="str">
        <f>IFERROR(__xludf.DUMMYFUNCTION("""COMPUTED_VALUE"""),"BelgiumDip")</f>
        <v>BelgiumDip</v>
      </c>
      <c r="D141" s="75">
        <f>IFERROR(__xludf.DUMMYFUNCTION("""COMPUTED_VALUE"""),0.0)</f>
        <v>0</v>
      </c>
      <c r="E141" s="75" t="str">
        <f>IFERROR(__xludf.DUMMYFUNCTION("IF(LEN(C141)=0,"""",QUERY(Archive!C:C,""Select COUNT(C) WHERE lower(C) contains '""&amp;LOWER(C141)&amp;""' LABEL COUNT(C) ''""))"),"#N/A")</f>
        <v>#N/A</v>
      </c>
      <c r="F141" s="95"/>
      <c r="G141" s="96"/>
      <c r="H141" s="64"/>
      <c r="I141" s="64"/>
      <c r="J141" s="64"/>
      <c r="K141" s="64"/>
      <c r="L141" s="64"/>
    </row>
    <row r="142" ht="16.5" customHeight="1">
      <c r="A142" s="64"/>
      <c r="B142" s="80" t="s">
        <v>18249</v>
      </c>
      <c r="C142" s="81" t="str">
        <f>IFERROR(__xludf.DUMMYFUNCTION("""COMPUTED_VALUE"""),"BellaBeeBeeMe")</f>
        <v>BellaBeeBeeMe</v>
      </c>
      <c r="D142" s="75">
        <f>IFERROR(__xludf.DUMMYFUNCTION("""COMPUTED_VALUE"""),0.0)</f>
        <v>0</v>
      </c>
      <c r="E142" s="75" t="str">
        <f>IFERROR(__xludf.DUMMYFUNCTION("IF(LEN(C142)=0,"""",QUERY(Archive!C:C,""Select COUNT(C) WHERE lower(C) contains '""&amp;LOWER(C142)&amp;""' LABEL COUNT(C) ''""))"),"#N/A")</f>
        <v>#N/A</v>
      </c>
      <c r="F142" s="95"/>
      <c r="G142" s="96"/>
      <c r="H142" s="64"/>
      <c r="I142" s="64"/>
      <c r="J142" s="64"/>
      <c r="K142" s="64"/>
      <c r="L142" s="64"/>
    </row>
    <row r="143" ht="16.5" customHeight="1">
      <c r="A143" s="64"/>
      <c r="B143" s="80" t="s">
        <v>18249</v>
      </c>
      <c r="C143" s="81" t="str">
        <f>IFERROR(__xludf.DUMMYFUNCTION("""COMPUTED_VALUE"""),"Ben63")</f>
        <v>Ben63</v>
      </c>
      <c r="D143" s="75">
        <f>IFERROR(__xludf.DUMMYFUNCTION("""COMPUTED_VALUE"""),0.0)</f>
        <v>0</v>
      </c>
      <c r="E143" s="75" t="str">
        <f>IFERROR(__xludf.DUMMYFUNCTION("IF(LEN(C143)=0,"""",QUERY(Archive!C:C,""Select COUNT(C) WHERE lower(C) contains '""&amp;LOWER(C143)&amp;""' LABEL COUNT(C) ''""))"),"#N/A")</f>
        <v>#N/A</v>
      </c>
      <c r="F143" s="95"/>
      <c r="G143" s="96"/>
      <c r="H143" s="64"/>
      <c r="I143" s="64"/>
      <c r="J143" s="64"/>
      <c r="K143" s="64"/>
      <c r="L143" s="64"/>
    </row>
    <row r="144" ht="16.5" customHeight="1">
      <c r="A144" s="64"/>
      <c r="B144" s="80" t="s">
        <v>18249</v>
      </c>
      <c r="C144" s="81" t="str">
        <f>IFERROR(__xludf.DUMMYFUNCTION("""COMPUTED_VALUE"""),"Benjamin_Budd")</f>
        <v>Benjamin_Budd</v>
      </c>
      <c r="D144" s="75">
        <f>IFERROR(__xludf.DUMMYFUNCTION("""COMPUTED_VALUE"""),0.0)</f>
        <v>0</v>
      </c>
      <c r="E144" s="75" t="str">
        <f>IFERROR(__xludf.DUMMYFUNCTION("IF(LEN(C144)=0,"""",QUERY(Archive!C:C,""Select COUNT(C) WHERE lower(C) contains '""&amp;LOWER(C144)&amp;""' LABEL COUNT(C) ''""))"),"#N/A")</f>
        <v>#N/A</v>
      </c>
      <c r="F144" s="95"/>
      <c r="G144" s="96"/>
      <c r="H144" s="64"/>
      <c r="I144" s="64"/>
      <c r="J144" s="64"/>
      <c r="K144" s="64"/>
      <c r="L144" s="64"/>
    </row>
    <row r="145" ht="16.5" customHeight="1">
      <c r="A145" s="64"/>
      <c r="B145" s="80" t="s">
        <v>18249</v>
      </c>
      <c r="C145" s="81" t="str">
        <f>IFERROR(__xludf.DUMMYFUNCTION("""COMPUTED_VALUE"""),"BernardMcEldown")</f>
        <v>BernardMcEldown</v>
      </c>
      <c r="D145" s="75">
        <f>IFERROR(__xludf.DUMMYFUNCTION("""COMPUTED_VALUE"""),0.0)</f>
        <v>0</v>
      </c>
      <c r="E145" s="75" t="str">
        <f>IFERROR(__xludf.DUMMYFUNCTION("IF(LEN(C145)=0,"""",QUERY(Archive!C:C,""Select COUNT(C) WHERE lower(C) contains '""&amp;LOWER(C145)&amp;""' LABEL COUNT(C) ''""))"),"#N/A")</f>
        <v>#N/A</v>
      </c>
      <c r="F145" s="95"/>
      <c r="G145" s="96"/>
      <c r="H145" s="64"/>
      <c r="I145" s="64"/>
      <c r="J145" s="64"/>
      <c r="K145" s="64"/>
      <c r="L145" s="64"/>
    </row>
    <row r="146" ht="16.5" customHeight="1">
      <c r="A146" s="64"/>
      <c r="B146" s="80" t="s">
        <v>18249</v>
      </c>
      <c r="C146" s="81" t="str">
        <f>IFERROR(__xludf.DUMMYFUNCTION("""COMPUTED_VALUE"""),"BernardWalsh1")</f>
        <v>BernardWalsh1</v>
      </c>
      <c r="D146" s="75">
        <f>IFERROR(__xludf.DUMMYFUNCTION("""COMPUTED_VALUE"""),0.0)</f>
        <v>0</v>
      </c>
      <c r="E146" s="97"/>
      <c r="F146" s="95"/>
      <c r="G146" s="96"/>
      <c r="H146" s="64"/>
      <c r="I146" s="64"/>
      <c r="J146" s="64"/>
      <c r="K146" s="64"/>
      <c r="L146" s="64"/>
    </row>
    <row r="147" ht="16.5" customHeight="1">
      <c r="A147" s="64"/>
      <c r="B147" s="80" t="s">
        <v>18249</v>
      </c>
      <c r="C147" s="81" t="str">
        <f>IFERROR(__xludf.DUMMYFUNCTION("""COMPUTED_VALUE"""),"BerylHylton")</f>
        <v>BerylHylton</v>
      </c>
      <c r="D147" s="75">
        <f>IFERROR(__xludf.DUMMYFUNCTION("""COMPUTED_VALUE"""),0.0)</f>
        <v>0</v>
      </c>
      <c r="E147" s="97"/>
      <c r="F147" s="95"/>
      <c r="G147" s="96"/>
      <c r="H147" s="64"/>
      <c r="I147" s="64"/>
      <c r="J147" s="64"/>
      <c r="K147" s="64"/>
      <c r="L147" s="64"/>
    </row>
    <row r="148" ht="16.5" customHeight="1">
      <c r="A148" s="64"/>
      <c r="B148" s="80" t="s">
        <v>18249</v>
      </c>
      <c r="C148" s="81" t="str">
        <f>IFERROR(__xludf.DUMMYFUNCTION("""COMPUTED_VALUE"""),"BestForBritain")</f>
        <v>BestForBritain</v>
      </c>
      <c r="D148" s="75">
        <f>IFERROR(__xludf.DUMMYFUNCTION("""COMPUTED_VALUE"""),0.0)</f>
        <v>0</v>
      </c>
      <c r="E148" s="97"/>
      <c r="F148" s="95"/>
      <c r="G148" s="96"/>
      <c r="H148" s="64"/>
      <c r="I148" s="64"/>
      <c r="J148" s="64"/>
      <c r="K148" s="64"/>
      <c r="L148" s="64"/>
    </row>
    <row r="149" ht="16.5" customHeight="1">
      <c r="A149" s="64"/>
      <c r="B149" s="80" t="s">
        <v>18249</v>
      </c>
      <c r="C149" s="81" t="str">
        <f>IFERROR(__xludf.DUMMYFUNCTION("""COMPUTED_VALUE"""),"BettonVal")</f>
        <v>BettonVal</v>
      </c>
      <c r="D149" s="75">
        <f>IFERROR(__xludf.DUMMYFUNCTION("""COMPUTED_VALUE"""),0.0)</f>
        <v>0</v>
      </c>
      <c r="E149" s="97"/>
      <c r="F149" s="95"/>
      <c r="G149" s="96"/>
      <c r="H149" s="64"/>
      <c r="I149" s="64"/>
      <c r="J149" s="64"/>
      <c r="K149" s="64"/>
      <c r="L149" s="64"/>
    </row>
    <row r="150" ht="16.5" customHeight="1">
      <c r="A150" s="64"/>
      <c r="B150" s="80" t="s">
        <v>18249</v>
      </c>
      <c r="C150" s="81" t="str">
        <f>IFERROR(__xludf.DUMMYFUNCTION("""COMPUTED_VALUE"""),"Bewlboy")</f>
        <v>Bewlboy</v>
      </c>
      <c r="D150" s="75">
        <f>IFERROR(__xludf.DUMMYFUNCTION("""COMPUTED_VALUE"""),0.0)</f>
        <v>0</v>
      </c>
      <c r="E150" s="97"/>
      <c r="F150" s="95"/>
      <c r="G150" s="96"/>
      <c r="H150" s="64"/>
      <c r="I150" s="64"/>
      <c r="J150" s="64"/>
      <c r="K150" s="64"/>
      <c r="L150" s="64"/>
    </row>
    <row r="151" ht="16.5" customHeight="1">
      <c r="A151" s="64"/>
      <c r="B151" s="80" t="s">
        <v>18249</v>
      </c>
      <c r="C151" s="81" t="str">
        <f>IFERROR(__xludf.DUMMYFUNCTION("""COMPUTED_VALUE"""),"BhavinOh")</f>
        <v>BhavinOh</v>
      </c>
      <c r="D151" s="75">
        <f>IFERROR(__xludf.DUMMYFUNCTION("""COMPUTED_VALUE"""),0.0)</f>
        <v>0</v>
      </c>
      <c r="E151" s="97"/>
      <c r="F151" s="95"/>
      <c r="G151" s="96"/>
      <c r="H151" s="64"/>
      <c r="I151" s="64"/>
      <c r="J151" s="64"/>
      <c r="K151" s="64"/>
      <c r="L151" s="64"/>
    </row>
    <row r="152" ht="16.5" customHeight="1">
      <c r="A152" s="64"/>
      <c r="B152" s="80" t="s">
        <v>18249</v>
      </c>
      <c r="C152" s="81" t="str">
        <f>IFERROR(__xludf.DUMMYFUNCTION("""COMPUTED_VALUE"""),"BhavnaSaint")</f>
        <v>BhavnaSaint</v>
      </c>
      <c r="D152" s="75">
        <f>IFERROR(__xludf.DUMMYFUNCTION("""COMPUTED_VALUE"""),0.0)</f>
        <v>0</v>
      </c>
      <c r="E152" s="97"/>
      <c r="F152" s="95"/>
      <c r="G152" s="96"/>
      <c r="H152" s="64"/>
      <c r="I152" s="64"/>
      <c r="J152" s="64"/>
      <c r="K152" s="64"/>
      <c r="L152" s="64"/>
    </row>
    <row r="153" ht="16.5" customHeight="1">
      <c r="A153" s="64"/>
      <c r="B153" s="80" t="s">
        <v>18249</v>
      </c>
      <c r="C153" s="81" t="str">
        <f>IFERROR(__xludf.DUMMYFUNCTION("""COMPUTED_VALUE"""),"Biberbach")</f>
        <v>Biberbach</v>
      </c>
      <c r="D153" s="75">
        <f>IFERROR(__xludf.DUMMYFUNCTION("""COMPUTED_VALUE"""),0.0)</f>
        <v>0</v>
      </c>
      <c r="E153" s="97"/>
      <c r="F153" s="95"/>
      <c r="G153" s="96"/>
      <c r="H153" s="64"/>
      <c r="I153" s="64"/>
      <c r="J153" s="64"/>
      <c r="K153" s="64"/>
      <c r="L153" s="64"/>
    </row>
    <row r="154" ht="16.5" customHeight="1">
      <c r="A154" s="64"/>
      <c r="B154" s="80" t="s">
        <v>18249</v>
      </c>
      <c r="C154" s="81" t="str">
        <f>IFERROR(__xludf.DUMMYFUNCTION("""COMPUTED_VALUE"""),"BigDollarRich")</f>
        <v>BigDollarRich</v>
      </c>
      <c r="D154" s="75">
        <f>IFERROR(__xludf.DUMMYFUNCTION("""COMPUTED_VALUE"""),0.0)</f>
        <v>0</v>
      </c>
      <c r="E154" s="97"/>
      <c r="F154" s="95"/>
      <c r="G154" s="96"/>
      <c r="H154" s="64"/>
      <c r="I154" s="64"/>
      <c r="J154" s="64"/>
      <c r="K154" s="64"/>
      <c r="L154" s="64"/>
    </row>
    <row r="155" ht="16.5" customHeight="1">
      <c r="A155" s="64"/>
      <c r="B155" s="80" t="s">
        <v>18249</v>
      </c>
      <c r="C155" s="81" t="str">
        <f>IFERROR(__xludf.DUMMYFUNCTION("""COMPUTED_VALUE"""),"BillM2207")</f>
        <v>BillM2207</v>
      </c>
      <c r="D155" s="75">
        <f>IFERROR(__xludf.DUMMYFUNCTION("""COMPUTED_VALUE"""),0.0)</f>
        <v>0</v>
      </c>
      <c r="E155" s="97"/>
      <c r="F155" s="95"/>
      <c r="G155" s="96"/>
      <c r="H155" s="64"/>
      <c r="I155" s="64"/>
      <c r="J155" s="64"/>
      <c r="K155" s="64"/>
      <c r="L155" s="64"/>
    </row>
    <row r="156" ht="16.5" customHeight="1">
      <c r="A156" s="64"/>
      <c r="B156" s="80" t="s">
        <v>18249</v>
      </c>
      <c r="C156" s="81" t="str">
        <f>IFERROR(__xludf.DUMMYFUNCTION("""COMPUTED_VALUE"""),"BillyBr56707418")</f>
        <v>BillyBr56707418</v>
      </c>
      <c r="D156" s="75">
        <f>IFERROR(__xludf.DUMMYFUNCTION("""COMPUTED_VALUE"""),0.0)</f>
        <v>0</v>
      </c>
      <c r="E156" s="97"/>
      <c r="F156" s="95"/>
      <c r="G156" s="96"/>
      <c r="H156" s="64"/>
      <c r="I156" s="64"/>
      <c r="J156" s="64"/>
      <c r="K156" s="64"/>
      <c r="L156" s="64"/>
    </row>
    <row r="157" ht="16.5" customHeight="1">
      <c r="A157" s="64"/>
      <c r="B157" s="80" t="s">
        <v>18249</v>
      </c>
      <c r="C157" s="81" t="str">
        <f>IFERROR(__xludf.DUMMYFUNCTION("""COMPUTED_VALUE"""),"BirdBlondebird")</f>
        <v>BirdBlondebird</v>
      </c>
      <c r="D157" s="75">
        <f>IFERROR(__xludf.DUMMYFUNCTION("""COMPUTED_VALUE"""),0.0)</f>
        <v>0</v>
      </c>
      <c r="E157" s="97"/>
      <c r="F157" s="95"/>
      <c r="G157" s="96"/>
      <c r="H157" s="64"/>
      <c r="I157" s="64"/>
      <c r="J157" s="64"/>
      <c r="K157" s="64"/>
      <c r="L157" s="64"/>
    </row>
    <row r="158" ht="16.5" customHeight="1">
      <c r="A158" s="64"/>
      <c r="B158" s="80" t="s">
        <v>18249</v>
      </c>
      <c r="C158" s="81" t="str">
        <f>IFERROR(__xludf.DUMMYFUNCTION("""COMPUTED_VALUE"""),"BirderNormandie")</f>
        <v>BirderNormandie</v>
      </c>
      <c r="D158" s="75">
        <f>IFERROR(__xludf.DUMMYFUNCTION("""COMPUTED_VALUE"""),0.0)</f>
        <v>0</v>
      </c>
      <c r="E158" s="97"/>
      <c r="F158" s="95"/>
      <c r="G158" s="96"/>
      <c r="H158" s="64"/>
      <c r="I158" s="64"/>
      <c r="J158" s="64"/>
      <c r="K158" s="64"/>
      <c r="L158" s="64"/>
    </row>
    <row r="159" ht="16.5" customHeight="1">
      <c r="A159" s="64"/>
      <c r="B159" s="80" t="s">
        <v>18249</v>
      </c>
      <c r="C159" s="81" t="str">
        <f>IFERROR(__xludf.DUMMYFUNCTION("""COMPUTED_VALUE"""),"BizGrowthGB")</f>
        <v>BizGrowthGB</v>
      </c>
      <c r="D159" s="75">
        <f>IFERROR(__xludf.DUMMYFUNCTION("""COMPUTED_VALUE"""),0.0)</f>
        <v>0</v>
      </c>
      <c r="E159" s="97"/>
      <c r="F159" s="95"/>
      <c r="G159" s="96"/>
      <c r="H159" s="64"/>
      <c r="I159" s="64"/>
      <c r="J159" s="64"/>
      <c r="K159" s="64"/>
      <c r="L159" s="64"/>
    </row>
    <row r="160" ht="16.5" customHeight="1">
      <c r="A160" s="64"/>
      <c r="B160" s="80" t="s">
        <v>18249</v>
      </c>
      <c r="C160" s="81" t="str">
        <f>IFERROR(__xludf.DUMMYFUNCTION("""COMPUTED_VALUE"""),"BlackGloves")</f>
        <v>BlackGloves</v>
      </c>
      <c r="D160" s="75">
        <f>IFERROR(__xludf.DUMMYFUNCTION("""COMPUTED_VALUE"""),0.0)</f>
        <v>0</v>
      </c>
      <c r="E160" s="97"/>
      <c r="F160" s="95"/>
      <c r="G160" s="96"/>
      <c r="H160" s="64"/>
      <c r="I160" s="64"/>
      <c r="J160" s="64"/>
      <c r="K160" s="64"/>
      <c r="L160" s="64"/>
    </row>
    <row r="161" ht="16.5" customHeight="1">
      <c r="A161" s="64"/>
      <c r="B161" s="80" t="s">
        <v>18249</v>
      </c>
      <c r="C161" s="81" t="str">
        <f>IFERROR(__xludf.DUMMYFUNCTION("""COMPUTED_VALUE"""),"BlondePrefers")</f>
        <v>BlondePrefers</v>
      </c>
      <c r="D161" s="75">
        <f>IFERROR(__xludf.DUMMYFUNCTION("""COMPUTED_VALUE"""),0.0)</f>
        <v>0</v>
      </c>
      <c r="E161" s="97"/>
      <c r="F161" s="95"/>
      <c r="G161" s="96"/>
      <c r="H161" s="64"/>
      <c r="I161" s="64"/>
      <c r="J161" s="64"/>
      <c r="K161" s="64"/>
      <c r="L161" s="64"/>
    </row>
    <row r="162" ht="16.5" customHeight="1">
      <c r="A162" s="64"/>
      <c r="B162" s="80" t="s">
        <v>18249</v>
      </c>
      <c r="C162" s="81" t="str">
        <f>IFERROR(__xludf.DUMMYFUNCTION("""COMPUTED_VALUE"""),"BluJay1066")</f>
        <v>BluJay1066</v>
      </c>
      <c r="D162" s="75">
        <f>IFERROR(__xludf.DUMMYFUNCTION("""COMPUTED_VALUE"""),0.0)</f>
        <v>0</v>
      </c>
      <c r="E162" s="97"/>
      <c r="F162" s="95"/>
      <c r="G162" s="96"/>
      <c r="H162" s="64"/>
      <c r="I162" s="64"/>
      <c r="J162" s="64"/>
      <c r="K162" s="64"/>
      <c r="L162" s="64"/>
    </row>
    <row r="163" ht="16.5" customHeight="1">
      <c r="A163" s="64"/>
      <c r="B163" s="80" t="s">
        <v>18249</v>
      </c>
      <c r="C163" s="81" t="str">
        <f>IFERROR(__xludf.DUMMYFUNCTION("""COMPUTED_VALUE"""),"BlueBockle")</f>
        <v>BlueBockle</v>
      </c>
      <c r="D163" s="75">
        <f>IFERROR(__xludf.DUMMYFUNCTION("""COMPUTED_VALUE"""),0.0)</f>
        <v>0</v>
      </c>
      <c r="E163" s="97"/>
      <c r="F163" s="95"/>
      <c r="G163" s="96"/>
      <c r="H163" s="64"/>
      <c r="I163" s="64"/>
      <c r="J163" s="64"/>
      <c r="K163" s="64"/>
      <c r="L163" s="64"/>
    </row>
    <row r="164" ht="16.5" customHeight="1">
      <c r="A164" s="64"/>
      <c r="B164" s="80" t="s">
        <v>18249</v>
      </c>
      <c r="C164" s="81" t="str">
        <f>IFERROR(__xludf.DUMMYFUNCTION("""COMPUTED_VALUE"""),"BoDs_Life")</f>
        <v>BoDs_Life</v>
      </c>
      <c r="D164" s="75">
        <f>IFERROR(__xludf.DUMMYFUNCTION("""COMPUTED_VALUE"""),0.0)</f>
        <v>0</v>
      </c>
      <c r="E164" s="97"/>
      <c r="F164" s="95"/>
      <c r="G164" s="96"/>
      <c r="H164" s="64"/>
      <c r="I164" s="64"/>
      <c r="J164" s="64"/>
      <c r="K164" s="64"/>
      <c r="L164" s="64"/>
    </row>
    <row r="165" ht="16.5" customHeight="1">
      <c r="A165" s="64"/>
      <c r="B165" s="80" t="s">
        <v>18249</v>
      </c>
      <c r="C165" s="81" t="str">
        <f>IFERROR(__xludf.DUMMYFUNCTION("""COMPUTED_VALUE"""),"BobHopcraft")</f>
        <v>BobHopcraft</v>
      </c>
      <c r="D165" s="75">
        <f>IFERROR(__xludf.DUMMYFUNCTION("""COMPUTED_VALUE"""),0.0)</f>
        <v>0</v>
      </c>
      <c r="E165" s="97"/>
      <c r="F165" s="95"/>
      <c r="G165" s="96"/>
      <c r="H165" s="64"/>
      <c r="I165" s="64"/>
      <c r="J165" s="64"/>
      <c r="K165" s="64"/>
      <c r="L165" s="64"/>
    </row>
    <row r="166" ht="16.5" customHeight="1">
      <c r="A166" s="64"/>
      <c r="B166" s="80" t="s">
        <v>18249</v>
      </c>
      <c r="C166" s="81" t="str">
        <f>IFERROR(__xludf.DUMMYFUNCTION("""COMPUTED_VALUE"""),"BobMars53070026")</f>
        <v>BobMars53070026</v>
      </c>
      <c r="D166" s="75">
        <f>IFERROR(__xludf.DUMMYFUNCTION("""COMPUTED_VALUE"""),0.0)</f>
        <v>0</v>
      </c>
      <c r="E166" s="97"/>
      <c r="F166" s="95"/>
      <c r="G166" s="96"/>
      <c r="H166" s="64"/>
      <c r="I166" s="64"/>
      <c r="J166" s="64"/>
      <c r="K166" s="64"/>
      <c r="L166" s="64"/>
    </row>
    <row r="167" ht="16.5" customHeight="1">
      <c r="A167" s="64"/>
      <c r="B167" s="80" t="s">
        <v>18249</v>
      </c>
      <c r="C167" s="81" t="str">
        <f>IFERROR(__xludf.DUMMYFUNCTION("""COMPUTED_VALUE"""),"BobbyGeorge19")</f>
        <v>BobbyGeorge19</v>
      </c>
      <c r="D167" s="75">
        <f>IFERROR(__xludf.DUMMYFUNCTION("""COMPUTED_VALUE"""),0.0)</f>
        <v>0</v>
      </c>
      <c r="E167" s="97"/>
      <c r="F167" s="95"/>
      <c r="G167" s="96"/>
      <c r="H167" s="64"/>
      <c r="I167" s="64"/>
      <c r="J167" s="64"/>
      <c r="K167" s="64"/>
      <c r="L167" s="64"/>
    </row>
    <row r="168" ht="16.5" customHeight="1">
      <c r="A168" s="64"/>
      <c r="B168" s="80" t="s">
        <v>18249</v>
      </c>
      <c r="C168" s="81" t="str">
        <f>IFERROR(__xludf.DUMMYFUNCTION("""COMPUTED_VALUE"""),"BobbyRhosneigr")</f>
        <v>BobbyRhosneigr</v>
      </c>
      <c r="D168" s="75">
        <f>IFERROR(__xludf.DUMMYFUNCTION("""COMPUTED_VALUE"""),0.0)</f>
        <v>0</v>
      </c>
      <c r="E168" s="97"/>
      <c r="F168" s="95"/>
      <c r="G168" s="96"/>
      <c r="H168" s="64"/>
      <c r="I168" s="64"/>
      <c r="J168" s="64"/>
      <c r="K168" s="64"/>
      <c r="L168" s="64"/>
    </row>
    <row r="169" ht="16.5" customHeight="1">
      <c r="A169" s="64"/>
      <c r="B169" s="80" t="s">
        <v>18249</v>
      </c>
      <c r="C169" s="81" t="str">
        <f>IFERROR(__xludf.DUMMYFUNCTION("""COMPUTED_VALUE"""),"BocaVerite")</f>
        <v>BocaVerite</v>
      </c>
      <c r="D169" s="75">
        <f>IFERROR(__xludf.DUMMYFUNCTION("""COMPUTED_VALUE"""),0.0)</f>
        <v>0</v>
      </c>
      <c r="E169" s="97"/>
      <c r="F169" s="95"/>
      <c r="G169" s="96"/>
      <c r="H169" s="64"/>
      <c r="I169" s="64"/>
      <c r="J169" s="64"/>
      <c r="K169" s="64"/>
      <c r="L169" s="64"/>
    </row>
    <row r="170" ht="16.5" customHeight="1">
      <c r="A170" s="64"/>
      <c r="B170" s="80" t="s">
        <v>18249</v>
      </c>
      <c r="C170" s="81" t="str">
        <f>IFERROR(__xludf.DUMMYFUNCTION("""COMPUTED_VALUE"""),"BodyMindStudio")</f>
        <v>BodyMindStudio</v>
      </c>
      <c r="D170" s="75">
        <f>IFERROR(__xludf.DUMMYFUNCTION("""COMPUTED_VALUE"""),0.0)</f>
        <v>0</v>
      </c>
      <c r="E170" s="97"/>
      <c r="F170" s="95"/>
      <c r="G170" s="96"/>
      <c r="H170" s="64"/>
      <c r="I170" s="64"/>
      <c r="J170" s="64"/>
      <c r="K170" s="64"/>
      <c r="L170" s="64"/>
    </row>
    <row r="171" ht="16.5" customHeight="1">
      <c r="A171" s="64"/>
      <c r="B171" s="80" t="s">
        <v>18249</v>
      </c>
      <c r="C171" s="81" t="str">
        <f>IFERROR(__xludf.DUMMYFUNCTION("""COMPUTED_VALUE"""),"Bollocks2Brexit")</f>
        <v>Bollocks2Brexit</v>
      </c>
      <c r="D171" s="75">
        <f>IFERROR(__xludf.DUMMYFUNCTION("""COMPUTED_VALUE"""),0.0)</f>
        <v>0</v>
      </c>
      <c r="E171" s="97"/>
      <c r="F171" s="95"/>
      <c r="G171" s="96"/>
      <c r="H171" s="64"/>
      <c r="I171" s="64"/>
      <c r="J171" s="64"/>
      <c r="K171" s="64"/>
      <c r="L171" s="64"/>
    </row>
    <row r="172" ht="16.5" customHeight="1">
      <c r="A172" s="64"/>
      <c r="B172" s="80" t="s">
        <v>18249</v>
      </c>
      <c r="C172" s="81" t="str">
        <f>IFERROR(__xludf.DUMMYFUNCTION("""COMPUTED_VALUE"""),"BonaparteFabri1")</f>
        <v>BonaparteFabri1</v>
      </c>
      <c r="D172" s="75">
        <f>IFERROR(__xludf.DUMMYFUNCTION("""COMPUTED_VALUE"""),0.0)</f>
        <v>0</v>
      </c>
      <c r="E172" s="97"/>
      <c r="F172" s="95"/>
      <c r="G172" s="96"/>
      <c r="H172" s="64"/>
      <c r="I172" s="64"/>
      <c r="J172" s="64"/>
      <c r="K172" s="64"/>
      <c r="L172" s="64"/>
    </row>
    <row r="173" ht="16.5" customHeight="1">
      <c r="A173" s="64"/>
      <c r="B173" s="80" t="s">
        <v>18249</v>
      </c>
      <c r="C173" s="81" t="str">
        <f>IFERROR(__xludf.DUMMYFUNCTION("""COMPUTED_VALUE"""),"Boolie15")</f>
        <v>Boolie15</v>
      </c>
      <c r="D173" s="75">
        <f>IFERROR(__xludf.DUMMYFUNCTION("""COMPUTED_VALUE"""),0.0)</f>
        <v>0</v>
      </c>
      <c r="E173" s="97"/>
      <c r="F173" s="95"/>
      <c r="G173" s="96"/>
      <c r="H173" s="64"/>
      <c r="I173" s="64"/>
      <c r="J173" s="64"/>
      <c r="K173" s="64"/>
      <c r="L173" s="64"/>
    </row>
    <row r="174" ht="16.5" customHeight="1">
      <c r="A174" s="64"/>
      <c r="B174" s="80" t="s">
        <v>18249</v>
      </c>
      <c r="C174" s="81" t="str">
        <f>IFERROR(__xludf.DUMMYFUNCTION("""COMPUTED_VALUE"""),"BoopHawke")</f>
        <v>BoopHawke</v>
      </c>
      <c r="D174" s="75">
        <f>IFERROR(__xludf.DUMMYFUNCTION("""COMPUTED_VALUE"""),0.0)</f>
        <v>0</v>
      </c>
      <c r="E174" s="97"/>
      <c r="F174" s="95"/>
      <c r="G174" s="96"/>
      <c r="H174" s="64"/>
      <c r="I174" s="64"/>
      <c r="J174" s="64"/>
      <c r="K174" s="64"/>
      <c r="L174" s="64"/>
    </row>
    <row r="175" ht="16.5" customHeight="1">
      <c r="A175" s="64"/>
      <c r="B175" s="80" t="s">
        <v>18249</v>
      </c>
      <c r="C175" s="81" t="str">
        <f>IFERROR(__xludf.DUMMYFUNCTION("""COMPUTED_VALUE"""),"BouldingPeter")</f>
        <v>BouldingPeter</v>
      </c>
      <c r="D175" s="75">
        <f>IFERROR(__xludf.DUMMYFUNCTION("""COMPUTED_VALUE"""),0.0)</f>
        <v>0</v>
      </c>
      <c r="E175" s="97"/>
      <c r="F175" s="95"/>
      <c r="G175" s="96"/>
      <c r="H175" s="64"/>
      <c r="I175" s="64"/>
      <c r="J175" s="64"/>
      <c r="K175" s="64"/>
      <c r="L175" s="64"/>
    </row>
    <row r="176" ht="16.5" customHeight="1">
      <c r="A176" s="64"/>
      <c r="B176" s="80" t="s">
        <v>18249</v>
      </c>
      <c r="C176" s="81" t="str">
        <f>IFERROR(__xludf.DUMMYFUNCTION("""COMPUTED_VALUE"""),"Bournemouth4EU")</f>
        <v>Bournemouth4EU</v>
      </c>
      <c r="D176" s="75">
        <f>IFERROR(__xludf.DUMMYFUNCTION("""COMPUTED_VALUE"""),0.0)</f>
        <v>0</v>
      </c>
      <c r="E176" s="97"/>
      <c r="F176" s="95"/>
      <c r="G176" s="96"/>
      <c r="H176" s="64"/>
      <c r="I176" s="64"/>
      <c r="J176" s="64"/>
      <c r="K176" s="64"/>
      <c r="L176" s="64"/>
    </row>
    <row r="177" ht="16.5" customHeight="1">
      <c r="A177" s="64"/>
      <c r="B177" s="80" t="s">
        <v>18249</v>
      </c>
      <c r="C177" s="81" t="str">
        <f>IFERROR(__xludf.DUMMYFUNCTION("""COMPUTED_VALUE"""),"BovineWisdom")</f>
        <v>BovineWisdom</v>
      </c>
      <c r="D177" s="75">
        <f>IFERROR(__xludf.DUMMYFUNCTION("""COMPUTED_VALUE"""),0.0)</f>
        <v>0</v>
      </c>
      <c r="E177" s="97"/>
      <c r="F177" s="95"/>
      <c r="G177" s="96"/>
      <c r="H177" s="64"/>
      <c r="I177" s="64"/>
      <c r="J177" s="64"/>
      <c r="K177" s="64"/>
      <c r="L177" s="64"/>
    </row>
    <row r="178" ht="16.5" customHeight="1">
      <c r="A178" s="64"/>
      <c r="B178" s="80" t="s">
        <v>18249</v>
      </c>
      <c r="C178" s="81" t="str">
        <f>IFERROR(__xludf.DUMMYFUNCTION("""COMPUTED_VALUE"""),"BoycottNTU")</f>
        <v>BoycottNTU</v>
      </c>
      <c r="D178" s="75">
        <f>IFERROR(__xludf.DUMMYFUNCTION("""COMPUTED_VALUE"""),0.0)</f>
        <v>0</v>
      </c>
      <c r="E178" s="97"/>
      <c r="F178" s="95"/>
      <c r="G178" s="96"/>
      <c r="H178" s="64"/>
      <c r="I178" s="64"/>
      <c r="J178" s="64"/>
      <c r="K178" s="64"/>
      <c r="L178" s="64"/>
    </row>
    <row r="179" ht="16.5" customHeight="1">
      <c r="A179" s="64"/>
      <c r="B179" s="80" t="s">
        <v>18249</v>
      </c>
      <c r="C179" s="81" t="str">
        <f>IFERROR(__xludf.DUMMYFUNCTION("""COMPUTED_VALUE"""),"BradipoWayway")</f>
        <v>BradipoWayway</v>
      </c>
      <c r="D179" s="75">
        <f>IFERROR(__xludf.DUMMYFUNCTION("""COMPUTED_VALUE"""),0.0)</f>
        <v>0</v>
      </c>
      <c r="E179" s="97"/>
      <c r="F179" s="95"/>
      <c r="G179" s="96"/>
      <c r="H179" s="64"/>
      <c r="I179" s="64"/>
      <c r="J179" s="64"/>
      <c r="K179" s="64"/>
      <c r="L179" s="64"/>
    </row>
    <row r="180" ht="16.5" customHeight="1">
      <c r="A180" s="64"/>
      <c r="B180" s="80" t="s">
        <v>18249</v>
      </c>
      <c r="C180" s="81" t="str">
        <f>IFERROR(__xludf.DUMMYFUNCTION("""COMPUTED_VALUE"""),"BrainColne")</f>
        <v>BrainColne</v>
      </c>
      <c r="D180" s="75">
        <f>IFERROR(__xludf.DUMMYFUNCTION("""COMPUTED_VALUE"""),0.0)</f>
        <v>0</v>
      </c>
      <c r="E180" s="97"/>
      <c r="F180" s="95"/>
      <c r="G180" s="96"/>
      <c r="H180" s="64"/>
      <c r="I180" s="64"/>
      <c r="J180" s="64"/>
      <c r="K180" s="64"/>
      <c r="L180" s="64"/>
    </row>
    <row r="181" ht="16.5" customHeight="1">
      <c r="A181" s="64"/>
      <c r="B181" s="80" t="s">
        <v>18249</v>
      </c>
      <c r="C181" s="81" t="str">
        <f>IFERROR(__xludf.DUMMYFUNCTION("""COMPUTED_VALUE"""),"BramProvost")</f>
        <v>BramProvost</v>
      </c>
      <c r="D181" s="75">
        <f>IFERROR(__xludf.DUMMYFUNCTION("""COMPUTED_VALUE"""),0.0)</f>
        <v>0</v>
      </c>
      <c r="E181" s="97"/>
      <c r="F181" s="95"/>
      <c r="G181" s="96"/>
      <c r="H181" s="64"/>
      <c r="I181" s="64"/>
      <c r="J181" s="64"/>
      <c r="K181" s="64"/>
      <c r="L181" s="64"/>
    </row>
    <row r="182" ht="16.5" customHeight="1">
      <c r="A182" s="64"/>
      <c r="B182" s="80" t="s">
        <v>18249</v>
      </c>
      <c r="C182" s="81" t="str">
        <f>IFERROR(__xludf.DUMMYFUNCTION("""COMPUTED_VALUE"""),"Brasfort49")</f>
        <v>Brasfort49</v>
      </c>
      <c r="D182" s="75">
        <f>IFERROR(__xludf.DUMMYFUNCTION("""COMPUTED_VALUE"""),0.0)</f>
        <v>0</v>
      </c>
      <c r="E182" s="97"/>
      <c r="F182" s="95"/>
      <c r="G182" s="96"/>
      <c r="H182" s="64"/>
      <c r="I182" s="64"/>
      <c r="J182" s="64"/>
      <c r="K182" s="64"/>
      <c r="L182" s="64"/>
    </row>
    <row r="183" ht="16.5" customHeight="1">
      <c r="A183" s="64"/>
      <c r="B183" s="80" t="s">
        <v>18249</v>
      </c>
      <c r="C183" s="81" t="str">
        <f>IFERROR(__xludf.DUMMYFUNCTION("""COMPUTED_VALUE"""),"BrassGun2")</f>
        <v>BrassGun2</v>
      </c>
      <c r="D183" s="75">
        <f>IFERROR(__xludf.DUMMYFUNCTION("""COMPUTED_VALUE"""),0.0)</f>
        <v>0</v>
      </c>
      <c r="E183" s="97"/>
      <c r="F183" s="95"/>
      <c r="G183" s="96"/>
      <c r="H183" s="64"/>
      <c r="I183" s="64"/>
      <c r="J183" s="64"/>
      <c r="K183" s="64"/>
      <c r="L183" s="64"/>
    </row>
    <row r="184" ht="16.5" customHeight="1">
      <c r="A184" s="64"/>
      <c r="B184" s="80" t="s">
        <v>18249</v>
      </c>
      <c r="C184" s="81" t="str">
        <f>IFERROR(__xludf.DUMMYFUNCTION("""COMPUTED_VALUE"""),"Brendan76922313")</f>
        <v>Brendan76922313</v>
      </c>
      <c r="D184" s="75">
        <f>IFERROR(__xludf.DUMMYFUNCTION("""COMPUTED_VALUE"""),0.0)</f>
        <v>0</v>
      </c>
      <c r="E184" s="97"/>
      <c r="F184" s="95"/>
      <c r="G184" s="96"/>
      <c r="H184" s="64"/>
      <c r="I184" s="64"/>
      <c r="J184" s="64"/>
      <c r="K184" s="64"/>
      <c r="L184" s="64"/>
    </row>
    <row r="185" ht="16.5" customHeight="1">
      <c r="A185" s="64"/>
      <c r="B185" s="80" t="s">
        <v>18249</v>
      </c>
      <c r="C185" s="81" t="str">
        <f>IFERROR(__xludf.DUMMYFUNCTION("""COMPUTED_VALUE"""),"BrettPmbrett")</f>
        <v>BrettPmbrett</v>
      </c>
      <c r="D185" s="75">
        <f>IFERROR(__xludf.DUMMYFUNCTION("""COMPUTED_VALUE"""),0.0)</f>
        <v>0</v>
      </c>
      <c r="E185" s="97"/>
      <c r="F185" s="95"/>
      <c r="G185" s="96"/>
      <c r="H185" s="64"/>
      <c r="I185" s="64"/>
      <c r="J185" s="64"/>
      <c r="K185" s="64"/>
      <c r="L185" s="64"/>
    </row>
    <row r="186" ht="16.5" customHeight="1">
      <c r="A186" s="64"/>
      <c r="B186" s="80" t="s">
        <v>18249</v>
      </c>
      <c r="C186" s="81" t="str">
        <f>IFERROR(__xludf.DUMMYFUNCTION("""COMPUTED_VALUE"""),"BrexitFails")</f>
        <v>BrexitFails</v>
      </c>
      <c r="D186" s="75">
        <f>IFERROR(__xludf.DUMMYFUNCTION("""COMPUTED_VALUE"""),0.0)</f>
        <v>0</v>
      </c>
      <c r="E186" s="97"/>
      <c r="F186" s="95"/>
      <c r="G186" s="96"/>
      <c r="H186" s="64"/>
      <c r="I186" s="64"/>
      <c r="J186" s="64"/>
      <c r="K186" s="64"/>
      <c r="L186" s="64"/>
    </row>
    <row r="187" ht="16.5" customHeight="1">
      <c r="A187" s="64"/>
      <c r="B187" s="80" t="s">
        <v>18249</v>
      </c>
      <c r="C187" s="81" t="str">
        <f>IFERROR(__xludf.DUMMYFUNCTION("""COMPUTED_VALUE"""),"BrexitLalaland")</f>
        <v>BrexitLalaland</v>
      </c>
      <c r="D187" s="75">
        <f>IFERROR(__xludf.DUMMYFUNCTION("""COMPUTED_VALUE"""),0.0)</f>
        <v>0</v>
      </c>
      <c r="E187" s="97"/>
      <c r="F187" s="95"/>
      <c r="G187" s="96"/>
      <c r="H187" s="64"/>
      <c r="I187" s="64"/>
      <c r="J187" s="64"/>
      <c r="K187" s="64"/>
      <c r="L187" s="64"/>
    </row>
    <row r="188" ht="16.5" customHeight="1">
      <c r="A188" s="64"/>
      <c r="B188" s="80" t="s">
        <v>18249</v>
      </c>
      <c r="C188" s="81" t="str">
        <f>IFERROR(__xludf.DUMMYFUNCTION("""COMPUTED_VALUE"""),"BrexitPhobe")</f>
        <v>BrexitPhobe</v>
      </c>
      <c r="D188" s="75">
        <f>IFERROR(__xludf.DUMMYFUNCTION("""COMPUTED_VALUE"""),0.0)</f>
        <v>0</v>
      </c>
      <c r="E188" s="97"/>
      <c r="F188" s="95"/>
      <c r="G188" s="96"/>
      <c r="H188" s="64"/>
      <c r="I188" s="64"/>
      <c r="J188" s="64"/>
      <c r="K188" s="64"/>
      <c r="L188" s="64"/>
    </row>
    <row r="189" ht="16.5" customHeight="1">
      <c r="A189" s="64"/>
      <c r="B189" s="80" t="s">
        <v>18249</v>
      </c>
      <c r="C189" s="81" t="str">
        <f>IFERROR(__xludf.DUMMYFUNCTION("""COMPUTED_VALUE"""),"BrexitPirates")</f>
        <v>BrexitPirates</v>
      </c>
      <c r="D189" s="75">
        <f>IFERROR(__xludf.DUMMYFUNCTION("""COMPUTED_VALUE"""),0.0)</f>
        <v>0</v>
      </c>
      <c r="E189" s="97"/>
      <c r="F189" s="95"/>
      <c r="G189" s="96"/>
      <c r="H189" s="64"/>
      <c r="I189" s="64"/>
      <c r="J189" s="64"/>
      <c r="K189" s="64"/>
      <c r="L189" s="64"/>
    </row>
    <row r="190" ht="16.5" customHeight="1">
      <c r="A190" s="64"/>
      <c r="B190" s="80" t="s">
        <v>18249</v>
      </c>
      <c r="C190" s="81" t="str">
        <f>IFERROR(__xludf.DUMMYFUNCTION("""COMPUTED_VALUE"""),"Brexit_Mistake")</f>
        <v>Brexit_Mistake</v>
      </c>
      <c r="D190" s="75">
        <f>IFERROR(__xludf.DUMMYFUNCTION("""COMPUTED_VALUE"""),0.0)</f>
        <v>0</v>
      </c>
      <c r="E190" s="97"/>
      <c r="F190" s="95"/>
      <c r="G190" s="96"/>
      <c r="H190" s="64"/>
      <c r="I190" s="64"/>
      <c r="J190" s="64"/>
      <c r="K190" s="64"/>
      <c r="L190" s="64"/>
    </row>
    <row r="191" ht="16.5" customHeight="1">
      <c r="A191" s="64"/>
      <c r="B191" s="80" t="s">
        <v>18249</v>
      </c>
      <c r="C191" s="81" t="str">
        <f>IFERROR(__xludf.DUMMYFUNCTION("""COMPUTED_VALUE"""),"BrianB2BDW")</f>
        <v>BrianB2BDW</v>
      </c>
      <c r="D191" s="75">
        <f>IFERROR(__xludf.DUMMYFUNCTION("""COMPUTED_VALUE"""),0.0)</f>
        <v>0</v>
      </c>
      <c r="E191" s="97"/>
      <c r="F191" s="95"/>
      <c r="G191" s="96"/>
      <c r="H191" s="64"/>
      <c r="I191" s="64"/>
      <c r="J191" s="64"/>
      <c r="K191" s="64"/>
      <c r="L191" s="64"/>
    </row>
    <row r="192" ht="16.5" customHeight="1">
      <c r="A192" s="64"/>
      <c r="B192" s="80" t="s">
        <v>18249</v>
      </c>
      <c r="C192" s="81" t="str">
        <f>IFERROR(__xludf.DUMMYFUNCTION("""COMPUTED_VALUE"""),"BrianGoredemaBr")</f>
        <v>BrianGoredemaBr</v>
      </c>
      <c r="D192" s="75">
        <f>IFERROR(__xludf.DUMMYFUNCTION("""COMPUTED_VALUE"""),0.0)</f>
        <v>0</v>
      </c>
      <c r="E192" s="97"/>
      <c r="F192" s="95"/>
      <c r="G192" s="96"/>
      <c r="H192" s="64"/>
      <c r="I192" s="64"/>
      <c r="J192" s="64"/>
      <c r="K192" s="64"/>
      <c r="L192" s="64"/>
    </row>
    <row r="193" ht="16.5" customHeight="1">
      <c r="A193" s="64"/>
      <c r="B193" s="80" t="s">
        <v>18249</v>
      </c>
      <c r="C193" s="81" t="str">
        <f>IFERROR(__xludf.DUMMYFUNCTION("""COMPUTED_VALUE"""),"BrianMailey1")</f>
        <v>BrianMailey1</v>
      </c>
      <c r="D193" s="75">
        <f>IFERROR(__xludf.DUMMYFUNCTION("""COMPUTED_VALUE"""),0.0)</f>
        <v>0</v>
      </c>
      <c r="E193" s="97"/>
      <c r="F193" s="95"/>
      <c r="G193" s="96"/>
      <c r="H193" s="64"/>
      <c r="I193" s="64"/>
      <c r="J193" s="64"/>
      <c r="K193" s="64"/>
      <c r="L193" s="64"/>
    </row>
    <row r="194" ht="16.5" customHeight="1">
      <c r="A194" s="64"/>
      <c r="B194" s="80" t="s">
        <v>18249</v>
      </c>
      <c r="C194" s="81" t="str">
        <f>IFERROR(__xludf.DUMMYFUNCTION("""COMPUTED_VALUE"""),"Briannicus")</f>
        <v>Briannicus</v>
      </c>
      <c r="D194" s="75">
        <f>IFERROR(__xludf.DUMMYFUNCTION("""COMPUTED_VALUE"""),0.0)</f>
        <v>0</v>
      </c>
      <c r="E194" s="97"/>
      <c r="F194" s="95"/>
      <c r="G194" s="96"/>
      <c r="H194" s="64"/>
      <c r="I194" s="64"/>
      <c r="J194" s="64"/>
      <c r="K194" s="64"/>
      <c r="L194" s="64"/>
    </row>
    <row r="195" ht="16.5" customHeight="1">
      <c r="A195" s="64"/>
      <c r="B195" s="80" t="s">
        <v>18249</v>
      </c>
      <c r="C195" s="81" t="str">
        <f>IFERROR(__xludf.DUMMYFUNCTION("""COMPUTED_VALUE"""),"BrightonBoothy")</f>
        <v>BrightonBoothy</v>
      </c>
      <c r="D195" s="75">
        <f>IFERROR(__xludf.DUMMYFUNCTION("""COMPUTED_VALUE"""),0.0)</f>
        <v>0</v>
      </c>
      <c r="E195" s="97"/>
      <c r="F195" s="95"/>
      <c r="G195" s="96"/>
      <c r="H195" s="64"/>
      <c r="I195" s="64"/>
      <c r="J195" s="64"/>
      <c r="K195" s="64"/>
      <c r="L195" s="64"/>
    </row>
    <row r="196" ht="16.5" customHeight="1">
      <c r="A196" s="64"/>
      <c r="B196" s="80" t="s">
        <v>18249</v>
      </c>
      <c r="C196" s="81" t="str">
        <f>IFERROR(__xludf.DUMMYFUNCTION("""COMPUTED_VALUE"""),"BritsAgainst")</f>
        <v>BritsAgainst</v>
      </c>
      <c r="D196" s="75">
        <f>IFERROR(__xludf.DUMMYFUNCTION("""COMPUTED_VALUE"""),0.0)</f>
        <v>0</v>
      </c>
      <c r="E196" s="97"/>
      <c r="F196" s="95"/>
      <c r="G196" s="96"/>
      <c r="H196" s="64"/>
      <c r="I196" s="64"/>
      <c r="J196" s="64"/>
      <c r="K196" s="64"/>
      <c r="L196" s="64"/>
    </row>
    <row r="197" ht="16.5" customHeight="1">
      <c r="A197" s="64"/>
      <c r="B197" s="80" t="s">
        <v>18249</v>
      </c>
      <c r="C197" s="81" t="str">
        <f>IFERROR(__xludf.DUMMYFUNCTION("""COMPUTED_VALUE"""),"Brown666W")</f>
        <v>Brown666W</v>
      </c>
      <c r="D197" s="75">
        <f>IFERROR(__xludf.DUMMYFUNCTION("""COMPUTED_VALUE"""),0.0)</f>
        <v>0</v>
      </c>
      <c r="E197" s="97"/>
      <c r="F197" s="95"/>
      <c r="G197" s="96"/>
      <c r="H197" s="64"/>
      <c r="I197" s="64"/>
      <c r="J197" s="64"/>
      <c r="K197" s="64"/>
      <c r="L197" s="64"/>
    </row>
    <row r="198" ht="16.5" customHeight="1">
      <c r="A198" s="64"/>
      <c r="B198" s="80" t="s">
        <v>18249</v>
      </c>
      <c r="C198" s="81" t="str">
        <f>IFERROR(__xludf.DUMMYFUNCTION("""COMPUTED_VALUE"""),"BruceHenderson2")</f>
        <v>BruceHenderson2</v>
      </c>
      <c r="D198" s="75">
        <f>IFERROR(__xludf.DUMMYFUNCTION("""COMPUTED_VALUE"""),0.0)</f>
        <v>0</v>
      </c>
      <c r="E198" s="97"/>
      <c r="F198" s="95"/>
      <c r="G198" s="96"/>
      <c r="H198" s="64"/>
      <c r="I198" s="64"/>
      <c r="J198" s="64"/>
      <c r="K198" s="64"/>
      <c r="L198" s="64"/>
    </row>
    <row r="199" ht="16.5" customHeight="1">
      <c r="A199" s="64"/>
      <c r="B199" s="80" t="s">
        <v>18249</v>
      </c>
      <c r="C199" s="81" t="str">
        <f>IFERROR(__xludf.DUMMYFUNCTION("""COMPUTED_VALUE"""),"BrummieGran")</f>
        <v>BrummieGran</v>
      </c>
      <c r="D199" s="75">
        <f>IFERROR(__xludf.DUMMYFUNCTION("""COMPUTED_VALUE"""),0.0)</f>
        <v>0</v>
      </c>
      <c r="E199" s="97"/>
      <c r="F199" s="95"/>
      <c r="G199" s="96"/>
      <c r="H199" s="64"/>
      <c r="I199" s="64"/>
      <c r="J199" s="64"/>
      <c r="K199" s="64"/>
      <c r="L199" s="64"/>
    </row>
    <row r="200" ht="16.5" customHeight="1">
      <c r="A200" s="64"/>
      <c r="B200" s="80" t="s">
        <v>18249</v>
      </c>
      <c r="C200" s="81" t="str">
        <f>IFERROR(__xludf.DUMMYFUNCTION("""COMPUTED_VALUE"""),"BrummieMan1")</f>
        <v>BrummieMan1</v>
      </c>
      <c r="D200" s="75">
        <f>IFERROR(__xludf.DUMMYFUNCTION("""COMPUTED_VALUE"""),0.0)</f>
        <v>0</v>
      </c>
      <c r="E200" s="97"/>
      <c r="F200" s="95"/>
      <c r="G200" s="96"/>
      <c r="H200" s="64"/>
      <c r="I200" s="64"/>
      <c r="J200" s="64"/>
      <c r="K200" s="64"/>
      <c r="L200" s="64"/>
    </row>
    <row r="201" ht="16.5" customHeight="1">
      <c r="A201" s="64"/>
      <c r="B201" s="80" t="s">
        <v>18249</v>
      </c>
      <c r="C201" s="81" t="str">
        <f>IFERROR(__xludf.DUMMYFUNCTION("""COMPUTED_VALUE"""),"Bryan_K1")</f>
        <v>Bryan_K1</v>
      </c>
      <c r="D201" s="75">
        <f>IFERROR(__xludf.DUMMYFUNCTION("""COMPUTED_VALUE"""),0.0)</f>
        <v>0</v>
      </c>
      <c r="E201" s="97"/>
      <c r="F201" s="95"/>
      <c r="G201" s="96"/>
      <c r="H201" s="64"/>
      <c r="I201" s="64"/>
      <c r="J201" s="64"/>
      <c r="K201" s="64"/>
      <c r="L201" s="64"/>
    </row>
    <row r="202" ht="16.5" customHeight="1">
      <c r="A202" s="64"/>
      <c r="B202" s="80" t="s">
        <v>18249</v>
      </c>
      <c r="C202" s="81" t="str">
        <f>IFERROR(__xludf.DUMMYFUNCTION("""COMPUTED_VALUE"""),"BrynCleat")</f>
        <v>BrynCleat</v>
      </c>
      <c r="D202" s="75">
        <f>IFERROR(__xludf.DUMMYFUNCTION("""COMPUTED_VALUE"""),0.0)</f>
        <v>0</v>
      </c>
      <c r="E202" s="97"/>
      <c r="F202" s="95"/>
      <c r="G202" s="96"/>
      <c r="H202" s="64"/>
      <c r="I202" s="64"/>
      <c r="J202" s="64"/>
      <c r="K202" s="64"/>
      <c r="L202" s="64"/>
    </row>
    <row r="203" ht="16.5" customHeight="1">
      <c r="A203" s="64"/>
      <c r="B203" s="80" t="s">
        <v>18249</v>
      </c>
      <c r="C203" s="81" t="str">
        <f>IFERROR(__xludf.DUMMYFUNCTION("""COMPUTED_VALUE"""),"BtaD42255016")</f>
        <v>BtaD42255016</v>
      </c>
      <c r="D203" s="75">
        <f>IFERROR(__xludf.DUMMYFUNCTION("""COMPUTED_VALUE"""),0.0)</f>
        <v>0</v>
      </c>
      <c r="E203" s="97"/>
      <c r="F203" s="95"/>
      <c r="G203" s="96"/>
      <c r="H203" s="64"/>
      <c r="I203" s="64"/>
      <c r="J203" s="64"/>
      <c r="K203" s="64"/>
      <c r="L203" s="64"/>
    </row>
    <row r="204" ht="16.5" customHeight="1">
      <c r="A204" s="64"/>
      <c r="B204" s="80" t="s">
        <v>18249</v>
      </c>
      <c r="C204" s="81" t="str">
        <f>IFERROR(__xludf.DUMMYFUNCTION("""COMPUTED_VALUE"""),"BubblegumYeti")</f>
        <v>BubblegumYeti</v>
      </c>
      <c r="D204" s="75">
        <f>IFERROR(__xludf.DUMMYFUNCTION("""COMPUTED_VALUE"""),0.0)</f>
        <v>0</v>
      </c>
      <c r="E204" s="97"/>
      <c r="F204" s="95"/>
      <c r="G204" s="96"/>
      <c r="H204" s="64"/>
      <c r="I204" s="64"/>
      <c r="J204" s="64"/>
      <c r="K204" s="64"/>
      <c r="L204" s="64"/>
    </row>
    <row r="205" ht="16.5" customHeight="1">
      <c r="A205" s="64"/>
      <c r="B205" s="80" t="s">
        <v>18249</v>
      </c>
      <c r="C205" s="81" t="str">
        <f>IFERROR(__xludf.DUMMYFUNCTION("""COMPUTED_VALUE"""),"Bumbleb58352158")</f>
        <v>Bumbleb58352158</v>
      </c>
      <c r="D205" s="75">
        <f>IFERROR(__xludf.DUMMYFUNCTION("""COMPUTED_VALUE"""),0.0)</f>
        <v>0</v>
      </c>
      <c r="E205" s="97"/>
      <c r="F205" s="95"/>
      <c r="G205" s="96"/>
      <c r="H205" s="64"/>
      <c r="I205" s="64"/>
      <c r="J205" s="64"/>
      <c r="K205" s="64"/>
      <c r="L205" s="64"/>
    </row>
    <row r="206" ht="16.5" customHeight="1">
      <c r="A206" s="64"/>
      <c r="B206" s="80" t="s">
        <v>18249</v>
      </c>
      <c r="C206" s="81" t="str">
        <f>IFERROR(__xludf.DUMMYFUNCTION("""COMPUTED_VALUE"""),"Bumbo13355293")</f>
        <v>Bumbo13355293</v>
      </c>
      <c r="D206" s="75">
        <f>IFERROR(__xludf.DUMMYFUNCTION("""COMPUTED_VALUE"""),0.0)</f>
        <v>0</v>
      </c>
      <c r="E206" s="97"/>
      <c r="F206" s="95"/>
      <c r="G206" s="96"/>
      <c r="H206" s="64"/>
      <c r="I206" s="64"/>
      <c r="J206" s="64"/>
      <c r="K206" s="64"/>
      <c r="L206" s="64"/>
    </row>
    <row r="207" ht="16.5" customHeight="1">
      <c r="A207" s="64"/>
      <c r="B207" s="80" t="s">
        <v>18249</v>
      </c>
      <c r="C207" s="81" t="str">
        <f>IFERROR(__xludf.DUMMYFUNCTION("""COMPUTED_VALUE"""),"BunsenAbroad")</f>
        <v>BunsenAbroad</v>
      </c>
      <c r="D207" s="75">
        <f>IFERROR(__xludf.DUMMYFUNCTION("""COMPUTED_VALUE"""),0.0)</f>
        <v>0</v>
      </c>
      <c r="E207" s="97"/>
      <c r="F207" s="95"/>
      <c r="G207" s="96"/>
      <c r="H207" s="64"/>
      <c r="I207" s="64"/>
      <c r="J207" s="64"/>
      <c r="K207" s="64"/>
      <c r="L207" s="64"/>
    </row>
    <row r="208" ht="16.5" customHeight="1">
      <c r="A208" s="64"/>
      <c r="B208" s="80" t="s">
        <v>18249</v>
      </c>
      <c r="C208" s="81" t="str">
        <f>IFERROR(__xludf.DUMMYFUNCTION("""COMPUTED_VALUE"""),"Burahntank")</f>
        <v>Burahntank</v>
      </c>
      <c r="D208" s="75">
        <f>IFERROR(__xludf.DUMMYFUNCTION("""COMPUTED_VALUE"""),0.0)</f>
        <v>0</v>
      </c>
      <c r="E208" s="97"/>
      <c r="F208" s="95"/>
      <c r="G208" s="96"/>
      <c r="H208" s="64"/>
      <c r="I208" s="64"/>
      <c r="J208" s="64"/>
      <c r="K208" s="64"/>
      <c r="L208" s="64"/>
    </row>
    <row r="209" ht="16.5" customHeight="1">
      <c r="A209" s="64"/>
      <c r="B209" s="80" t="s">
        <v>18249</v>
      </c>
      <c r="C209" s="81" t="str">
        <f>IFERROR(__xludf.DUMMYFUNCTION("""COMPUTED_VALUE"""),"BusEconYMO_HGS")</f>
        <v>BusEconYMO_HGS</v>
      </c>
      <c r="D209" s="75">
        <f>IFERROR(__xludf.DUMMYFUNCTION("""COMPUTED_VALUE"""),0.0)</f>
        <v>0</v>
      </c>
      <c r="E209" s="97"/>
      <c r="F209" s="95"/>
      <c r="G209" s="96"/>
      <c r="H209" s="64"/>
      <c r="I209" s="64"/>
      <c r="J209" s="64"/>
      <c r="K209" s="64"/>
      <c r="L209" s="64"/>
    </row>
    <row r="210" ht="16.5" customHeight="1">
      <c r="A210" s="64"/>
      <c r="B210" s="80" t="s">
        <v>18249</v>
      </c>
      <c r="C210" s="81" t="str">
        <f>IFERROR(__xludf.DUMMYFUNCTION("""COMPUTED_VALUE"""),"BuxtonSue")</f>
        <v>BuxtonSue</v>
      </c>
      <c r="D210" s="75">
        <f>IFERROR(__xludf.DUMMYFUNCTION("""COMPUTED_VALUE"""),0.0)</f>
        <v>0</v>
      </c>
      <c r="E210" s="97"/>
      <c r="F210" s="95"/>
      <c r="G210" s="96"/>
      <c r="H210" s="64"/>
      <c r="I210" s="64"/>
      <c r="J210" s="64"/>
      <c r="K210" s="64"/>
      <c r="L210" s="64"/>
    </row>
    <row r="211" ht="16.5" customHeight="1">
      <c r="A211" s="64"/>
      <c r="B211" s="80" t="s">
        <v>18249</v>
      </c>
      <c r="C211" s="81" t="str">
        <f>IFERROR(__xludf.DUMMYFUNCTION("""COMPUTED_VALUE"""),"BylineTimes")</f>
        <v>BylineTimes</v>
      </c>
      <c r="D211" s="75">
        <f>IFERROR(__xludf.DUMMYFUNCTION("""COMPUTED_VALUE"""),0.0)</f>
        <v>0</v>
      </c>
      <c r="E211" s="97"/>
      <c r="F211" s="95"/>
      <c r="G211" s="96"/>
      <c r="H211" s="64"/>
      <c r="I211" s="64"/>
      <c r="J211" s="64"/>
      <c r="K211" s="64"/>
      <c r="L211" s="64"/>
    </row>
    <row r="212" ht="16.5" customHeight="1">
      <c r="A212" s="64"/>
      <c r="B212" s="80" t="s">
        <v>18249</v>
      </c>
      <c r="C212" s="81" t="str">
        <f>IFERROR(__xludf.DUMMYFUNCTION("""COMPUTED_VALUE"""),"CARogersNo1")</f>
        <v>CARogersNo1</v>
      </c>
      <c r="D212" s="75">
        <f>IFERROR(__xludf.DUMMYFUNCTION("""COMPUTED_VALUE"""),0.0)</f>
        <v>0</v>
      </c>
      <c r="E212" s="97"/>
      <c r="F212" s="95"/>
      <c r="G212" s="96"/>
      <c r="H212" s="64"/>
      <c r="I212" s="64"/>
      <c r="J212" s="64"/>
      <c r="K212" s="64"/>
      <c r="L212" s="64"/>
    </row>
    <row r="213" ht="16.5" customHeight="1">
      <c r="A213" s="64"/>
      <c r="B213" s="80" t="s">
        <v>18249</v>
      </c>
      <c r="C213" s="81" t="str">
        <f>IFERROR(__xludf.DUMMYFUNCTION("""COMPUTED_VALUE"""),"CDWalls14")</f>
        <v>CDWalls14</v>
      </c>
      <c r="D213" s="75">
        <f>IFERROR(__xludf.DUMMYFUNCTION("""COMPUTED_VALUE"""),0.0)</f>
        <v>0</v>
      </c>
      <c r="E213" s="97"/>
      <c r="F213" s="95"/>
      <c r="G213" s="96"/>
      <c r="H213" s="64"/>
      <c r="I213" s="64"/>
      <c r="J213" s="64"/>
      <c r="K213" s="64"/>
      <c r="L213" s="64"/>
    </row>
    <row r="214" ht="16.5" customHeight="1">
      <c r="A214" s="64"/>
      <c r="B214" s="80" t="s">
        <v>18249</v>
      </c>
      <c r="C214" s="81" t="str">
        <f>IFERROR(__xludf.DUMMYFUNCTION("""COMPUTED_VALUE"""),"CJordanjb")</f>
        <v>CJordanjb</v>
      </c>
      <c r="D214" s="75">
        <f>IFERROR(__xludf.DUMMYFUNCTION("""COMPUTED_VALUE"""),0.0)</f>
        <v>0</v>
      </c>
      <c r="E214" s="97"/>
      <c r="F214" s="95"/>
      <c r="G214" s="96"/>
      <c r="H214" s="64"/>
      <c r="I214" s="64"/>
      <c r="J214" s="64"/>
      <c r="K214" s="64"/>
      <c r="L214" s="64"/>
    </row>
    <row r="215" ht="16.5" customHeight="1">
      <c r="A215" s="64"/>
      <c r="B215" s="80" t="s">
        <v>18249</v>
      </c>
      <c r="C215" s="81" t="str">
        <f>IFERROR(__xludf.DUMMYFUNCTION("""COMPUTED_VALUE"""),"CLLo_12")</f>
        <v>CLLo_12</v>
      </c>
      <c r="D215" s="75">
        <f>IFERROR(__xludf.DUMMYFUNCTION("""COMPUTED_VALUE"""),0.0)</f>
        <v>0</v>
      </c>
      <c r="E215" s="97"/>
      <c r="F215" s="95"/>
      <c r="G215" s="96"/>
      <c r="H215" s="64"/>
      <c r="I215" s="64"/>
      <c r="J215" s="64"/>
      <c r="K215" s="64"/>
      <c r="L215" s="64"/>
    </row>
    <row r="216" ht="16.5" customHeight="1">
      <c r="A216" s="64"/>
      <c r="B216" s="80" t="s">
        <v>18249</v>
      </c>
      <c r="C216" s="81" t="str">
        <f>IFERROR(__xludf.DUMMYFUNCTION("""COMPUTED_VALUE"""),"CPFlo")</f>
        <v>CPFlo</v>
      </c>
      <c r="D216" s="75">
        <f>IFERROR(__xludf.DUMMYFUNCTION("""COMPUTED_VALUE"""),0.0)</f>
        <v>0</v>
      </c>
      <c r="E216" s="97"/>
      <c r="F216" s="95"/>
      <c r="G216" s="96"/>
      <c r="H216" s="64"/>
      <c r="I216" s="64"/>
      <c r="J216" s="64"/>
      <c r="K216" s="64"/>
      <c r="L216" s="64"/>
    </row>
    <row r="217" ht="16.5" customHeight="1">
      <c r="A217" s="64"/>
      <c r="B217" s="80" t="s">
        <v>18249</v>
      </c>
      <c r="C217" s="81" t="str">
        <f>IFERROR(__xludf.DUMMYFUNCTION("""COMPUTED_VALUE"""),"CPatrickPlay")</f>
        <v>CPatrickPlay</v>
      </c>
      <c r="D217" s="75">
        <f>IFERROR(__xludf.DUMMYFUNCTION("""COMPUTED_VALUE"""),0.0)</f>
        <v>0</v>
      </c>
      <c r="E217" s="97"/>
      <c r="F217" s="95"/>
      <c r="G217" s="96"/>
      <c r="H217" s="64"/>
      <c r="I217" s="64"/>
      <c r="J217" s="64"/>
      <c r="K217" s="64"/>
      <c r="L217" s="64"/>
    </row>
    <row r="218" ht="16.5" customHeight="1">
      <c r="A218" s="64"/>
      <c r="B218" s="80" t="s">
        <v>18249</v>
      </c>
      <c r="C218" s="81" t="str">
        <f>IFERROR(__xludf.DUMMYFUNCTION("""COMPUTED_VALUE"""),"CYRDYN")</f>
        <v>CYRDYN</v>
      </c>
      <c r="D218" s="75">
        <f>IFERROR(__xludf.DUMMYFUNCTION("""COMPUTED_VALUE"""),0.0)</f>
        <v>0</v>
      </c>
      <c r="E218" s="97"/>
      <c r="F218" s="95"/>
      <c r="G218" s="96"/>
      <c r="H218" s="64"/>
      <c r="I218" s="64"/>
      <c r="J218" s="64"/>
      <c r="K218" s="64"/>
      <c r="L218" s="64"/>
    </row>
    <row r="219" ht="16.5" customHeight="1">
      <c r="A219" s="64"/>
      <c r="B219" s="80" t="s">
        <v>18249</v>
      </c>
      <c r="C219" s="81" t="str">
        <f>IFERROR(__xludf.DUMMYFUNCTION("""COMPUTED_VALUE"""),"CZEdwards")</f>
        <v>CZEdwards</v>
      </c>
      <c r="D219" s="75">
        <f>IFERROR(__xludf.DUMMYFUNCTION("""COMPUTED_VALUE"""),0.0)</f>
        <v>0</v>
      </c>
      <c r="E219" s="97"/>
      <c r="F219" s="95"/>
      <c r="G219" s="96"/>
      <c r="H219" s="64"/>
      <c r="I219" s="64"/>
      <c r="J219" s="64"/>
      <c r="K219" s="64"/>
      <c r="L219" s="64"/>
    </row>
    <row r="220" ht="16.5" customHeight="1">
      <c r="A220" s="64"/>
      <c r="B220" s="80" t="s">
        <v>18249</v>
      </c>
      <c r="C220" s="81" t="str">
        <f>IFERROR(__xludf.DUMMYFUNCTION("""COMPUTED_VALUE"""),"CabritaClarisse")</f>
        <v>CabritaClarisse</v>
      </c>
      <c r="D220" s="75">
        <f>IFERROR(__xludf.DUMMYFUNCTION("""COMPUTED_VALUE"""),0.0)</f>
        <v>0</v>
      </c>
      <c r="E220" s="97"/>
      <c r="F220" s="95"/>
      <c r="G220" s="96"/>
      <c r="H220" s="64"/>
      <c r="I220" s="64"/>
      <c r="J220" s="64"/>
      <c r="K220" s="64"/>
      <c r="L220" s="64"/>
    </row>
    <row r="221" ht="16.5" customHeight="1">
      <c r="A221" s="64"/>
      <c r="B221" s="80" t="s">
        <v>18249</v>
      </c>
      <c r="C221" s="81" t="str">
        <f>IFERROR(__xludf.DUMMYFUNCTION("""COMPUTED_VALUE"""),"CafeDeliFelice")</f>
        <v>CafeDeliFelice</v>
      </c>
      <c r="D221" s="75">
        <f>IFERROR(__xludf.DUMMYFUNCTION("""COMPUTED_VALUE"""),0.0)</f>
        <v>0</v>
      </c>
      <c r="E221" s="97"/>
      <c r="F221" s="95"/>
      <c r="G221" s="96"/>
      <c r="H221" s="64"/>
      <c r="I221" s="64"/>
      <c r="J221" s="64"/>
      <c r="K221" s="64"/>
      <c r="L221" s="64"/>
    </row>
    <row r="222" ht="16.5" customHeight="1">
      <c r="A222" s="64"/>
      <c r="B222" s="80" t="s">
        <v>18249</v>
      </c>
      <c r="C222" s="81" t="str">
        <f>IFERROR(__xludf.DUMMYFUNCTION("""COMPUTED_VALUE"""),"CallidusDominus")</f>
        <v>CallidusDominus</v>
      </c>
      <c r="D222" s="75">
        <f>IFERROR(__xludf.DUMMYFUNCTION("""COMPUTED_VALUE"""),0.0)</f>
        <v>0</v>
      </c>
      <c r="E222" s="97"/>
      <c r="F222" s="95"/>
      <c r="G222" s="96"/>
      <c r="H222" s="64"/>
      <c r="I222" s="64"/>
      <c r="J222" s="64"/>
      <c r="K222" s="64"/>
      <c r="L222" s="64"/>
    </row>
    <row r="223" ht="16.5" customHeight="1">
      <c r="A223" s="64"/>
      <c r="B223" s="80" t="s">
        <v>18249</v>
      </c>
      <c r="C223" s="81" t="str">
        <f>IFERROR(__xludf.DUMMYFUNCTION("""COMPUTED_VALUE"""),"CamilleHurn")</f>
        <v>CamilleHurn</v>
      </c>
      <c r="D223" s="75">
        <f>IFERROR(__xludf.DUMMYFUNCTION("""COMPUTED_VALUE"""),0.0)</f>
        <v>0</v>
      </c>
      <c r="E223" s="97"/>
      <c r="F223" s="95"/>
      <c r="G223" s="96"/>
      <c r="H223" s="64"/>
      <c r="I223" s="64"/>
      <c r="J223" s="64"/>
      <c r="K223" s="64"/>
      <c r="L223" s="64"/>
    </row>
    <row r="224" ht="16.5" customHeight="1">
      <c r="A224" s="64"/>
      <c r="B224" s="80" t="s">
        <v>18249</v>
      </c>
      <c r="C224" s="81" t="str">
        <f>IFERROR(__xludf.DUMMYFUNCTION("""COMPUTED_VALUE"""),"CampbellDonny")</f>
        <v>CampbellDonny</v>
      </c>
      <c r="D224" s="75">
        <f>IFERROR(__xludf.DUMMYFUNCTION("""COMPUTED_VALUE"""),0.0)</f>
        <v>0</v>
      </c>
      <c r="E224" s="97"/>
      <c r="F224" s="95"/>
      <c r="G224" s="96"/>
      <c r="H224" s="64"/>
      <c r="I224" s="64"/>
      <c r="J224" s="64"/>
      <c r="K224" s="64"/>
      <c r="L224" s="64"/>
    </row>
    <row r="225" ht="16.5" customHeight="1">
      <c r="A225" s="64"/>
      <c r="B225" s="80" t="s">
        <v>18249</v>
      </c>
      <c r="C225" s="81" t="str">
        <f>IFERROR(__xludf.DUMMYFUNCTION("""COMPUTED_VALUE"""),"CandidaCanBeFun")</f>
        <v>CandidaCanBeFun</v>
      </c>
      <c r="D225" s="75">
        <f>IFERROR(__xludf.DUMMYFUNCTION("""COMPUTED_VALUE"""),0.0)</f>
        <v>0</v>
      </c>
      <c r="E225" s="97"/>
      <c r="F225" s="95"/>
      <c r="G225" s="96"/>
      <c r="H225" s="64"/>
      <c r="I225" s="64"/>
      <c r="J225" s="64"/>
      <c r="K225" s="64"/>
      <c r="L225" s="64"/>
    </row>
    <row r="226" ht="16.5" customHeight="1">
      <c r="A226" s="64"/>
      <c r="B226" s="80" t="s">
        <v>18249</v>
      </c>
      <c r="C226" s="81" t="str">
        <f>IFERROR(__xludf.DUMMYFUNCTION("""COMPUTED_VALUE"""),"Canofworms11")</f>
        <v>Canofworms11</v>
      </c>
      <c r="D226" s="75">
        <f>IFERROR(__xludf.DUMMYFUNCTION("""COMPUTED_VALUE"""),0.0)</f>
        <v>0</v>
      </c>
      <c r="E226" s="97"/>
      <c r="F226" s="95"/>
      <c r="G226" s="96"/>
      <c r="H226" s="64"/>
      <c r="I226" s="64"/>
      <c r="J226" s="64"/>
      <c r="K226" s="64"/>
      <c r="L226" s="64"/>
    </row>
    <row r="227" ht="16.5" customHeight="1">
      <c r="A227" s="64"/>
      <c r="B227" s="80" t="s">
        <v>18249</v>
      </c>
      <c r="C227" s="81" t="str">
        <f>IFERROR(__xludf.DUMMYFUNCTION("""COMPUTED_VALUE"""),"Capt_Kremin")</f>
        <v>Capt_Kremin</v>
      </c>
      <c r="D227" s="75">
        <f>IFERROR(__xludf.DUMMYFUNCTION("""COMPUTED_VALUE"""),0.0)</f>
        <v>0</v>
      </c>
      <c r="E227" s="97"/>
      <c r="F227" s="95"/>
      <c r="G227" s="96"/>
      <c r="H227" s="64"/>
      <c r="I227" s="64"/>
      <c r="J227" s="64"/>
      <c r="K227" s="64"/>
      <c r="L227" s="64"/>
    </row>
    <row r="228" ht="16.5" customHeight="1">
      <c r="A228" s="64"/>
      <c r="B228" s="80" t="s">
        <v>18249</v>
      </c>
      <c r="C228" s="81" t="str">
        <f>IFERROR(__xludf.DUMMYFUNCTION("""COMPUTED_VALUE"""),"CareyDP1")</f>
        <v>CareyDP1</v>
      </c>
      <c r="D228" s="75">
        <f>IFERROR(__xludf.DUMMYFUNCTION("""COMPUTED_VALUE"""),0.0)</f>
        <v>0</v>
      </c>
      <c r="E228" s="97"/>
      <c r="F228" s="95"/>
      <c r="G228" s="96"/>
      <c r="H228" s="64"/>
      <c r="I228" s="64"/>
      <c r="J228" s="64"/>
      <c r="K228" s="64"/>
      <c r="L228" s="64"/>
    </row>
    <row r="229" ht="16.5" customHeight="1">
      <c r="A229" s="64"/>
      <c r="B229" s="80" t="s">
        <v>18249</v>
      </c>
      <c r="C229" s="81" t="str">
        <f>IFERROR(__xludf.DUMMYFUNCTION("""COMPUTED_VALUE"""),"CarlMurx")</f>
        <v>CarlMurx</v>
      </c>
      <c r="D229" s="75">
        <f>IFERROR(__xludf.DUMMYFUNCTION("""COMPUTED_VALUE"""),0.0)</f>
        <v>0</v>
      </c>
      <c r="E229" s="97"/>
      <c r="F229" s="95"/>
      <c r="G229" s="96"/>
      <c r="H229" s="64"/>
      <c r="I229" s="64"/>
      <c r="J229" s="64"/>
      <c r="K229" s="64"/>
      <c r="L229" s="64"/>
    </row>
    <row r="230" ht="16.5" customHeight="1">
      <c r="A230" s="64"/>
      <c r="B230" s="80" t="s">
        <v>18249</v>
      </c>
      <c r="C230" s="81" t="str">
        <f>IFERROR(__xludf.DUMMYFUNCTION("""COMPUTED_VALUE"""),"Carlsonsports")</f>
        <v>Carlsonsports</v>
      </c>
      <c r="D230" s="75">
        <f>IFERROR(__xludf.DUMMYFUNCTION("""COMPUTED_VALUE"""),0.0)</f>
        <v>0</v>
      </c>
      <c r="E230" s="97"/>
      <c r="F230" s="95"/>
      <c r="G230" s="96"/>
      <c r="H230" s="64"/>
      <c r="I230" s="64"/>
      <c r="J230" s="64"/>
      <c r="K230" s="64"/>
      <c r="L230" s="64"/>
    </row>
    <row r="231" ht="16.5" customHeight="1">
      <c r="A231" s="64"/>
      <c r="B231" s="80" t="s">
        <v>18249</v>
      </c>
      <c r="C231" s="81" t="str">
        <f>IFERROR(__xludf.DUMMYFUNCTION("""COMPUTED_VALUE"""),"CarmelMcLough12")</f>
        <v>CarmelMcLough12</v>
      </c>
      <c r="D231" s="75">
        <f>IFERROR(__xludf.DUMMYFUNCTION("""COMPUTED_VALUE"""),0.0)</f>
        <v>0</v>
      </c>
      <c r="E231" s="97"/>
      <c r="F231" s="95"/>
      <c r="G231" s="96"/>
      <c r="H231" s="64"/>
      <c r="I231" s="64"/>
      <c r="J231" s="64"/>
      <c r="K231" s="64"/>
      <c r="L231" s="64"/>
    </row>
    <row r="232" ht="16.5" customHeight="1">
      <c r="A232" s="64"/>
      <c r="B232" s="80" t="s">
        <v>18249</v>
      </c>
      <c r="C232" s="81" t="str">
        <f>IFERROR(__xludf.DUMMYFUNCTION("""COMPUTED_VALUE"""),"CarolEden7")</f>
        <v>CarolEden7</v>
      </c>
      <c r="D232" s="75">
        <f>IFERROR(__xludf.DUMMYFUNCTION("""COMPUTED_VALUE"""),0.0)</f>
        <v>0</v>
      </c>
      <c r="E232" s="97"/>
      <c r="F232" s="95"/>
      <c r="G232" s="96"/>
      <c r="H232" s="64"/>
      <c r="I232" s="64"/>
      <c r="J232" s="64"/>
      <c r="K232" s="64"/>
      <c r="L232" s="64"/>
    </row>
    <row r="233" ht="16.5" customHeight="1">
      <c r="A233" s="64"/>
      <c r="B233" s="80" t="s">
        <v>18249</v>
      </c>
      <c r="C233" s="81" t="str">
        <f>IFERROR(__xludf.DUMMYFUNCTION("""COMPUTED_VALUE"""),"CaroleBee1")</f>
        <v>CaroleBee1</v>
      </c>
      <c r="D233" s="75">
        <f>IFERROR(__xludf.DUMMYFUNCTION("""COMPUTED_VALUE"""),0.0)</f>
        <v>0</v>
      </c>
      <c r="E233" s="97"/>
      <c r="F233" s="95"/>
      <c r="G233" s="96"/>
      <c r="H233" s="64"/>
      <c r="I233" s="64"/>
      <c r="J233" s="64"/>
      <c r="K233" s="64"/>
      <c r="L233" s="64"/>
    </row>
    <row r="234" ht="16.5" customHeight="1">
      <c r="A234" s="64"/>
      <c r="B234" s="80" t="s">
        <v>18249</v>
      </c>
      <c r="C234" s="81" t="str">
        <f>IFERROR(__xludf.DUMMYFUNCTION("""COMPUTED_VALUE"""),"CarolineAgent")</f>
        <v>CarolineAgent</v>
      </c>
      <c r="D234" s="75">
        <f>IFERROR(__xludf.DUMMYFUNCTION("""COMPUTED_VALUE"""),0.0)</f>
        <v>0</v>
      </c>
      <c r="E234" s="97"/>
      <c r="F234" s="95"/>
      <c r="G234" s="96"/>
      <c r="H234" s="64"/>
      <c r="I234" s="64"/>
      <c r="J234" s="64"/>
      <c r="K234" s="64"/>
      <c r="L234" s="64"/>
    </row>
    <row r="235" ht="16.5" customHeight="1">
      <c r="A235" s="64"/>
      <c r="B235" s="80" t="s">
        <v>18249</v>
      </c>
      <c r="C235" s="81" t="str">
        <f>IFERROR(__xludf.DUMMYFUNCTION("""COMPUTED_VALUE"""),"CarolineHutt")</f>
        <v>CarolineHutt</v>
      </c>
      <c r="D235" s="75">
        <f>IFERROR(__xludf.DUMMYFUNCTION("""COMPUTED_VALUE"""),0.0)</f>
        <v>0</v>
      </c>
      <c r="E235" s="97"/>
      <c r="F235" s="95"/>
      <c r="G235" s="96"/>
      <c r="H235" s="64"/>
      <c r="I235" s="64"/>
      <c r="J235" s="64"/>
      <c r="K235" s="64"/>
      <c r="L235" s="64"/>
    </row>
    <row r="236" ht="16.5" customHeight="1">
      <c r="A236" s="64"/>
      <c r="B236" s="80" t="s">
        <v>18249</v>
      </c>
      <c r="C236" s="81" t="str">
        <f>IFERROR(__xludf.DUMMYFUNCTION("""COMPUTED_VALUE"""),"CarpyGwilliam")</f>
        <v>CarpyGwilliam</v>
      </c>
      <c r="D236" s="75">
        <f>IFERROR(__xludf.DUMMYFUNCTION("""COMPUTED_VALUE"""),0.0)</f>
        <v>0</v>
      </c>
      <c r="E236" s="97"/>
      <c r="F236" s="95"/>
      <c r="G236" s="96"/>
      <c r="H236" s="64"/>
      <c r="I236" s="64"/>
      <c r="J236" s="64"/>
      <c r="K236" s="64"/>
      <c r="L236" s="64"/>
    </row>
    <row r="237" ht="16.5" customHeight="1">
      <c r="A237" s="64"/>
      <c r="B237" s="80" t="s">
        <v>18249</v>
      </c>
      <c r="C237" s="81" t="str">
        <f>IFERROR(__xludf.DUMMYFUNCTION("""COMPUTED_VALUE"""),"Cat_Empurrer")</f>
        <v>Cat_Empurrer</v>
      </c>
      <c r="D237" s="75">
        <f>IFERROR(__xludf.DUMMYFUNCTION("""COMPUTED_VALUE"""),0.0)</f>
        <v>0</v>
      </c>
      <c r="E237" s="97"/>
      <c r="F237" s="95"/>
      <c r="G237" s="96"/>
      <c r="H237" s="64"/>
      <c r="I237" s="64"/>
      <c r="J237" s="64"/>
      <c r="K237" s="64"/>
      <c r="L237" s="64"/>
    </row>
    <row r="238" ht="16.5" customHeight="1">
      <c r="A238" s="64"/>
      <c r="B238" s="80" t="s">
        <v>18249</v>
      </c>
      <c r="C238" s="81" t="str">
        <f>IFERROR(__xludf.DUMMYFUNCTION("""COMPUTED_VALUE"""),"CatherineHedle2")</f>
        <v>CatherineHedle2</v>
      </c>
      <c r="D238" s="75">
        <f>IFERROR(__xludf.DUMMYFUNCTION("""COMPUTED_VALUE"""),0.0)</f>
        <v>0</v>
      </c>
      <c r="E238" s="97"/>
      <c r="F238" s="95"/>
      <c r="G238" s="96"/>
      <c r="H238" s="64"/>
      <c r="I238" s="64"/>
      <c r="J238" s="64"/>
      <c r="K238" s="64"/>
      <c r="L238" s="64"/>
    </row>
    <row r="239" ht="16.5" customHeight="1">
      <c r="A239" s="64"/>
      <c r="B239" s="80" t="s">
        <v>18249</v>
      </c>
      <c r="C239" s="81" t="str">
        <f>IFERROR(__xludf.DUMMYFUNCTION("""COMPUTED_VALUE"""),"Cathy30099750")</f>
        <v>Cathy30099750</v>
      </c>
      <c r="D239" s="75">
        <f>IFERROR(__xludf.DUMMYFUNCTION("""COMPUTED_VALUE"""),0.0)</f>
        <v>0</v>
      </c>
      <c r="E239" s="97"/>
      <c r="F239" s="95"/>
      <c r="G239" s="96"/>
      <c r="H239" s="64"/>
      <c r="I239" s="64"/>
      <c r="J239" s="64"/>
      <c r="K239" s="64"/>
      <c r="L239" s="64"/>
    </row>
    <row r="240" ht="16.5" customHeight="1">
      <c r="A240" s="64"/>
      <c r="B240" s="80" t="s">
        <v>18249</v>
      </c>
      <c r="C240" s="81" t="str">
        <f>IFERROR(__xludf.DUMMYFUNCTION("""COMPUTED_VALUE"""),"CathyFitz27")</f>
        <v>CathyFitz27</v>
      </c>
      <c r="D240" s="75">
        <f>IFERROR(__xludf.DUMMYFUNCTION("""COMPUTED_VALUE"""),0.0)</f>
        <v>0</v>
      </c>
      <c r="E240" s="97"/>
      <c r="F240" s="95"/>
      <c r="G240" s="96"/>
      <c r="H240" s="64"/>
      <c r="I240" s="64"/>
      <c r="J240" s="64"/>
      <c r="K240" s="64"/>
      <c r="L240" s="64"/>
    </row>
    <row r="241" ht="16.5" customHeight="1">
      <c r="A241" s="64"/>
      <c r="B241" s="80" t="s">
        <v>18249</v>
      </c>
      <c r="C241" s="81" t="str">
        <f>IFERROR(__xludf.DUMMYFUNCTION("""COMPUTED_VALUE"""),"CathyPowell1")</f>
        <v>CathyPowell1</v>
      </c>
      <c r="D241" s="75">
        <f>IFERROR(__xludf.DUMMYFUNCTION("""COMPUTED_VALUE"""),0.0)</f>
        <v>0</v>
      </c>
      <c r="E241" s="97"/>
      <c r="F241" s="95"/>
      <c r="G241" s="96"/>
      <c r="H241" s="64"/>
      <c r="I241" s="64"/>
      <c r="J241" s="64"/>
      <c r="K241" s="64"/>
      <c r="L241" s="64"/>
    </row>
    <row r="242" ht="16.5" customHeight="1">
      <c r="A242" s="64"/>
      <c r="B242" s="80" t="s">
        <v>18249</v>
      </c>
      <c r="C242" s="81" t="str">
        <f>IFERROR(__xludf.DUMMYFUNCTION("""COMPUTED_VALUE"""),"CathyUnbound")</f>
        <v>CathyUnbound</v>
      </c>
      <c r="D242" s="75">
        <f>IFERROR(__xludf.DUMMYFUNCTION("""COMPUTED_VALUE"""),0.0)</f>
        <v>0</v>
      </c>
      <c r="E242" s="97"/>
      <c r="F242" s="95"/>
      <c r="G242" s="96"/>
      <c r="H242" s="64"/>
      <c r="I242" s="64"/>
      <c r="J242" s="64"/>
      <c r="K242" s="64"/>
      <c r="L242" s="64"/>
    </row>
    <row r="243" ht="16.5" customHeight="1">
      <c r="A243" s="64"/>
      <c r="B243" s="80" t="s">
        <v>18249</v>
      </c>
      <c r="C243" s="81" t="str">
        <f>IFERROR(__xludf.DUMMYFUNCTION("""COMPUTED_VALUE"""),"Catwomanx6")</f>
        <v>Catwomanx6</v>
      </c>
      <c r="D243" s="75">
        <f>IFERROR(__xludf.DUMMYFUNCTION("""COMPUTED_VALUE"""),0.0)</f>
        <v>0</v>
      </c>
      <c r="E243" s="97"/>
      <c r="F243" s="95"/>
      <c r="G243" s="96"/>
      <c r="H243" s="64"/>
      <c r="I243" s="64"/>
      <c r="J243" s="64"/>
      <c r="K243" s="64"/>
      <c r="L243" s="64"/>
    </row>
    <row r="244" ht="16.5" customHeight="1">
      <c r="A244" s="64"/>
      <c r="B244" s="80" t="s">
        <v>18249</v>
      </c>
      <c r="C244" s="81" t="str">
        <f>IFERROR(__xludf.DUMMYFUNCTION("""COMPUTED_VALUE"""),"CazzyRNF")</f>
        <v>CazzyRNF</v>
      </c>
      <c r="D244" s="75">
        <f>IFERROR(__xludf.DUMMYFUNCTION("""COMPUTED_VALUE"""),0.0)</f>
        <v>0</v>
      </c>
      <c r="E244" s="97"/>
      <c r="F244" s="95"/>
      <c r="G244" s="96"/>
      <c r="H244" s="64"/>
      <c r="I244" s="64"/>
      <c r="J244" s="64"/>
      <c r="K244" s="64"/>
      <c r="L244" s="64"/>
    </row>
    <row r="245" ht="16.5" customHeight="1">
      <c r="A245" s="64"/>
      <c r="B245" s="80" t="s">
        <v>18249</v>
      </c>
      <c r="C245" s="81" t="str">
        <f>IFERROR(__xludf.DUMMYFUNCTION("""COMPUTED_VALUE"""),"CeeMacBee")</f>
        <v>CeeMacBee</v>
      </c>
      <c r="D245" s="75">
        <f>IFERROR(__xludf.DUMMYFUNCTION("""COMPUTED_VALUE"""),0.0)</f>
        <v>0</v>
      </c>
      <c r="E245" s="97"/>
      <c r="F245" s="95"/>
      <c r="G245" s="96"/>
      <c r="H245" s="64"/>
      <c r="I245" s="64"/>
      <c r="J245" s="64"/>
      <c r="K245" s="64"/>
      <c r="L245" s="64"/>
    </row>
    <row r="246" ht="16.5" customHeight="1">
      <c r="A246" s="64"/>
      <c r="B246" s="80" t="s">
        <v>18249</v>
      </c>
      <c r="C246" s="81" t="str">
        <f>IFERROR(__xludf.DUMMYFUNCTION("""COMPUTED_VALUE"""),"CeltIndy")</f>
        <v>CeltIndy</v>
      </c>
      <c r="D246" s="75">
        <f>IFERROR(__xludf.DUMMYFUNCTION("""COMPUTED_VALUE"""),0.0)</f>
        <v>0</v>
      </c>
      <c r="E246" s="97"/>
      <c r="F246" s="95"/>
      <c r="G246" s="96"/>
      <c r="H246" s="64"/>
      <c r="I246" s="64"/>
      <c r="J246" s="64"/>
      <c r="K246" s="64"/>
      <c r="L246" s="64"/>
    </row>
    <row r="247" ht="16.5" customHeight="1">
      <c r="A247" s="64"/>
      <c r="B247" s="80" t="s">
        <v>18249</v>
      </c>
      <c r="C247" s="81" t="str">
        <f>IFERROR(__xludf.DUMMYFUNCTION("""COMPUTED_VALUE"""),"CenGinLondon")</f>
        <v>CenGinLondon</v>
      </c>
      <c r="D247" s="75">
        <f>IFERROR(__xludf.DUMMYFUNCTION("""COMPUTED_VALUE"""),0.0)</f>
        <v>0</v>
      </c>
      <c r="E247" s="97"/>
      <c r="F247" s="95"/>
      <c r="G247" s="96"/>
      <c r="H247" s="64"/>
      <c r="I247" s="64"/>
      <c r="J247" s="64"/>
      <c r="K247" s="64"/>
      <c r="L247" s="64"/>
    </row>
    <row r="248" ht="16.5" customHeight="1">
      <c r="A248" s="64"/>
      <c r="B248" s="80" t="s">
        <v>18249</v>
      </c>
      <c r="C248" s="81" t="str">
        <f>IFERROR(__xludf.DUMMYFUNCTION("""COMPUTED_VALUE"""),"CentralPlanner9")</f>
        <v>CentralPlanner9</v>
      </c>
      <c r="D248" s="75">
        <f>IFERROR(__xludf.DUMMYFUNCTION("""COMPUTED_VALUE"""),0.0)</f>
        <v>0</v>
      </c>
      <c r="E248" s="97"/>
      <c r="F248" s="95"/>
      <c r="G248" s="96"/>
      <c r="H248" s="64"/>
      <c r="I248" s="64"/>
      <c r="J248" s="64"/>
      <c r="K248" s="64"/>
      <c r="L248" s="64"/>
    </row>
    <row r="249" ht="16.5" customHeight="1">
      <c r="A249" s="64"/>
      <c r="B249" s="80" t="s">
        <v>18249</v>
      </c>
      <c r="C249" s="81" t="str">
        <f>IFERROR(__xludf.DUMMYFUNCTION("""COMPUTED_VALUE"""),"Chairmanbenr")</f>
        <v>Chairmanbenr</v>
      </c>
      <c r="D249" s="75">
        <f>IFERROR(__xludf.DUMMYFUNCTION("""COMPUTED_VALUE"""),0.0)</f>
        <v>0</v>
      </c>
      <c r="E249" s="97"/>
      <c r="F249" s="95"/>
      <c r="G249" s="96"/>
      <c r="H249" s="64"/>
      <c r="I249" s="64"/>
      <c r="J249" s="64"/>
      <c r="K249" s="64"/>
      <c r="L249" s="64"/>
    </row>
    <row r="250" ht="16.5" customHeight="1">
      <c r="A250" s="64"/>
      <c r="B250" s="80" t="s">
        <v>18249</v>
      </c>
      <c r="C250" s="81" t="str">
        <f>IFERROR(__xludf.DUMMYFUNCTION("""COMPUTED_VALUE"""),"Changeling_1")</f>
        <v>Changeling_1</v>
      </c>
      <c r="D250" s="75">
        <f>IFERROR(__xludf.DUMMYFUNCTION("""COMPUTED_VALUE"""),0.0)</f>
        <v>0</v>
      </c>
      <c r="E250" s="97"/>
      <c r="F250" s="95"/>
      <c r="G250" s="96"/>
      <c r="H250" s="64"/>
      <c r="I250" s="64"/>
      <c r="J250" s="64"/>
      <c r="K250" s="64"/>
      <c r="L250" s="64"/>
    </row>
    <row r="251" ht="16.5" customHeight="1">
      <c r="A251" s="64"/>
      <c r="B251" s="80" t="s">
        <v>18249</v>
      </c>
      <c r="C251" s="81" t="str">
        <f>IFERROR(__xludf.DUMMYFUNCTION("""COMPUTED_VALUE"""),"ChantalCThomas")</f>
        <v>ChantalCThomas</v>
      </c>
      <c r="D251" s="75">
        <f>IFERROR(__xludf.DUMMYFUNCTION("""COMPUTED_VALUE"""),0.0)</f>
        <v>0</v>
      </c>
      <c r="E251" s="97"/>
      <c r="F251" s="95"/>
      <c r="G251" s="96"/>
      <c r="H251" s="64"/>
      <c r="I251" s="64"/>
      <c r="J251" s="64"/>
      <c r="K251" s="64"/>
      <c r="L251" s="64"/>
    </row>
    <row r="252" ht="16.5" customHeight="1">
      <c r="A252" s="64"/>
      <c r="B252" s="80" t="s">
        <v>18249</v>
      </c>
      <c r="C252" s="81" t="str">
        <f>IFERROR(__xludf.DUMMYFUNCTION("""COMPUTED_VALUE"""),"CharenteMec")</f>
        <v>CharenteMec</v>
      </c>
      <c r="D252" s="75">
        <f>IFERROR(__xludf.DUMMYFUNCTION("""COMPUTED_VALUE"""),0.0)</f>
        <v>0</v>
      </c>
      <c r="E252" s="97"/>
      <c r="F252" s="95"/>
      <c r="G252" s="96"/>
      <c r="H252" s="64"/>
      <c r="I252" s="64"/>
      <c r="J252" s="64"/>
      <c r="K252" s="64"/>
      <c r="L252" s="64"/>
    </row>
    <row r="253" ht="16.5" customHeight="1">
      <c r="A253" s="64"/>
      <c r="B253" s="80" t="s">
        <v>18249</v>
      </c>
      <c r="C253" s="81" t="str">
        <f>IFERROR(__xludf.DUMMYFUNCTION("""COMPUTED_VALUE"""),"CharlieRamsay8")</f>
        <v>CharlieRamsay8</v>
      </c>
      <c r="D253" s="75">
        <f>IFERROR(__xludf.DUMMYFUNCTION("""COMPUTED_VALUE"""),0.0)</f>
        <v>0</v>
      </c>
      <c r="E253" s="97"/>
      <c r="F253" s="95"/>
      <c r="G253" s="96"/>
      <c r="H253" s="64"/>
      <c r="I253" s="64"/>
      <c r="J253" s="64"/>
      <c r="K253" s="64"/>
      <c r="L253" s="64"/>
    </row>
    <row r="254" ht="16.5" customHeight="1">
      <c r="A254" s="64"/>
      <c r="B254" s="80" t="s">
        <v>18249</v>
      </c>
      <c r="C254" s="81" t="str">
        <f>IFERROR(__xludf.DUMMYFUNCTION("""COMPUTED_VALUE"""),"Charlie__Simon")</f>
        <v>Charlie__Simon</v>
      </c>
      <c r="D254" s="75">
        <f>IFERROR(__xludf.DUMMYFUNCTION("""COMPUTED_VALUE"""),0.0)</f>
        <v>0</v>
      </c>
      <c r="E254" s="97"/>
      <c r="F254" s="95"/>
      <c r="G254" s="96"/>
      <c r="H254" s="64"/>
      <c r="I254" s="64"/>
      <c r="J254" s="64"/>
      <c r="K254" s="64"/>
      <c r="L254" s="64"/>
    </row>
    <row r="255" ht="16.5" customHeight="1">
      <c r="A255" s="64"/>
      <c r="B255" s="80" t="s">
        <v>18249</v>
      </c>
      <c r="C255" s="81" t="str">
        <f>IFERROR(__xludf.DUMMYFUNCTION("""COMPUTED_VALUE"""),"CharlotteWyman1")</f>
        <v>CharlotteWyman1</v>
      </c>
      <c r="D255" s="75">
        <f>IFERROR(__xludf.DUMMYFUNCTION("""COMPUTED_VALUE"""),0.0)</f>
        <v>0</v>
      </c>
      <c r="E255" s="97"/>
      <c r="F255" s="95"/>
      <c r="G255" s="96"/>
      <c r="H255" s="64"/>
      <c r="I255" s="64"/>
      <c r="J255" s="64"/>
      <c r="K255" s="64"/>
      <c r="L255" s="64"/>
    </row>
    <row r="256" ht="16.5" customHeight="1">
      <c r="A256" s="64"/>
      <c r="B256" s="80" t="s">
        <v>18249</v>
      </c>
      <c r="C256" s="81" t="str">
        <f>IFERROR(__xludf.DUMMYFUNCTION("""COMPUTED_VALUE"""),"Chazz0505")</f>
        <v>Chazz0505</v>
      </c>
      <c r="D256" s="75">
        <f>IFERROR(__xludf.DUMMYFUNCTION("""COMPUTED_VALUE"""),0.0)</f>
        <v>0</v>
      </c>
      <c r="E256" s="97"/>
      <c r="F256" s="95"/>
      <c r="G256" s="96"/>
      <c r="H256" s="64"/>
      <c r="I256" s="64"/>
      <c r="J256" s="64"/>
      <c r="K256" s="64"/>
      <c r="L256" s="64"/>
    </row>
    <row r="257" ht="16.5" customHeight="1">
      <c r="A257" s="64"/>
      <c r="B257" s="80" t="s">
        <v>18249</v>
      </c>
      <c r="C257" s="81" t="str">
        <f>IFERROR(__xludf.DUMMYFUNCTION("""COMPUTED_VALUE"""),"ChezCastillonMW")</f>
        <v>ChezCastillonMW</v>
      </c>
      <c r="D257" s="75">
        <f>IFERROR(__xludf.DUMMYFUNCTION("""COMPUTED_VALUE"""),0.0)</f>
        <v>0</v>
      </c>
      <c r="E257" s="97"/>
      <c r="F257" s="95"/>
      <c r="G257" s="96"/>
      <c r="H257" s="64"/>
      <c r="I257" s="64"/>
      <c r="J257" s="64"/>
      <c r="K257" s="64"/>
      <c r="L257" s="64"/>
    </row>
    <row r="258" ht="16.5" customHeight="1">
      <c r="A258" s="64"/>
      <c r="B258" s="80" t="s">
        <v>18249</v>
      </c>
      <c r="C258" s="81" t="str">
        <f>IFERROR(__xludf.DUMMYFUNCTION("""COMPUTED_VALUE"""),"Chezm79Mace")</f>
        <v>Chezm79Mace</v>
      </c>
      <c r="D258" s="75">
        <f>IFERROR(__xludf.DUMMYFUNCTION("""COMPUTED_VALUE"""),0.0)</f>
        <v>0</v>
      </c>
      <c r="E258" s="97"/>
      <c r="F258" s="95"/>
      <c r="G258" s="96"/>
      <c r="H258" s="64"/>
      <c r="I258" s="64"/>
      <c r="J258" s="64"/>
      <c r="K258" s="64"/>
      <c r="L258" s="64"/>
    </row>
    <row r="259" ht="16.5" customHeight="1">
      <c r="A259" s="64"/>
      <c r="B259" s="80" t="s">
        <v>18249</v>
      </c>
      <c r="C259" s="81" t="str">
        <f>IFERROR(__xludf.DUMMYFUNCTION("""COMPUTED_VALUE"""),"ChippyGirl2")</f>
        <v>ChippyGirl2</v>
      </c>
      <c r="D259" s="75">
        <f>IFERROR(__xludf.DUMMYFUNCTION("""COMPUTED_VALUE"""),0.0)</f>
        <v>0</v>
      </c>
      <c r="E259" s="97"/>
      <c r="F259" s="95"/>
      <c r="G259" s="96"/>
      <c r="H259" s="64"/>
      <c r="I259" s="64"/>
      <c r="J259" s="64"/>
      <c r="K259" s="64"/>
      <c r="L259" s="64"/>
    </row>
    <row r="260" ht="16.5" customHeight="1">
      <c r="A260" s="64"/>
      <c r="B260" s="80" t="s">
        <v>18249</v>
      </c>
      <c r="C260" s="81" t="str">
        <f>IFERROR(__xludf.DUMMYFUNCTION("""COMPUTED_VALUE"""),"ChrisDomba")</f>
        <v>ChrisDomba</v>
      </c>
      <c r="D260" s="75">
        <f>IFERROR(__xludf.DUMMYFUNCTION("""COMPUTED_VALUE"""),0.0)</f>
        <v>0</v>
      </c>
      <c r="E260" s="97"/>
      <c r="F260" s="95"/>
      <c r="G260" s="96"/>
      <c r="H260" s="64"/>
      <c r="I260" s="64"/>
      <c r="J260" s="64"/>
      <c r="K260" s="64"/>
      <c r="L260" s="64"/>
    </row>
    <row r="261" ht="16.5" customHeight="1">
      <c r="A261" s="64"/>
      <c r="B261" s="80" t="s">
        <v>18249</v>
      </c>
      <c r="C261" s="81" t="str">
        <f>IFERROR(__xludf.DUMMYFUNCTION("""COMPUTED_VALUE"""),"ChrisHam0912")</f>
        <v>ChrisHam0912</v>
      </c>
      <c r="D261" s="75">
        <f>IFERROR(__xludf.DUMMYFUNCTION("""COMPUTED_VALUE"""),0.0)</f>
        <v>0</v>
      </c>
      <c r="E261" s="97"/>
      <c r="F261" s="95"/>
      <c r="G261" s="96"/>
      <c r="H261" s="64"/>
      <c r="I261" s="64"/>
      <c r="J261" s="64"/>
      <c r="K261" s="64"/>
      <c r="L261" s="64"/>
    </row>
    <row r="262" ht="16.5" customHeight="1">
      <c r="A262" s="64"/>
      <c r="B262" s="80" t="s">
        <v>18249</v>
      </c>
      <c r="C262" s="81" t="str">
        <f>IFERROR(__xludf.DUMMYFUNCTION("""COMPUTED_VALUE"""),"ChrisJenkins60")</f>
        <v>ChrisJenkins60</v>
      </c>
      <c r="D262" s="75">
        <f>IFERROR(__xludf.DUMMYFUNCTION("""COMPUTED_VALUE"""),0.0)</f>
        <v>0</v>
      </c>
      <c r="E262" s="97"/>
      <c r="F262" s="95"/>
      <c r="G262" s="96"/>
      <c r="H262" s="64"/>
      <c r="I262" s="64"/>
      <c r="J262" s="64"/>
      <c r="K262" s="64"/>
      <c r="L262" s="64"/>
    </row>
    <row r="263" ht="16.5" customHeight="1">
      <c r="A263" s="64"/>
      <c r="B263" s="80" t="s">
        <v>18249</v>
      </c>
      <c r="C263" s="81" t="str">
        <f>IFERROR(__xludf.DUMMYFUNCTION("""COMPUTED_VALUE"""),"ChrisLyddon")</f>
        <v>ChrisLyddon</v>
      </c>
      <c r="D263" s="75">
        <f>IFERROR(__xludf.DUMMYFUNCTION("""COMPUTED_VALUE"""),0.0)</f>
        <v>0</v>
      </c>
      <c r="E263" s="97"/>
      <c r="F263" s="95"/>
      <c r="G263" s="96"/>
      <c r="H263" s="64"/>
      <c r="I263" s="64"/>
      <c r="J263" s="64"/>
      <c r="K263" s="64"/>
      <c r="L263" s="64"/>
    </row>
    <row r="264" ht="16.5" customHeight="1">
      <c r="A264" s="64"/>
      <c r="B264" s="80" t="s">
        <v>18249</v>
      </c>
      <c r="C264" s="81" t="str">
        <f>IFERROR(__xludf.DUMMYFUNCTION("""COMPUTED_VALUE"""),"ChrisRamsden4")</f>
        <v>ChrisRamsden4</v>
      </c>
      <c r="D264" s="75">
        <f>IFERROR(__xludf.DUMMYFUNCTION("""COMPUTED_VALUE"""),0.0)</f>
        <v>0</v>
      </c>
      <c r="E264" s="97"/>
      <c r="F264" s="95"/>
      <c r="G264" s="96"/>
      <c r="H264" s="64"/>
      <c r="I264" s="64"/>
      <c r="J264" s="64"/>
      <c r="K264" s="64"/>
      <c r="L264" s="64"/>
    </row>
    <row r="265" ht="16.5" customHeight="1">
      <c r="A265" s="64"/>
      <c r="B265" s="80" t="s">
        <v>18249</v>
      </c>
      <c r="C265" s="81" t="str">
        <f>IFERROR(__xludf.DUMMYFUNCTION("""COMPUTED_VALUE"""),"Chris_Hix")</f>
        <v>Chris_Hix</v>
      </c>
      <c r="D265" s="75">
        <f>IFERROR(__xludf.DUMMYFUNCTION("""COMPUTED_VALUE"""),0.0)</f>
        <v>0</v>
      </c>
      <c r="E265" s="97"/>
      <c r="F265" s="95"/>
      <c r="G265" s="96"/>
      <c r="H265" s="64"/>
      <c r="I265" s="64"/>
      <c r="J265" s="64"/>
      <c r="K265" s="64"/>
      <c r="L265" s="64"/>
    </row>
    <row r="266" ht="16.5" customHeight="1">
      <c r="A266" s="64"/>
      <c r="B266" s="80" t="s">
        <v>18249</v>
      </c>
      <c r="C266" s="81" t="str">
        <f>IFERROR(__xludf.DUMMYFUNCTION("""COMPUTED_VALUE"""),"Chrislegal1")</f>
        <v>Chrislegal1</v>
      </c>
      <c r="D266" s="75">
        <f>IFERROR(__xludf.DUMMYFUNCTION("""COMPUTED_VALUE"""),0.0)</f>
        <v>0</v>
      </c>
      <c r="E266" s="97"/>
      <c r="F266" s="95"/>
      <c r="G266" s="96"/>
      <c r="H266" s="64"/>
      <c r="I266" s="64"/>
      <c r="J266" s="64"/>
      <c r="K266" s="64"/>
      <c r="L266" s="64"/>
    </row>
    <row r="267" ht="16.5" customHeight="1">
      <c r="A267" s="64"/>
      <c r="B267" s="80" t="s">
        <v>18249</v>
      </c>
      <c r="C267" s="81" t="str">
        <f>IFERROR(__xludf.DUMMYFUNCTION("""COMPUTED_VALUE"""),"ChrissieGrech")</f>
        <v>ChrissieGrech</v>
      </c>
      <c r="D267" s="75">
        <f>IFERROR(__xludf.DUMMYFUNCTION("""COMPUTED_VALUE"""),0.0)</f>
        <v>0</v>
      </c>
      <c r="E267" s="97"/>
      <c r="F267" s="95"/>
      <c r="G267" s="96"/>
      <c r="H267" s="64"/>
      <c r="I267" s="64"/>
      <c r="J267" s="64"/>
      <c r="K267" s="64"/>
      <c r="L267" s="64"/>
    </row>
    <row r="268" ht="16.5" customHeight="1">
      <c r="A268" s="64"/>
      <c r="B268" s="80" t="s">
        <v>18249</v>
      </c>
      <c r="C268" s="81" t="str">
        <f>IFERROR(__xludf.DUMMYFUNCTION("""COMPUTED_VALUE"""),"Christi61144576")</f>
        <v>Christi61144576</v>
      </c>
      <c r="D268" s="75">
        <f>IFERROR(__xludf.DUMMYFUNCTION("""COMPUTED_VALUE"""),0.0)</f>
        <v>0</v>
      </c>
      <c r="E268" s="97"/>
      <c r="F268" s="95"/>
      <c r="G268" s="96"/>
      <c r="H268" s="64"/>
      <c r="I268" s="64"/>
      <c r="J268" s="64"/>
      <c r="K268" s="64"/>
      <c r="L268" s="64"/>
    </row>
    <row r="269" ht="16.5" customHeight="1">
      <c r="A269" s="64"/>
      <c r="B269" s="80" t="s">
        <v>18249</v>
      </c>
      <c r="C269" s="81" t="str">
        <f>IFERROR(__xludf.DUMMYFUNCTION("""COMPUTED_VALUE"""),"ChristinaDonn11")</f>
        <v>ChristinaDonn11</v>
      </c>
      <c r="D269" s="75">
        <f>IFERROR(__xludf.DUMMYFUNCTION("""COMPUTED_VALUE"""),0.0)</f>
        <v>0</v>
      </c>
      <c r="E269" s="97"/>
      <c r="F269" s="95"/>
      <c r="G269" s="96"/>
      <c r="H269" s="64"/>
      <c r="I269" s="64"/>
      <c r="J269" s="64"/>
      <c r="K269" s="64"/>
      <c r="L269" s="64"/>
    </row>
    <row r="270" ht="16.5" customHeight="1">
      <c r="A270" s="64"/>
      <c r="B270" s="80" t="s">
        <v>18249</v>
      </c>
      <c r="C270" s="81" t="str">
        <f>IFERROR(__xludf.DUMMYFUNCTION("""COMPUTED_VALUE"""),"ChristineJameis")</f>
        <v>ChristineJameis</v>
      </c>
      <c r="D270" s="75">
        <f>IFERROR(__xludf.DUMMYFUNCTION("""COMPUTED_VALUE"""),0.0)</f>
        <v>0</v>
      </c>
      <c r="E270" s="97"/>
      <c r="F270" s="95"/>
      <c r="G270" s="96"/>
      <c r="H270" s="64"/>
      <c r="I270" s="64"/>
      <c r="J270" s="64"/>
      <c r="K270" s="64"/>
      <c r="L270" s="64"/>
    </row>
    <row r="271" ht="16.5" customHeight="1">
      <c r="A271" s="64"/>
      <c r="B271" s="80" t="s">
        <v>18249</v>
      </c>
      <c r="C271" s="81" t="str">
        <f>IFERROR(__xludf.DUMMYFUNCTION("""COMPUTED_VALUE"""),"Christo94672962")</f>
        <v>Christo94672962</v>
      </c>
      <c r="D271" s="75">
        <f>IFERROR(__xludf.DUMMYFUNCTION("""COMPUTED_VALUE"""),0.0)</f>
        <v>0</v>
      </c>
      <c r="E271" s="97"/>
      <c r="F271" s="95"/>
      <c r="G271" s="96"/>
      <c r="H271" s="64"/>
      <c r="I271" s="64"/>
      <c r="J271" s="64"/>
      <c r="K271" s="64"/>
      <c r="L271" s="64"/>
    </row>
    <row r="272" ht="16.5" customHeight="1">
      <c r="A272" s="64"/>
      <c r="B272" s="80" t="s">
        <v>18249</v>
      </c>
      <c r="C272" s="81" t="str">
        <f>IFERROR(__xludf.DUMMYFUNCTION("""COMPUTED_VALUE"""),"Chump3z")</f>
        <v>Chump3z</v>
      </c>
      <c r="D272" s="75">
        <f>IFERROR(__xludf.DUMMYFUNCTION("""COMPUTED_VALUE"""),0.0)</f>
        <v>0</v>
      </c>
      <c r="E272" s="97"/>
      <c r="F272" s="95"/>
      <c r="G272" s="96"/>
      <c r="H272" s="64"/>
      <c r="I272" s="64"/>
      <c r="J272" s="64"/>
      <c r="K272" s="64"/>
      <c r="L272" s="64"/>
    </row>
    <row r="273" ht="16.5" customHeight="1">
      <c r="A273" s="64"/>
      <c r="B273" s="80" t="s">
        <v>18249</v>
      </c>
      <c r="C273" s="81" t="str">
        <f>IFERROR(__xludf.DUMMYFUNCTION("""COMPUTED_VALUE"""),"Citizen_1965")</f>
        <v>Citizen_1965</v>
      </c>
      <c r="D273" s="75">
        <f>IFERROR(__xludf.DUMMYFUNCTION("""COMPUTED_VALUE"""),0.0)</f>
        <v>0</v>
      </c>
      <c r="E273" s="97"/>
      <c r="F273" s="95"/>
      <c r="G273" s="96"/>
      <c r="H273" s="64"/>
      <c r="I273" s="64"/>
      <c r="J273" s="64"/>
      <c r="K273" s="64"/>
      <c r="L273" s="64"/>
    </row>
    <row r="274" ht="16.5" customHeight="1">
      <c r="A274" s="64"/>
      <c r="B274" s="80" t="s">
        <v>18249</v>
      </c>
      <c r="C274" s="81" t="str">
        <f>IFERROR(__xludf.DUMMYFUNCTION("""COMPUTED_VALUE"""),"Claire57139829")</f>
        <v>Claire57139829</v>
      </c>
      <c r="D274" s="75">
        <f>IFERROR(__xludf.DUMMYFUNCTION("""COMPUTED_VALUE"""),0.0)</f>
        <v>0</v>
      </c>
      <c r="E274" s="97"/>
      <c r="F274" s="95"/>
      <c r="G274" s="96"/>
      <c r="H274" s="64"/>
      <c r="I274" s="64"/>
      <c r="J274" s="64"/>
      <c r="K274" s="64"/>
      <c r="L274" s="64"/>
    </row>
    <row r="275" ht="16.5" customHeight="1">
      <c r="A275" s="64"/>
      <c r="B275" s="80" t="s">
        <v>18249</v>
      </c>
      <c r="C275" s="81" t="str">
        <f>IFERROR(__xludf.DUMMYFUNCTION("""COMPUTED_VALUE"""),"ClaireHanna")</f>
        <v>ClaireHanna</v>
      </c>
      <c r="D275" s="75">
        <f>IFERROR(__xludf.DUMMYFUNCTION("""COMPUTED_VALUE"""),0.0)</f>
        <v>0</v>
      </c>
      <c r="E275" s="97"/>
      <c r="F275" s="95"/>
      <c r="G275" s="96"/>
      <c r="H275" s="64"/>
      <c r="I275" s="64"/>
      <c r="J275" s="64"/>
      <c r="K275" s="64"/>
      <c r="L275" s="64"/>
    </row>
    <row r="276" ht="16.5" customHeight="1">
      <c r="A276" s="64"/>
      <c r="B276" s="80" t="s">
        <v>18249</v>
      </c>
      <c r="C276" s="81" t="str">
        <f>IFERROR(__xludf.DUMMYFUNCTION("""COMPUTED_VALUE"""),"ClaraHa24405597")</f>
        <v>ClaraHa24405597</v>
      </c>
      <c r="D276" s="75">
        <f>IFERROR(__xludf.DUMMYFUNCTION("""COMPUTED_VALUE"""),0.0)</f>
        <v>0</v>
      </c>
      <c r="E276" s="97"/>
      <c r="F276" s="95"/>
      <c r="G276" s="96"/>
      <c r="H276" s="64"/>
      <c r="I276" s="64"/>
      <c r="J276" s="64"/>
      <c r="K276" s="64"/>
      <c r="L276" s="64"/>
    </row>
    <row r="277" ht="16.5" customHeight="1">
      <c r="A277" s="64"/>
      <c r="B277" s="80" t="s">
        <v>18249</v>
      </c>
      <c r="C277" s="81" t="str">
        <f>IFERROR(__xludf.DUMMYFUNCTION("""COMPUTED_VALUE"""),"ClareAdams")</f>
        <v>ClareAdams</v>
      </c>
      <c r="D277" s="75">
        <f>IFERROR(__xludf.DUMMYFUNCTION("""COMPUTED_VALUE"""),0.0)</f>
        <v>0</v>
      </c>
      <c r="E277" s="97"/>
      <c r="F277" s="95"/>
      <c r="G277" s="96"/>
      <c r="H277" s="64"/>
      <c r="I277" s="64"/>
      <c r="J277" s="64"/>
      <c r="K277" s="64"/>
      <c r="L277" s="64"/>
    </row>
    <row r="278" ht="16.5" customHeight="1">
      <c r="A278" s="64"/>
      <c r="B278" s="80" t="s">
        <v>18249</v>
      </c>
      <c r="C278" s="81" t="str">
        <f>IFERROR(__xludf.DUMMYFUNCTION("""COMPUTED_VALUE"""),"ClareMortimer6")</f>
        <v>ClareMortimer6</v>
      </c>
      <c r="D278" s="75">
        <f>IFERROR(__xludf.DUMMYFUNCTION("""COMPUTED_VALUE"""),0.0)</f>
        <v>0</v>
      </c>
      <c r="E278" s="97"/>
      <c r="F278" s="95"/>
      <c r="G278" s="96"/>
      <c r="H278" s="64"/>
      <c r="I278" s="64"/>
      <c r="J278" s="64"/>
      <c r="K278" s="64"/>
      <c r="L278" s="64"/>
    </row>
    <row r="279" ht="16.5" customHeight="1">
      <c r="A279" s="64"/>
      <c r="B279" s="80" t="s">
        <v>18249</v>
      </c>
      <c r="C279" s="81" t="str">
        <f>IFERROR(__xludf.DUMMYFUNCTION("""COMPUTED_VALUE"""),"Clarioncall18mi")</f>
        <v>Clarioncall18mi</v>
      </c>
      <c r="D279" s="75">
        <f>IFERROR(__xludf.DUMMYFUNCTION("""COMPUTED_VALUE"""),0.0)</f>
        <v>0</v>
      </c>
      <c r="E279" s="97"/>
      <c r="F279" s="95"/>
      <c r="G279" s="96"/>
      <c r="H279" s="64"/>
      <c r="I279" s="64"/>
      <c r="J279" s="64"/>
      <c r="K279" s="64"/>
      <c r="L279" s="64"/>
    </row>
    <row r="280" ht="16.5" customHeight="1">
      <c r="A280" s="64"/>
      <c r="B280" s="80" t="s">
        <v>18249</v>
      </c>
      <c r="C280" s="81" t="str">
        <f>IFERROR(__xludf.DUMMYFUNCTION("""COMPUTED_VALUE"""),"ClarkStefmog")</f>
        <v>ClarkStefmog</v>
      </c>
      <c r="D280" s="75">
        <f>IFERROR(__xludf.DUMMYFUNCTION("""COMPUTED_VALUE"""),0.0)</f>
        <v>0</v>
      </c>
      <c r="E280" s="97"/>
      <c r="F280" s="95"/>
      <c r="G280" s="96"/>
      <c r="H280" s="64"/>
      <c r="I280" s="64"/>
      <c r="J280" s="64"/>
      <c r="K280" s="64"/>
      <c r="L280" s="64"/>
    </row>
    <row r="281" ht="16.5" customHeight="1">
      <c r="A281" s="64"/>
      <c r="B281" s="80" t="s">
        <v>18249</v>
      </c>
      <c r="C281" s="81" t="str">
        <f>IFERROR(__xludf.DUMMYFUNCTION("""COMPUTED_VALUE"""),"ClaudeA82619845")</f>
        <v>ClaudeA82619845</v>
      </c>
      <c r="D281" s="75">
        <f>IFERROR(__xludf.DUMMYFUNCTION("""COMPUTED_VALUE"""),0.0)</f>
        <v>0</v>
      </c>
      <c r="E281" s="97"/>
      <c r="F281" s="95"/>
      <c r="G281" s="96"/>
      <c r="H281" s="64"/>
      <c r="I281" s="64"/>
      <c r="J281" s="64"/>
      <c r="K281" s="64"/>
      <c r="L281" s="64"/>
    </row>
    <row r="282" ht="16.5" customHeight="1">
      <c r="A282" s="64"/>
      <c r="B282" s="80" t="s">
        <v>18249</v>
      </c>
      <c r="C282" s="81" t="str">
        <f>IFERROR(__xludf.DUMMYFUNCTION("""COMPUTED_VALUE"""),"CleoColin")</f>
        <v>CleoColin</v>
      </c>
      <c r="D282" s="75">
        <f>IFERROR(__xludf.DUMMYFUNCTION("""COMPUTED_VALUE"""),0.0)</f>
        <v>0</v>
      </c>
      <c r="E282" s="97"/>
      <c r="F282" s="95"/>
      <c r="G282" s="96"/>
      <c r="H282" s="64"/>
      <c r="I282" s="64"/>
      <c r="J282" s="64"/>
      <c r="K282" s="64"/>
      <c r="L282" s="64"/>
    </row>
    <row r="283" ht="16.5" customHeight="1">
      <c r="A283" s="64"/>
      <c r="B283" s="80" t="s">
        <v>18249</v>
      </c>
      <c r="C283" s="81" t="str">
        <f>IFERROR(__xludf.DUMMYFUNCTION("""COMPUTED_VALUE"""),"CleoDavies2")</f>
        <v>CleoDavies2</v>
      </c>
      <c r="D283" s="75">
        <f>IFERROR(__xludf.DUMMYFUNCTION("""COMPUTED_VALUE"""),0.0)</f>
        <v>0</v>
      </c>
      <c r="E283" s="97"/>
      <c r="F283" s="95"/>
      <c r="G283" s="96"/>
      <c r="H283" s="64"/>
      <c r="I283" s="64"/>
      <c r="J283" s="64"/>
      <c r="K283" s="64"/>
      <c r="L283" s="64"/>
    </row>
    <row r="284" ht="16.5" customHeight="1">
      <c r="A284" s="64"/>
      <c r="B284" s="80" t="s">
        <v>18249</v>
      </c>
      <c r="C284" s="81" t="str">
        <f>IFERROR(__xludf.DUMMYFUNCTION("""COMPUTED_VALUE"""),"CliffBondCo")</f>
        <v>CliffBondCo</v>
      </c>
      <c r="D284" s="75">
        <f>IFERROR(__xludf.DUMMYFUNCTION("""COMPUTED_VALUE"""),0.0)</f>
        <v>0</v>
      </c>
      <c r="E284" s="97"/>
      <c r="F284" s="95"/>
      <c r="G284" s="96"/>
      <c r="H284" s="64"/>
      <c r="I284" s="64"/>
      <c r="J284" s="64"/>
      <c r="K284" s="64"/>
      <c r="L284" s="64"/>
    </row>
    <row r="285" ht="16.5" customHeight="1">
      <c r="A285" s="64"/>
      <c r="B285" s="80" t="s">
        <v>18249</v>
      </c>
      <c r="C285" s="81" t="str">
        <f>IFERROR(__xludf.DUMMYFUNCTION("""COMPUTED_VALUE"""),"CliveDaviesUK")</f>
        <v>CliveDaviesUK</v>
      </c>
      <c r="D285" s="75">
        <f>IFERROR(__xludf.DUMMYFUNCTION("""COMPUTED_VALUE"""),0.0)</f>
        <v>0</v>
      </c>
      <c r="E285" s="97"/>
      <c r="F285" s="95"/>
      <c r="G285" s="96"/>
      <c r="H285" s="64"/>
      <c r="I285" s="64"/>
      <c r="J285" s="64"/>
      <c r="K285" s="64"/>
      <c r="L285" s="64"/>
    </row>
    <row r="286" ht="16.5" customHeight="1">
      <c r="A286" s="64"/>
      <c r="B286" s="80" t="s">
        <v>18249</v>
      </c>
      <c r="C286" s="81" t="str">
        <f>IFERROR(__xludf.DUMMYFUNCTION("""COMPUTED_VALUE"""),"CliveGeorgeHil1")</f>
        <v>CliveGeorgeHil1</v>
      </c>
      <c r="D286" s="75">
        <f>IFERROR(__xludf.DUMMYFUNCTION("""COMPUTED_VALUE"""),0.0)</f>
        <v>0</v>
      </c>
      <c r="E286" s="97"/>
      <c r="F286" s="95"/>
      <c r="G286" s="96"/>
      <c r="H286" s="64"/>
      <c r="I286" s="64"/>
      <c r="J286" s="64"/>
      <c r="K286" s="64"/>
      <c r="L286" s="64"/>
    </row>
    <row r="287" ht="16.5" customHeight="1">
      <c r="A287" s="64"/>
      <c r="B287" s="80" t="s">
        <v>18249</v>
      </c>
      <c r="C287" s="81" t="str">
        <f>IFERROR(__xludf.DUMMYFUNCTION("""COMPUTED_VALUE"""),"CliveWismayer")</f>
        <v>CliveWismayer</v>
      </c>
      <c r="D287" s="75">
        <f>IFERROR(__xludf.DUMMYFUNCTION("""COMPUTED_VALUE"""),0.0)</f>
        <v>0</v>
      </c>
      <c r="E287" s="97"/>
      <c r="F287" s="95"/>
      <c r="G287" s="96"/>
      <c r="H287" s="64"/>
      <c r="I287" s="64"/>
      <c r="J287" s="64"/>
      <c r="K287" s="64"/>
      <c r="L287" s="64"/>
    </row>
    <row r="288" ht="16.5" customHeight="1">
      <c r="A288" s="64"/>
      <c r="B288" s="80" t="s">
        <v>18249</v>
      </c>
      <c r="C288" s="81" t="str">
        <f>IFERROR(__xludf.DUMMYFUNCTION("""COMPUTED_VALUE"""),"CllrjackieC")</f>
        <v>CllrjackieC</v>
      </c>
      <c r="D288" s="75">
        <f>IFERROR(__xludf.DUMMYFUNCTION("""COMPUTED_VALUE"""),0.0)</f>
        <v>0</v>
      </c>
      <c r="E288" s="97"/>
      <c r="F288" s="95"/>
      <c r="G288" s="96"/>
      <c r="H288" s="64"/>
      <c r="I288" s="64"/>
      <c r="J288" s="64"/>
      <c r="K288" s="64"/>
      <c r="L288" s="64"/>
    </row>
    <row r="289" ht="16.5" customHeight="1">
      <c r="A289" s="64"/>
      <c r="B289" s="80" t="s">
        <v>18249</v>
      </c>
      <c r="C289" s="81" t="str">
        <f>IFERROR(__xludf.DUMMYFUNCTION("""COMPUTED_VALUE"""),"ClucasGlynis")</f>
        <v>ClucasGlynis</v>
      </c>
      <c r="D289" s="75">
        <f>IFERROR(__xludf.DUMMYFUNCTION("""COMPUTED_VALUE"""),0.0)</f>
        <v>0</v>
      </c>
      <c r="E289" s="97"/>
      <c r="F289" s="95"/>
      <c r="G289" s="96"/>
      <c r="H289" s="64"/>
      <c r="I289" s="64"/>
      <c r="J289" s="64"/>
      <c r="K289" s="64"/>
      <c r="L289" s="64"/>
    </row>
    <row r="290" ht="16.5" customHeight="1">
      <c r="A290" s="64"/>
      <c r="B290" s="80" t="s">
        <v>18249</v>
      </c>
      <c r="C290" s="81" t="str">
        <f>IFERROR(__xludf.DUMMYFUNCTION("""COMPUTED_VALUE"""),"CoggleMaggie")</f>
        <v>CoggleMaggie</v>
      </c>
      <c r="D290" s="75">
        <f>IFERROR(__xludf.DUMMYFUNCTION("""COMPUTED_VALUE"""),0.0)</f>
        <v>0</v>
      </c>
      <c r="E290" s="97"/>
      <c r="F290" s="95"/>
      <c r="G290" s="96"/>
      <c r="H290" s="64"/>
      <c r="I290" s="64"/>
      <c r="J290" s="64"/>
      <c r="K290" s="64"/>
      <c r="L290" s="64"/>
    </row>
    <row r="291" ht="16.5" customHeight="1">
      <c r="A291" s="64"/>
      <c r="B291" s="80" t="s">
        <v>18249</v>
      </c>
      <c r="C291" s="81" t="str">
        <f>IFERROR(__xludf.DUMMYFUNCTION("""COMPUTED_VALUE"""),"Col_Bogey")</f>
        <v>Col_Bogey</v>
      </c>
      <c r="D291" s="75">
        <f>IFERROR(__xludf.DUMMYFUNCTION("""COMPUTED_VALUE"""),0.0)</f>
        <v>0</v>
      </c>
      <c r="E291" s="97"/>
      <c r="F291" s="95"/>
      <c r="G291" s="96"/>
      <c r="H291" s="64"/>
      <c r="I291" s="64"/>
      <c r="J291" s="64"/>
      <c r="K291" s="64"/>
      <c r="L291" s="64"/>
    </row>
    <row r="292" ht="16.5" customHeight="1">
      <c r="A292" s="64"/>
      <c r="B292" s="80" t="s">
        <v>18249</v>
      </c>
      <c r="C292" s="81" t="str">
        <f>IFERROR(__xludf.DUMMYFUNCTION("""COMPUTED_VALUE"""),"Colinpugh")</f>
        <v>Colinpugh</v>
      </c>
      <c r="D292" s="75">
        <f>IFERROR(__xludf.DUMMYFUNCTION("""COMPUTED_VALUE"""),0.0)</f>
        <v>0</v>
      </c>
      <c r="E292" s="97"/>
      <c r="F292" s="95"/>
      <c r="G292" s="96"/>
      <c r="H292" s="64"/>
      <c r="I292" s="64"/>
      <c r="J292" s="64"/>
      <c r="K292" s="64"/>
      <c r="L292" s="64"/>
    </row>
    <row r="293" ht="16.5" customHeight="1">
      <c r="A293" s="64"/>
      <c r="B293" s="80" t="s">
        <v>18249</v>
      </c>
      <c r="C293" s="81" t="str">
        <f>IFERROR(__xludf.DUMMYFUNCTION("""COMPUTED_VALUE"""),"CollieColleen")</f>
        <v>CollieColleen</v>
      </c>
      <c r="D293" s="75">
        <f>IFERROR(__xludf.DUMMYFUNCTION("""COMPUTED_VALUE"""),0.0)</f>
        <v>0</v>
      </c>
      <c r="E293" s="97"/>
      <c r="F293" s="95"/>
      <c r="G293" s="96"/>
      <c r="H293" s="64"/>
      <c r="I293" s="64"/>
      <c r="J293" s="64"/>
      <c r="K293" s="64"/>
      <c r="L293" s="64"/>
    </row>
    <row r="294" ht="16.5" customHeight="1">
      <c r="A294" s="64"/>
      <c r="B294" s="80" t="s">
        <v>18249</v>
      </c>
      <c r="C294" s="81" t="str">
        <f>IFERROR(__xludf.DUMMYFUNCTION("""COMPUTED_VALUE"""),"ConnexionFrance")</f>
        <v>ConnexionFrance</v>
      </c>
      <c r="D294" s="75">
        <f>IFERROR(__xludf.DUMMYFUNCTION("""COMPUTED_VALUE"""),0.0)</f>
        <v>0</v>
      </c>
      <c r="E294" s="97"/>
      <c r="F294" s="95"/>
      <c r="G294" s="96"/>
      <c r="H294" s="64"/>
      <c r="I294" s="64"/>
      <c r="J294" s="64"/>
      <c r="K294" s="64"/>
      <c r="L294" s="64"/>
    </row>
    <row r="295" ht="16.5" customHeight="1">
      <c r="A295" s="64"/>
      <c r="B295" s="80" t="s">
        <v>18249</v>
      </c>
      <c r="C295" s="81" t="str">
        <f>IFERROR(__xludf.DUMMYFUNCTION("""COMPUTED_VALUE"""),"ConorMcNicholas")</f>
        <v>ConorMcNicholas</v>
      </c>
      <c r="D295" s="75">
        <f>IFERROR(__xludf.DUMMYFUNCTION("""COMPUTED_VALUE"""),0.0)</f>
        <v>0</v>
      </c>
      <c r="E295" s="97"/>
      <c r="F295" s="95"/>
      <c r="G295" s="96"/>
      <c r="H295" s="64"/>
      <c r="I295" s="64"/>
      <c r="J295" s="64"/>
      <c r="K295" s="64"/>
      <c r="L295" s="64"/>
    </row>
    <row r="296" ht="16.5" customHeight="1">
      <c r="A296" s="64"/>
      <c r="B296" s="80" t="s">
        <v>18249</v>
      </c>
      <c r="C296" s="81" t="str">
        <f>IFERROR(__xludf.DUMMYFUNCTION("""COMPUTED_VALUE"""),"CookiboyCook")</f>
        <v>CookiboyCook</v>
      </c>
      <c r="D296" s="75">
        <f>IFERROR(__xludf.DUMMYFUNCTION("""COMPUTED_VALUE"""),0.0)</f>
        <v>0</v>
      </c>
      <c r="E296" s="97"/>
      <c r="F296" s="95"/>
      <c r="G296" s="96"/>
      <c r="H296" s="64"/>
      <c r="I296" s="64"/>
      <c r="J296" s="64"/>
      <c r="K296" s="64"/>
      <c r="L296" s="64"/>
    </row>
    <row r="297" ht="16.5" customHeight="1">
      <c r="A297" s="64"/>
      <c r="B297" s="80" t="s">
        <v>18249</v>
      </c>
      <c r="C297" s="81" t="str">
        <f>IFERROR(__xludf.DUMMYFUNCTION("""COMPUTED_VALUE"""),"Cormorant100")</f>
        <v>Cormorant100</v>
      </c>
      <c r="D297" s="75">
        <f>IFERROR(__xludf.DUMMYFUNCTION("""COMPUTED_VALUE"""),0.0)</f>
        <v>0</v>
      </c>
      <c r="E297" s="97"/>
      <c r="F297" s="95"/>
      <c r="G297" s="96"/>
      <c r="H297" s="64"/>
      <c r="I297" s="64"/>
      <c r="J297" s="64"/>
      <c r="K297" s="64"/>
      <c r="L297" s="64"/>
    </row>
    <row r="298" ht="16.5" customHeight="1">
      <c r="A298" s="64"/>
      <c r="B298" s="80" t="s">
        <v>18249</v>
      </c>
      <c r="C298" s="81" t="str">
        <f>IFERROR(__xludf.DUMMYFUNCTION("""COMPUTED_VALUE"""),"CornishSkipper")</f>
        <v>CornishSkipper</v>
      </c>
      <c r="D298" s="75">
        <f>IFERROR(__xludf.DUMMYFUNCTION("""COMPUTED_VALUE"""),0.0)</f>
        <v>0</v>
      </c>
      <c r="E298" s="97"/>
      <c r="F298" s="95"/>
      <c r="G298" s="96"/>
      <c r="H298" s="64"/>
      <c r="I298" s="64"/>
      <c r="J298" s="64"/>
      <c r="K298" s="64"/>
      <c r="L298" s="64"/>
    </row>
    <row r="299" ht="16.5" customHeight="1">
      <c r="A299" s="64"/>
      <c r="B299" s="80" t="s">
        <v>18249</v>
      </c>
      <c r="C299" s="81" t="str">
        <f>IFERROR(__xludf.DUMMYFUNCTION("""COMPUTED_VALUE"""),"CouldBeKel")</f>
        <v>CouldBeKel</v>
      </c>
      <c r="D299" s="75">
        <f>IFERROR(__xludf.DUMMYFUNCTION("""COMPUTED_VALUE"""),0.0)</f>
        <v>0</v>
      </c>
      <c r="E299" s="97"/>
      <c r="F299" s="95"/>
      <c r="G299" s="96"/>
      <c r="H299" s="64"/>
      <c r="I299" s="64"/>
      <c r="J299" s="64"/>
      <c r="K299" s="64"/>
      <c r="L299" s="64"/>
    </row>
    <row r="300" ht="16.5" customHeight="1">
      <c r="A300" s="64"/>
      <c r="B300" s="80" t="s">
        <v>18249</v>
      </c>
      <c r="C300" s="81" t="str">
        <f>IFERROR(__xludf.DUMMYFUNCTION("""COMPUTED_VALUE"""),"CraggKeith")</f>
        <v>CraggKeith</v>
      </c>
      <c r="D300" s="75">
        <f>IFERROR(__xludf.DUMMYFUNCTION("""COMPUTED_VALUE"""),0.0)</f>
        <v>0</v>
      </c>
      <c r="E300" s="97"/>
      <c r="F300" s="95"/>
      <c r="G300" s="96"/>
      <c r="H300" s="64"/>
      <c r="I300" s="64"/>
      <c r="J300" s="64"/>
      <c r="K300" s="64"/>
      <c r="L300" s="64"/>
    </row>
    <row r="301" ht="16.5" customHeight="1">
      <c r="A301" s="64"/>
      <c r="B301" s="80" t="s">
        <v>18249</v>
      </c>
      <c r="C301" s="81" t="str">
        <f>IFERROR(__xludf.DUMMYFUNCTION("""COMPUTED_VALUE"""),"CraigTribe2")</f>
        <v>CraigTribe2</v>
      </c>
      <c r="D301" s="75">
        <f>IFERROR(__xludf.DUMMYFUNCTION("""COMPUTED_VALUE"""),0.0)</f>
        <v>0</v>
      </c>
      <c r="E301" s="97"/>
      <c r="F301" s="95"/>
      <c r="G301" s="96"/>
      <c r="H301" s="64"/>
      <c r="I301" s="64"/>
      <c r="J301" s="64"/>
      <c r="K301" s="64"/>
      <c r="L301" s="64"/>
    </row>
    <row r="302" ht="16.5" customHeight="1">
      <c r="A302" s="64"/>
      <c r="B302" s="80" t="s">
        <v>18249</v>
      </c>
      <c r="C302" s="81" t="str">
        <f>IFERROR(__xludf.DUMMYFUNCTION("""COMPUTED_VALUE"""),"CrazyBengieFB_")</f>
        <v>CrazyBengieFB_</v>
      </c>
      <c r="D302" s="75">
        <f>IFERROR(__xludf.DUMMYFUNCTION("""COMPUTED_VALUE"""),0.0)</f>
        <v>0</v>
      </c>
      <c r="E302" s="97"/>
      <c r="F302" s="95"/>
      <c r="G302" s="96"/>
      <c r="H302" s="64"/>
      <c r="I302" s="64"/>
      <c r="J302" s="64"/>
      <c r="K302" s="64"/>
      <c r="L302" s="64"/>
    </row>
    <row r="303" ht="16.5" customHeight="1">
      <c r="A303" s="64"/>
      <c r="B303" s="80" t="s">
        <v>18249</v>
      </c>
      <c r="C303" s="81" t="str">
        <f>IFERROR(__xludf.DUMMYFUNCTION("""COMPUTED_VALUE"""),"CsizmadiaC")</f>
        <v>CsizmadiaC</v>
      </c>
      <c r="D303" s="75">
        <f>IFERROR(__xludf.DUMMYFUNCTION("""COMPUTED_VALUE"""),0.0)</f>
        <v>0</v>
      </c>
      <c r="E303" s="97"/>
      <c r="F303" s="95"/>
      <c r="G303" s="96"/>
      <c r="H303" s="64"/>
      <c r="I303" s="64"/>
      <c r="J303" s="64"/>
      <c r="K303" s="64"/>
      <c r="L303" s="64"/>
    </row>
    <row r="304" ht="16.5" customHeight="1">
      <c r="A304" s="64"/>
      <c r="B304" s="80" t="s">
        <v>18249</v>
      </c>
      <c r="C304" s="81" t="str">
        <f>IFERROR(__xludf.DUMMYFUNCTION("""COMPUTED_VALUE"""),"CunliffeSusanna")</f>
        <v>CunliffeSusanna</v>
      </c>
      <c r="D304" s="75">
        <f>IFERROR(__xludf.DUMMYFUNCTION("""COMPUTED_VALUE"""),0.0)</f>
        <v>0</v>
      </c>
      <c r="E304" s="97"/>
      <c r="F304" s="95"/>
      <c r="G304" s="96"/>
      <c r="H304" s="64"/>
      <c r="I304" s="64"/>
      <c r="J304" s="64"/>
      <c r="K304" s="64"/>
      <c r="L304" s="64"/>
    </row>
    <row r="305" ht="16.5" customHeight="1">
      <c r="A305" s="64"/>
      <c r="B305" s="80" t="s">
        <v>18249</v>
      </c>
      <c r="C305" s="81" t="str">
        <f>IFERROR(__xludf.DUMMYFUNCTION("""COMPUTED_VALUE"""),"Curiosity7709")</f>
        <v>Curiosity7709</v>
      </c>
      <c r="D305" s="75">
        <f>IFERROR(__xludf.DUMMYFUNCTION("""COMPUTED_VALUE"""),0.0)</f>
        <v>0</v>
      </c>
      <c r="E305" s="97"/>
      <c r="F305" s="95"/>
      <c r="G305" s="96"/>
      <c r="H305" s="64"/>
      <c r="I305" s="64"/>
      <c r="J305" s="64"/>
      <c r="K305" s="64"/>
      <c r="L305" s="64"/>
    </row>
    <row r="306" ht="16.5" customHeight="1">
      <c r="A306" s="64"/>
      <c r="B306" s="80" t="s">
        <v>18249</v>
      </c>
      <c r="C306" s="81" t="str">
        <f>IFERROR(__xludf.DUMMYFUNCTION("""COMPUTED_VALUE"""),"CuriousLearner2")</f>
        <v>CuriousLearner2</v>
      </c>
      <c r="D306" s="75">
        <f>IFERROR(__xludf.DUMMYFUNCTION("""COMPUTED_VALUE"""),0.0)</f>
        <v>0</v>
      </c>
      <c r="E306" s="97"/>
      <c r="F306" s="95"/>
      <c r="G306" s="96"/>
      <c r="H306" s="64"/>
      <c r="I306" s="64"/>
      <c r="J306" s="64"/>
      <c r="K306" s="64"/>
      <c r="L306" s="64"/>
    </row>
    <row r="307" ht="16.5" customHeight="1">
      <c r="A307" s="64"/>
      <c r="B307" s="80" t="s">
        <v>18249</v>
      </c>
      <c r="C307" s="81" t="str">
        <f>IFERROR(__xludf.DUMMYFUNCTION("""COMPUTED_VALUE"""),"CurlyChronic")</f>
        <v>CurlyChronic</v>
      </c>
      <c r="D307" s="75">
        <f>IFERROR(__xludf.DUMMYFUNCTION("""COMPUTED_VALUE"""),0.0)</f>
        <v>0</v>
      </c>
      <c r="E307" s="97"/>
      <c r="F307" s="95"/>
      <c r="G307" s="96"/>
      <c r="H307" s="64"/>
      <c r="I307" s="64"/>
      <c r="J307" s="64"/>
      <c r="K307" s="64"/>
      <c r="L307" s="64"/>
    </row>
    <row r="308" ht="16.5" customHeight="1">
      <c r="A308" s="64"/>
      <c r="B308" s="80" t="s">
        <v>18249</v>
      </c>
      <c r="C308" s="81" t="str">
        <f>IFERROR(__xludf.DUMMYFUNCTION("""COMPUTED_VALUE"""),"CuttingsQueen")</f>
        <v>CuttingsQueen</v>
      </c>
      <c r="D308" s="75">
        <f>IFERROR(__xludf.DUMMYFUNCTION("""COMPUTED_VALUE"""),0.0)</f>
        <v>0</v>
      </c>
      <c r="E308" s="97"/>
      <c r="F308" s="95"/>
      <c r="G308" s="96"/>
      <c r="H308" s="64"/>
      <c r="I308" s="64"/>
      <c r="J308" s="64"/>
      <c r="K308" s="64"/>
      <c r="L308" s="64"/>
    </row>
    <row r="309" ht="16.5" customHeight="1">
      <c r="A309" s="64"/>
      <c r="B309" s="80" t="s">
        <v>18249</v>
      </c>
      <c r="C309" s="81" t="str">
        <f>IFERROR(__xludf.DUMMYFUNCTION("""COMPUTED_VALUE"""),"CyrilMurphy171")</f>
        <v>CyrilMurphy171</v>
      </c>
      <c r="D309" s="75">
        <f>IFERROR(__xludf.DUMMYFUNCTION("""COMPUTED_VALUE"""),0.0)</f>
        <v>0</v>
      </c>
      <c r="E309" s="64"/>
      <c r="F309" s="95"/>
      <c r="G309" s="96"/>
      <c r="H309" s="64"/>
      <c r="I309" s="64"/>
      <c r="J309" s="64"/>
      <c r="K309" s="64"/>
      <c r="L309" s="64"/>
    </row>
    <row r="310" ht="16.5" customHeight="1">
      <c r="A310" s="64"/>
      <c r="B310" s="80" t="s">
        <v>18249</v>
      </c>
      <c r="C310" s="81" t="str">
        <f>IFERROR(__xludf.DUMMYFUNCTION("""COMPUTED_VALUE"""),"DAPowell1")</f>
        <v>DAPowell1</v>
      </c>
      <c r="D310" s="75">
        <f>IFERROR(__xludf.DUMMYFUNCTION("""COMPUTED_VALUE"""),0.0)</f>
        <v>0</v>
      </c>
      <c r="E310" s="64"/>
      <c r="F310" s="95"/>
      <c r="G310" s="96"/>
      <c r="H310" s="64"/>
      <c r="I310" s="64"/>
      <c r="J310" s="64"/>
      <c r="K310" s="64"/>
      <c r="L310" s="64"/>
    </row>
    <row r="311" ht="16.5" customHeight="1">
      <c r="A311" s="64"/>
      <c r="B311" s="80" t="s">
        <v>18249</v>
      </c>
      <c r="C311" s="81" t="str">
        <f>IFERROR(__xludf.DUMMYFUNCTION("""COMPUTED_VALUE"""),"DCHutchings")</f>
        <v>DCHutchings</v>
      </c>
      <c r="D311" s="75">
        <f>IFERROR(__xludf.DUMMYFUNCTION("""COMPUTED_VALUE"""),0.0)</f>
        <v>0</v>
      </c>
      <c r="E311" s="64"/>
      <c r="F311" s="95"/>
      <c r="G311" s="96"/>
      <c r="H311" s="64"/>
      <c r="I311" s="64"/>
      <c r="J311" s="64"/>
      <c r="K311" s="64"/>
      <c r="L311" s="64"/>
    </row>
    <row r="312" ht="16.5" customHeight="1">
      <c r="A312" s="64"/>
      <c r="B312" s="80" t="s">
        <v>18249</v>
      </c>
      <c r="C312" s="81" t="str">
        <f>IFERROR(__xludf.DUMMYFUNCTION("""COMPUTED_VALUE"""),"DEYCatherine1")</f>
        <v>DEYCatherine1</v>
      </c>
      <c r="D312" s="75">
        <f>IFERROR(__xludf.DUMMYFUNCTION("""COMPUTED_VALUE"""),0.0)</f>
        <v>0</v>
      </c>
      <c r="E312" s="64"/>
      <c r="F312" s="95"/>
      <c r="G312" s="96"/>
      <c r="H312" s="64"/>
      <c r="I312" s="64"/>
      <c r="J312" s="64"/>
      <c r="K312" s="64"/>
      <c r="L312" s="64"/>
    </row>
    <row r="313" ht="16.5" customHeight="1">
      <c r="A313" s="64"/>
      <c r="B313" s="80" t="s">
        <v>18249</v>
      </c>
      <c r="C313" s="81" t="str">
        <f>IFERROR(__xludf.DUMMYFUNCTION("""COMPUTED_VALUE"""),"DMTEnergy")</f>
        <v>DMTEnergy</v>
      </c>
      <c r="D313" s="75">
        <f>IFERROR(__xludf.DUMMYFUNCTION("""COMPUTED_VALUE"""),0.0)</f>
        <v>0</v>
      </c>
      <c r="E313" s="64"/>
      <c r="F313" s="95"/>
      <c r="G313" s="96"/>
      <c r="H313" s="64"/>
      <c r="I313" s="64"/>
      <c r="J313" s="64"/>
      <c r="K313" s="64"/>
      <c r="L313" s="64"/>
    </row>
    <row r="314" ht="16.5" customHeight="1">
      <c r="A314" s="64"/>
      <c r="B314" s="80" t="s">
        <v>18249</v>
      </c>
      <c r="C314" s="81" t="str">
        <f>IFERROR(__xludf.DUMMYFUNCTION("""COMPUTED_VALUE"""),"DNewtonC")</f>
        <v>DNewtonC</v>
      </c>
      <c r="D314" s="75">
        <f>IFERROR(__xludf.DUMMYFUNCTION("""COMPUTED_VALUE"""),0.0)</f>
        <v>0</v>
      </c>
      <c r="E314" s="64"/>
      <c r="F314" s="95"/>
      <c r="G314" s="96"/>
      <c r="H314" s="64"/>
      <c r="I314" s="64"/>
      <c r="J314" s="64"/>
      <c r="K314" s="64"/>
      <c r="L314" s="64"/>
    </row>
    <row r="315" ht="16.5" customHeight="1">
      <c r="A315" s="64"/>
      <c r="B315" s="80" t="s">
        <v>18249</v>
      </c>
      <c r="C315" s="81" t="str">
        <f>IFERROR(__xludf.DUMMYFUNCTION("""COMPUTED_VALUE"""),"DZANET6666")</f>
        <v>DZANET6666</v>
      </c>
      <c r="D315" s="75">
        <f>IFERROR(__xludf.DUMMYFUNCTION("""COMPUTED_VALUE"""),0.0)</f>
        <v>0</v>
      </c>
      <c r="E315" s="64"/>
      <c r="F315" s="95"/>
      <c r="G315" s="96"/>
      <c r="H315" s="64"/>
      <c r="I315" s="64"/>
      <c r="J315" s="64"/>
      <c r="K315" s="64"/>
      <c r="L315" s="64"/>
    </row>
    <row r="316" ht="16.5" customHeight="1">
      <c r="A316" s="64"/>
      <c r="B316" s="80" t="s">
        <v>18249</v>
      </c>
      <c r="C316" s="81" t="str">
        <f>IFERROR(__xludf.DUMMYFUNCTION("""COMPUTED_VALUE"""),"DagenhamMKIII")</f>
        <v>DagenhamMKIII</v>
      </c>
      <c r="D316" s="75">
        <f>IFERROR(__xludf.DUMMYFUNCTION("""COMPUTED_VALUE"""),0.0)</f>
        <v>0</v>
      </c>
      <c r="E316" s="64"/>
      <c r="F316" s="95"/>
      <c r="G316" s="96"/>
      <c r="H316" s="64"/>
      <c r="I316" s="64"/>
      <c r="J316" s="64"/>
      <c r="K316" s="64"/>
      <c r="L316" s="64"/>
    </row>
    <row r="317" ht="16.5" customHeight="1">
      <c r="A317" s="64"/>
      <c r="B317" s="80" t="s">
        <v>18249</v>
      </c>
      <c r="C317" s="81" t="str">
        <f>IFERROR(__xludf.DUMMYFUNCTION("""COMPUTED_VALUE"""),"Dami1190")</f>
        <v>Dami1190</v>
      </c>
      <c r="D317" s="75">
        <f>IFERROR(__xludf.DUMMYFUNCTION("""COMPUTED_VALUE"""),0.0)</f>
        <v>0</v>
      </c>
      <c r="E317" s="64"/>
      <c r="F317" s="95"/>
      <c r="G317" s="96"/>
      <c r="H317" s="64"/>
      <c r="I317" s="64"/>
      <c r="J317" s="64"/>
      <c r="K317" s="64"/>
      <c r="L317" s="64"/>
    </row>
    <row r="318" ht="16.5" customHeight="1">
      <c r="A318" s="64"/>
      <c r="B318" s="80" t="s">
        <v>18249</v>
      </c>
      <c r="C318" s="81" t="str">
        <f>IFERROR(__xludf.DUMMYFUNCTION("""COMPUTED_VALUE"""),"DanieleMeloni80")</f>
        <v>DanieleMeloni80</v>
      </c>
      <c r="D318" s="75">
        <f>IFERROR(__xludf.DUMMYFUNCTION("""COMPUTED_VALUE"""),0.0)</f>
        <v>0</v>
      </c>
      <c r="E318" s="64"/>
      <c r="F318" s="95"/>
      <c r="G318" s="96"/>
      <c r="H318" s="64"/>
      <c r="I318" s="64"/>
      <c r="J318" s="64"/>
      <c r="K318" s="64"/>
      <c r="L318" s="64"/>
    </row>
    <row r="319" ht="16.5" customHeight="1">
      <c r="A319" s="64"/>
      <c r="B319" s="80" t="s">
        <v>18249</v>
      </c>
      <c r="C319" s="81" t="str">
        <f>IFERROR(__xludf.DUMMYFUNCTION("""COMPUTED_VALUE"""),"Danny_Newell")</f>
        <v>Danny_Newell</v>
      </c>
      <c r="D319" s="75">
        <f>IFERROR(__xludf.DUMMYFUNCTION("""COMPUTED_VALUE"""),0.0)</f>
        <v>0</v>
      </c>
      <c r="E319" s="64"/>
      <c r="F319" s="95"/>
      <c r="G319" s="96"/>
      <c r="H319" s="64"/>
      <c r="I319" s="64"/>
      <c r="J319" s="64"/>
      <c r="K319" s="64"/>
      <c r="L319" s="64"/>
    </row>
    <row r="320" ht="16.5" customHeight="1">
      <c r="A320" s="64"/>
      <c r="B320" s="80" t="s">
        <v>18249</v>
      </c>
      <c r="C320" s="81" t="str">
        <f>IFERROR(__xludf.DUMMYFUNCTION("""COMPUTED_VALUE"""),"Dari1974")</f>
        <v>Dari1974</v>
      </c>
      <c r="D320" s="75">
        <f>IFERROR(__xludf.DUMMYFUNCTION("""COMPUTED_VALUE"""),0.0)</f>
        <v>0</v>
      </c>
      <c r="E320" s="64"/>
      <c r="F320" s="95"/>
      <c r="G320" s="96"/>
      <c r="H320" s="64"/>
      <c r="I320" s="64"/>
      <c r="J320" s="64"/>
      <c r="K320" s="64"/>
      <c r="L320" s="64"/>
    </row>
    <row r="321" ht="16.5" customHeight="1">
      <c r="A321" s="64"/>
      <c r="B321" s="80" t="s">
        <v>18249</v>
      </c>
      <c r="C321" s="81" t="str">
        <f>IFERROR(__xludf.DUMMYFUNCTION("""COMPUTED_VALUE"""),"DariaGrimaldi")</f>
        <v>DariaGrimaldi</v>
      </c>
      <c r="D321" s="75">
        <f>IFERROR(__xludf.DUMMYFUNCTION("""COMPUTED_VALUE"""),0.0)</f>
        <v>0</v>
      </c>
      <c r="E321" s="64"/>
      <c r="F321" s="95"/>
      <c r="G321" s="96"/>
      <c r="H321" s="64"/>
      <c r="I321" s="64"/>
      <c r="J321" s="64"/>
      <c r="K321" s="64"/>
      <c r="L321" s="64"/>
    </row>
    <row r="322" ht="16.5" customHeight="1">
      <c r="A322" s="64"/>
      <c r="B322" s="80" t="s">
        <v>18249</v>
      </c>
      <c r="C322" s="81" t="str">
        <f>IFERROR(__xludf.DUMMYFUNCTION("""COMPUTED_VALUE"""),"DarrenEwers")</f>
        <v>DarrenEwers</v>
      </c>
      <c r="D322" s="75">
        <f>IFERROR(__xludf.DUMMYFUNCTION("""COMPUTED_VALUE"""),0.0)</f>
        <v>0</v>
      </c>
      <c r="E322" s="64"/>
      <c r="F322" s="95"/>
      <c r="G322" s="96"/>
      <c r="H322" s="64"/>
      <c r="I322" s="64"/>
      <c r="J322" s="64"/>
      <c r="K322" s="64"/>
      <c r="L322" s="64"/>
    </row>
    <row r="323" ht="16.5" customHeight="1">
      <c r="A323" s="64"/>
      <c r="B323" s="80" t="s">
        <v>18249</v>
      </c>
      <c r="C323" s="81" t="str">
        <f>IFERROR(__xludf.DUMMYFUNCTION("""COMPUTED_VALUE"""),"DaveCampaigns")</f>
        <v>DaveCampaigns</v>
      </c>
      <c r="D323" s="75">
        <f>IFERROR(__xludf.DUMMYFUNCTION("""COMPUTED_VALUE"""),0.0)</f>
        <v>0</v>
      </c>
      <c r="E323" s="64"/>
      <c r="F323" s="95"/>
      <c r="G323" s="96"/>
      <c r="H323" s="64"/>
      <c r="I323" s="64"/>
      <c r="J323" s="64"/>
      <c r="K323" s="64"/>
      <c r="L323" s="64"/>
    </row>
    <row r="324" ht="16.5" customHeight="1">
      <c r="A324" s="64"/>
      <c r="B324" s="80" t="s">
        <v>18249</v>
      </c>
      <c r="C324" s="81" t="str">
        <f>IFERROR(__xludf.DUMMYFUNCTION("""COMPUTED_VALUE"""),"DaveRee83525370")</f>
        <v>DaveRee83525370</v>
      </c>
      <c r="D324" s="75">
        <f>IFERROR(__xludf.DUMMYFUNCTION("""COMPUTED_VALUE"""),0.0)</f>
        <v>0</v>
      </c>
      <c r="E324" s="64"/>
      <c r="F324" s="95"/>
      <c r="G324" s="96"/>
      <c r="H324" s="64"/>
      <c r="I324" s="64"/>
      <c r="J324" s="64"/>
      <c r="K324" s="64"/>
      <c r="L324" s="64"/>
    </row>
    <row r="325" ht="16.5" customHeight="1">
      <c r="A325" s="64"/>
      <c r="B325" s="80" t="s">
        <v>18249</v>
      </c>
      <c r="C325" s="81" t="str">
        <f>IFERROR(__xludf.DUMMYFUNCTION("""COMPUTED_VALUE"""),"Davej3ffs")</f>
        <v>Davej3ffs</v>
      </c>
      <c r="D325" s="75">
        <f>IFERROR(__xludf.DUMMYFUNCTION("""COMPUTED_VALUE"""),0.0)</f>
        <v>0</v>
      </c>
      <c r="E325" s="64"/>
      <c r="F325" s="95"/>
      <c r="G325" s="96"/>
      <c r="H325" s="64"/>
      <c r="I325" s="64"/>
      <c r="J325" s="64"/>
      <c r="K325" s="64"/>
      <c r="L325" s="64"/>
    </row>
    <row r="326" ht="16.5" customHeight="1">
      <c r="A326" s="64"/>
      <c r="B326" s="80" t="s">
        <v>18249</v>
      </c>
      <c r="C326" s="81" t="str">
        <f>IFERROR(__xludf.DUMMYFUNCTION("""COMPUTED_VALUE"""),"DavidDsmithson1")</f>
        <v>DavidDsmithson1</v>
      </c>
      <c r="D326" s="75">
        <f>IFERROR(__xludf.DUMMYFUNCTION("""COMPUTED_VALUE"""),0.0)</f>
        <v>0</v>
      </c>
      <c r="E326" s="64"/>
      <c r="F326" s="95"/>
      <c r="G326" s="96"/>
      <c r="H326" s="64"/>
      <c r="I326" s="64"/>
      <c r="J326" s="64"/>
      <c r="K326" s="64"/>
      <c r="L326" s="64"/>
    </row>
    <row r="327" ht="16.5" customHeight="1">
      <c r="A327" s="64"/>
      <c r="B327" s="80" t="s">
        <v>18249</v>
      </c>
      <c r="C327" s="81" t="str">
        <f>IFERROR(__xludf.DUMMYFUNCTION("""COMPUTED_VALUE"""),"DavidEvanJames")</f>
        <v>DavidEvanJames</v>
      </c>
      <c r="D327" s="75">
        <f>IFERROR(__xludf.DUMMYFUNCTION("""COMPUTED_VALUE"""),0.0)</f>
        <v>0</v>
      </c>
      <c r="E327" s="64"/>
      <c r="F327" s="95"/>
      <c r="G327" s="96"/>
      <c r="H327" s="64"/>
      <c r="I327" s="64"/>
      <c r="J327" s="64"/>
      <c r="K327" s="64"/>
      <c r="L327" s="64"/>
    </row>
    <row r="328" ht="16.5" customHeight="1">
      <c r="A328" s="64"/>
      <c r="B328" s="80" t="s">
        <v>18249</v>
      </c>
      <c r="C328" s="81" t="str">
        <f>IFERROR(__xludf.DUMMYFUNCTION("""COMPUTED_VALUE"""),"DavidHeadViews")</f>
        <v>DavidHeadViews</v>
      </c>
      <c r="D328" s="75">
        <f>IFERROR(__xludf.DUMMYFUNCTION("""COMPUTED_VALUE"""),0.0)</f>
        <v>0</v>
      </c>
      <c r="E328" s="64"/>
      <c r="F328" s="95"/>
      <c r="G328" s="96"/>
      <c r="H328" s="64"/>
      <c r="I328" s="64"/>
      <c r="J328" s="64"/>
      <c r="K328" s="64"/>
      <c r="L328" s="64"/>
    </row>
    <row r="329" ht="16.5" customHeight="1">
      <c r="A329" s="64"/>
      <c r="B329" s="80" t="s">
        <v>18249</v>
      </c>
      <c r="C329" s="81" t="str">
        <f>IFERROR(__xludf.DUMMYFUNCTION("""COMPUTED_VALUE"""),"DavidHo57450429")</f>
        <v>DavidHo57450429</v>
      </c>
      <c r="D329" s="75">
        <f>IFERROR(__xludf.DUMMYFUNCTION("""COMPUTED_VALUE"""),0.0)</f>
        <v>0</v>
      </c>
      <c r="E329" s="64"/>
      <c r="F329" s="95"/>
      <c r="G329" s="96"/>
      <c r="H329" s="64"/>
      <c r="I329" s="64"/>
      <c r="J329" s="64"/>
      <c r="K329" s="64"/>
      <c r="L329" s="64"/>
    </row>
    <row r="330" ht="16.5" customHeight="1">
      <c r="A330" s="64"/>
      <c r="B330" s="80" t="s">
        <v>18249</v>
      </c>
      <c r="C330" s="81" t="str">
        <f>IFERROR(__xludf.DUMMYFUNCTION("""COMPUTED_VALUE"""),"DavidRickelton")</f>
        <v>DavidRickelton</v>
      </c>
      <c r="D330" s="75">
        <f>IFERROR(__xludf.DUMMYFUNCTION("""COMPUTED_VALUE"""),0.0)</f>
        <v>0</v>
      </c>
      <c r="E330" s="64"/>
      <c r="F330" s="95"/>
      <c r="G330" s="96"/>
      <c r="H330" s="64"/>
      <c r="I330" s="64"/>
      <c r="J330" s="64"/>
      <c r="K330" s="64"/>
      <c r="L330" s="64"/>
    </row>
    <row r="331" ht="16.5" customHeight="1">
      <c r="A331" s="64"/>
      <c r="B331" s="80" t="s">
        <v>18249</v>
      </c>
      <c r="C331" s="81" t="str">
        <f>IFERROR(__xludf.DUMMYFUNCTION("""COMPUTED_VALUE"""),"DavidWPoole73")</f>
        <v>DavidWPoole73</v>
      </c>
      <c r="D331" s="75">
        <f>IFERROR(__xludf.DUMMYFUNCTION("""COMPUTED_VALUE"""),0.0)</f>
        <v>0</v>
      </c>
      <c r="E331" s="64"/>
      <c r="F331" s="95"/>
      <c r="G331" s="96"/>
      <c r="H331" s="64"/>
      <c r="I331" s="64"/>
      <c r="J331" s="64"/>
      <c r="K331" s="64"/>
      <c r="L331" s="64"/>
    </row>
    <row r="332" ht="16.5" customHeight="1">
      <c r="A332" s="64"/>
      <c r="B332" s="80" t="s">
        <v>18249</v>
      </c>
      <c r="C332" s="81" t="str">
        <f>IFERROR(__xludf.DUMMYFUNCTION("""COMPUTED_VALUE"""),"David_T_Evans")</f>
        <v>David_T_Evans</v>
      </c>
      <c r="D332" s="75">
        <f>IFERROR(__xludf.DUMMYFUNCTION("""COMPUTED_VALUE"""),0.0)</f>
        <v>0</v>
      </c>
      <c r="E332" s="64"/>
      <c r="F332" s="95"/>
      <c r="G332" s="96"/>
      <c r="H332" s="64"/>
      <c r="I332" s="64"/>
      <c r="J332" s="64"/>
      <c r="K332" s="64"/>
      <c r="L332" s="64"/>
    </row>
    <row r="333" ht="16.5" customHeight="1">
      <c r="A333" s="64"/>
      <c r="B333" s="80" t="s">
        <v>18249</v>
      </c>
      <c r="C333" s="81" t="str">
        <f>IFERROR(__xludf.DUMMYFUNCTION("""COMPUTED_VALUE"""),"DawnConnor")</f>
        <v>DawnConnor</v>
      </c>
      <c r="D333" s="75">
        <f>IFERROR(__xludf.DUMMYFUNCTION("""COMPUTED_VALUE"""),0.0)</f>
        <v>0</v>
      </c>
      <c r="E333" s="64"/>
      <c r="F333" s="95"/>
      <c r="G333" s="96"/>
      <c r="H333" s="64"/>
      <c r="I333" s="64"/>
      <c r="J333" s="64"/>
      <c r="K333" s="64"/>
      <c r="L333" s="64"/>
    </row>
    <row r="334" ht="16.5" customHeight="1">
      <c r="A334" s="64"/>
      <c r="B334" s="80" t="s">
        <v>18249</v>
      </c>
      <c r="C334" s="81" t="str">
        <f>IFERROR(__xludf.DUMMYFUNCTION("""COMPUTED_VALUE"""),"DbAshby")</f>
        <v>DbAshby</v>
      </c>
      <c r="D334" s="75">
        <f>IFERROR(__xludf.DUMMYFUNCTION("""COMPUTED_VALUE"""),0.0)</f>
        <v>0</v>
      </c>
      <c r="E334" s="64"/>
      <c r="F334" s="95"/>
      <c r="G334" s="96"/>
      <c r="H334" s="64"/>
      <c r="I334" s="64"/>
      <c r="J334" s="64"/>
      <c r="K334" s="64"/>
      <c r="L334" s="64"/>
    </row>
    <row r="335" ht="16.5" customHeight="1">
      <c r="A335" s="64"/>
      <c r="B335" s="80" t="s">
        <v>18249</v>
      </c>
      <c r="C335" s="81" t="str">
        <f>IFERROR(__xludf.DUMMYFUNCTION("""COMPUTED_VALUE"""),"Deasbad")</f>
        <v>Deasbad</v>
      </c>
      <c r="D335" s="75">
        <f>IFERROR(__xludf.DUMMYFUNCTION("""COMPUTED_VALUE"""),0.0)</f>
        <v>0</v>
      </c>
      <c r="E335" s="64"/>
      <c r="F335" s="95"/>
      <c r="G335" s="96"/>
      <c r="H335" s="64"/>
      <c r="I335" s="64"/>
      <c r="J335" s="64"/>
      <c r="K335" s="64"/>
      <c r="L335" s="64"/>
    </row>
    <row r="336" ht="16.5" customHeight="1">
      <c r="A336" s="64"/>
      <c r="B336" s="80" t="s">
        <v>18249</v>
      </c>
      <c r="C336" s="81" t="str">
        <f>IFERROR(__xludf.DUMMYFUNCTION("""COMPUTED_VALUE"""),"Debz7172")</f>
        <v>Debz7172</v>
      </c>
      <c r="D336" s="75">
        <f>IFERROR(__xludf.DUMMYFUNCTION("""COMPUTED_VALUE"""),0.0)</f>
        <v>0</v>
      </c>
      <c r="E336" s="64"/>
      <c r="F336" s="95"/>
      <c r="G336" s="96"/>
      <c r="H336" s="64"/>
      <c r="I336" s="64"/>
      <c r="J336" s="64"/>
      <c r="K336" s="64"/>
      <c r="L336" s="64"/>
    </row>
    <row r="337" ht="16.5" customHeight="1">
      <c r="A337" s="64"/>
      <c r="B337" s="80" t="s">
        <v>18249</v>
      </c>
      <c r="C337" s="81" t="str">
        <f>IFERROR(__xludf.DUMMYFUNCTION("""COMPUTED_VALUE"""),"DecodingTrolls")</f>
        <v>DecodingTrolls</v>
      </c>
      <c r="D337" s="75">
        <f>IFERROR(__xludf.DUMMYFUNCTION("""COMPUTED_VALUE"""),0.0)</f>
        <v>0</v>
      </c>
      <c r="E337" s="64"/>
      <c r="F337" s="95"/>
      <c r="G337" s="96"/>
      <c r="H337" s="64"/>
      <c r="I337" s="64"/>
      <c r="J337" s="64"/>
      <c r="K337" s="64"/>
      <c r="L337" s="64"/>
    </row>
    <row r="338" ht="16.5" customHeight="1">
      <c r="A338" s="64"/>
      <c r="B338" s="80" t="s">
        <v>18249</v>
      </c>
      <c r="C338" s="81" t="str">
        <f>IFERROR(__xludf.DUMMYFUNCTION("""COMPUTED_VALUE"""),"DeeMadi54819377")</f>
        <v>DeeMadi54819377</v>
      </c>
      <c r="D338" s="75">
        <f>IFERROR(__xludf.DUMMYFUNCTION("""COMPUTED_VALUE"""),0.0)</f>
        <v>0</v>
      </c>
      <c r="E338" s="64"/>
      <c r="F338" s="95"/>
      <c r="G338" s="96"/>
      <c r="H338" s="64"/>
      <c r="I338" s="64"/>
      <c r="J338" s="64"/>
      <c r="K338" s="64"/>
      <c r="L338" s="64"/>
    </row>
    <row r="339" ht="16.5" customHeight="1">
      <c r="A339" s="64"/>
      <c r="B339" s="80" t="s">
        <v>18249</v>
      </c>
      <c r="C339" s="81" t="str">
        <f>IFERROR(__xludf.DUMMYFUNCTION("""COMPUTED_VALUE"""),"DeirdreDowney")</f>
        <v>DeirdreDowney</v>
      </c>
      <c r="D339" s="75">
        <f>IFERROR(__xludf.DUMMYFUNCTION("""COMPUTED_VALUE"""),0.0)</f>
        <v>0</v>
      </c>
      <c r="E339" s="64"/>
      <c r="F339" s="95"/>
      <c r="G339" s="96"/>
      <c r="H339" s="64"/>
      <c r="I339" s="64"/>
      <c r="J339" s="64"/>
      <c r="K339" s="64"/>
      <c r="L339" s="64"/>
    </row>
    <row r="340" ht="16.5" customHeight="1">
      <c r="A340" s="64"/>
      <c r="B340" s="80" t="s">
        <v>18249</v>
      </c>
      <c r="C340" s="81" t="str">
        <f>IFERROR(__xludf.DUMMYFUNCTION("""COMPUTED_VALUE"""),"Dempsey1972John")</f>
        <v>Dempsey1972John</v>
      </c>
      <c r="D340" s="75">
        <f>IFERROR(__xludf.DUMMYFUNCTION("""COMPUTED_VALUE"""),0.0)</f>
        <v>0</v>
      </c>
      <c r="E340" s="64"/>
      <c r="F340" s="95"/>
      <c r="G340" s="96"/>
      <c r="H340" s="64"/>
      <c r="I340" s="64"/>
      <c r="J340" s="64"/>
      <c r="K340" s="64"/>
      <c r="L340" s="64"/>
    </row>
    <row r="341" ht="16.5" customHeight="1">
      <c r="A341" s="64"/>
      <c r="B341" s="80" t="s">
        <v>18249</v>
      </c>
      <c r="C341" s="81" t="str">
        <f>IFERROR(__xludf.DUMMYFUNCTION("""COMPUTED_VALUE"""),"DeniseB92880798")</f>
        <v>DeniseB92880798</v>
      </c>
      <c r="D341" s="75">
        <f>IFERROR(__xludf.DUMMYFUNCTION("""COMPUTED_VALUE"""),0.0)</f>
        <v>0</v>
      </c>
      <c r="E341" s="64"/>
      <c r="F341" s="95"/>
      <c r="G341" s="96"/>
      <c r="H341" s="64"/>
      <c r="I341" s="64"/>
      <c r="J341" s="64"/>
      <c r="K341" s="64"/>
      <c r="L341" s="64"/>
    </row>
    <row r="342" ht="16.5" customHeight="1">
      <c r="A342" s="64"/>
      <c r="B342" s="80" t="s">
        <v>18249</v>
      </c>
      <c r="C342" s="81" t="str">
        <f>IFERROR(__xludf.DUMMYFUNCTION("""COMPUTED_VALUE"""),"DenneyDesign")</f>
        <v>DenneyDesign</v>
      </c>
      <c r="D342" s="75">
        <f>IFERROR(__xludf.DUMMYFUNCTION("""COMPUTED_VALUE"""),0.0)</f>
        <v>0</v>
      </c>
      <c r="E342" s="64"/>
      <c r="F342" s="95"/>
      <c r="G342" s="96"/>
      <c r="H342" s="64"/>
      <c r="I342" s="64"/>
      <c r="J342" s="64"/>
      <c r="K342" s="64"/>
      <c r="L342" s="64"/>
    </row>
    <row r="343" ht="16.5" customHeight="1">
      <c r="A343" s="64"/>
      <c r="B343" s="80" t="s">
        <v>18249</v>
      </c>
      <c r="C343" s="81" t="str">
        <f>IFERROR(__xludf.DUMMYFUNCTION("""COMPUTED_VALUE"""),"Dependent2020")</f>
        <v>Dependent2020</v>
      </c>
      <c r="D343" s="75">
        <f>IFERROR(__xludf.DUMMYFUNCTION("""COMPUTED_VALUE"""),0.0)</f>
        <v>0</v>
      </c>
      <c r="E343" s="64"/>
      <c r="F343" s="95"/>
      <c r="G343" s="96"/>
      <c r="H343" s="64"/>
      <c r="I343" s="64"/>
      <c r="J343" s="64"/>
      <c r="K343" s="64"/>
      <c r="L343" s="64"/>
    </row>
    <row r="344" ht="16.5" customHeight="1">
      <c r="A344" s="64"/>
      <c r="B344" s="80" t="s">
        <v>18249</v>
      </c>
      <c r="C344" s="81" t="str">
        <f>IFERROR(__xludf.DUMMYFUNCTION("""COMPUTED_VALUE"""),"Dermot52448258")</f>
        <v>Dermot52448258</v>
      </c>
      <c r="D344" s="75">
        <f>IFERROR(__xludf.DUMMYFUNCTION("""COMPUTED_VALUE"""),0.0)</f>
        <v>0</v>
      </c>
      <c r="E344" s="64"/>
      <c r="F344" s="95"/>
      <c r="G344" s="96"/>
      <c r="H344" s="64"/>
      <c r="I344" s="64"/>
      <c r="J344" s="64"/>
      <c r="K344" s="64"/>
      <c r="L344" s="64"/>
    </row>
    <row r="345" ht="16.5" customHeight="1">
      <c r="A345" s="64"/>
      <c r="B345" s="80" t="s">
        <v>18249</v>
      </c>
      <c r="C345" s="81" t="str">
        <f>IFERROR(__xludf.DUMMYFUNCTION("""COMPUTED_VALUE"""),"DesMchlmcgnn")</f>
        <v>DesMchlmcgnn</v>
      </c>
      <c r="D345" s="75">
        <f>IFERROR(__xludf.DUMMYFUNCTION("""COMPUTED_VALUE"""),0.0)</f>
        <v>0</v>
      </c>
      <c r="E345" s="64"/>
      <c r="F345" s="95"/>
      <c r="G345" s="96"/>
      <c r="H345" s="64"/>
      <c r="I345" s="64"/>
      <c r="J345" s="64"/>
      <c r="K345" s="64"/>
      <c r="L345" s="64"/>
    </row>
    <row r="346" ht="16.5" customHeight="1">
      <c r="A346" s="64"/>
      <c r="B346" s="80" t="s">
        <v>18249</v>
      </c>
      <c r="C346" s="81" t="str">
        <f>IFERROR(__xludf.DUMMYFUNCTION("""COMPUTED_VALUE"""),"DesignTheFuture")</f>
        <v>DesignTheFuture</v>
      </c>
      <c r="D346" s="75">
        <f>IFERROR(__xludf.DUMMYFUNCTION("""COMPUTED_VALUE"""),0.0)</f>
        <v>0</v>
      </c>
      <c r="E346" s="64"/>
      <c r="F346" s="95"/>
      <c r="G346" s="96"/>
      <c r="H346" s="64"/>
      <c r="I346" s="64"/>
      <c r="J346" s="64"/>
      <c r="K346" s="64"/>
      <c r="L346" s="64"/>
    </row>
    <row r="347" ht="16.5" customHeight="1">
      <c r="A347" s="64"/>
      <c r="B347" s="80" t="s">
        <v>18249</v>
      </c>
      <c r="C347" s="81" t="str">
        <f>IFERROR(__xludf.DUMMYFUNCTION("""COMPUTED_VALUE"""),"Desinumber9")</f>
        <v>Desinumber9</v>
      </c>
      <c r="D347" s="75">
        <f>IFERROR(__xludf.DUMMYFUNCTION("""COMPUTED_VALUE"""),0.0)</f>
        <v>0</v>
      </c>
      <c r="E347" s="64"/>
      <c r="F347" s="95"/>
      <c r="G347" s="96"/>
      <c r="H347" s="64"/>
      <c r="I347" s="64"/>
      <c r="J347" s="64"/>
      <c r="K347" s="64"/>
      <c r="L347" s="64"/>
    </row>
    <row r="348" ht="16.5" customHeight="1">
      <c r="A348" s="64"/>
      <c r="B348" s="80" t="s">
        <v>18249</v>
      </c>
      <c r="C348" s="81" t="str">
        <f>IFERROR(__xludf.DUMMYFUNCTION("""COMPUTED_VALUE"""),"DespiteBrexbot")</f>
        <v>DespiteBrexbot</v>
      </c>
      <c r="D348" s="75">
        <f>IFERROR(__xludf.DUMMYFUNCTION("""COMPUTED_VALUE"""),0.0)</f>
        <v>0</v>
      </c>
      <c r="E348" s="64"/>
      <c r="F348" s="95"/>
      <c r="G348" s="96"/>
      <c r="H348" s="64"/>
      <c r="I348" s="64"/>
      <c r="J348" s="64"/>
      <c r="K348" s="64"/>
      <c r="L348" s="64"/>
    </row>
    <row r="349" ht="16.5" customHeight="1">
      <c r="A349" s="64"/>
      <c r="B349" s="80" t="s">
        <v>18249</v>
      </c>
      <c r="C349" s="81" t="str">
        <f>IFERROR(__xludf.DUMMYFUNCTION("""COMPUTED_VALUE"""),"DianaShirlaw")</f>
        <v>DianaShirlaw</v>
      </c>
      <c r="D349" s="75">
        <f>IFERROR(__xludf.DUMMYFUNCTION("""COMPUTED_VALUE"""),0.0)</f>
        <v>0</v>
      </c>
      <c r="E349" s="64"/>
      <c r="F349" s="95"/>
      <c r="G349" s="96"/>
      <c r="H349" s="64"/>
      <c r="I349" s="64"/>
      <c r="J349" s="64"/>
      <c r="K349" s="64"/>
      <c r="L349" s="64"/>
    </row>
    <row r="350" ht="16.5" customHeight="1">
      <c r="A350" s="64"/>
      <c r="B350" s="80" t="s">
        <v>18249</v>
      </c>
      <c r="C350" s="81" t="str">
        <f>IFERROR(__xludf.DUMMYFUNCTION("""COMPUTED_VALUE"""),"DjokoD")</f>
        <v>DjokoD</v>
      </c>
      <c r="D350" s="75">
        <f>IFERROR(__xludf.DUMMYFUNCTION("""COMPUTED_VALUE"""),0.0)</f>
        <v>0</v>
      </c>
      <c r="E350" s="64"/>
      <c r="F350" s="95"/>
      <c r="G350" s="96"/>
      <c r="H350" s="64"/>
      <c r="I350" s="64"/>
      <c r="J350" s="64"/>
      <c r="K350" s="64"/>
      <c r="L350" s="64"/>
    </row>
    <row r="351" ht="16.5" customHeight="1">
      <c r="A351" s="64"/>
      <c r="B351" s="80" t="s">
        <v>18249</v>
      </c>
      <c r="C351" s="81" t="str">
        <f>IFERROR(__xludf.DUMMYFUNCTION("""COMPUTED_VALUE"""),"DmitriS40926112")</f>
        <v>DmitriS40926112</v>
      </c>
      <c r="D351" s="75">
        <f>IFERROR(__xludf.DUMMYFUNCTION("""COMPUTED_VALUE"""),0.0)</f>
        <v>0</v>
      </c>
      <c r="E351" s="64"/>
      <c r="F351" s="95"/>
      <c r="G351" s="96"/>
      <c r="H351" s="64"/>
      <c r="I351" s="64"/>
      <c r="J351" s="64"/>
      <c r="K351" s="64"/>
      <c r="L351" s="64"/>
    </row>
    <row r="352" ht="16.5" customHeight="1">
      <c r="A352" s="64"/>
      <c r="B352" s="80" t="s">
        <v>18249</v>
      </c>
      <c r="C352" s="81" t="str">
        <f>IFERROR(__xludf.DUMMYFUNCTION("""COMPUTED_VALUE"""),"DoddsLindsay")</f>
        <v>DoddsLindsay</v>
      </c>
      <c r="D352" s="75">
        <f>IFERROR(__xludf.DUMMYFUNCTION("""COMPUTED_VALUE"""),0.0)</f>
        <v>0</v>
      </c>
      <c r="E352" s="64"/>
      <c r="F352" s="95"/>
      <c r="G352" s="96"/>
      <c r="H352" s="64"/>
      <c r="I352" s="64"/>
      <c r="J352" s="64"/>
      <c r="K352" s="64"/>
      <c r="L352" s="64"/>
    </row>
    <row r="353" ht="16.5" customHeight="1">
      <c r="A353" s="64"/>
      <c r="B353" s="80" t="s">
        <v>18249</v>
      </c>
      <c r="C353" s="81" t="str">
        <f>IFERROR(__xludf.DUMMYFUNCTION("""COMPUTED_VALUE"""),"DonaHilaria")</f>
        <v>DonaHilaria</v>
      </c>
      <c r="D353" s="75">
        <f>IFERROR(__xludf.DUMMYFUNCTION("""COMPUTED_VALUE"""),0.0)</f>
        <v>0</v>
      </c>
      <c r="E353" s="64"/>
      <c r="F353" s="95"/>
      <c r="G353" s="96"/>
      <c r="H353" s="64"/>
      <c r="I353" s="64"/>
      <c r="J353" s="64"/>
      <c r="K353" s="64"/>
      <c r="L353" s="64"/>
    </row>
    <row r="354" ht="16.5" customHeight="1">
      <c r="A354" s="64"/>
      <c r="B354" s="80" t="s">
        <v>18249</v>
      </c>
      <c r="C354" s="81" t="str">
        <f>IFERROR(__xludf.DUMMYFUNCTION("""COMPUTED_VALUE"""),"Donatedparts")</f>
        <v>Donatedparts</v>
      </c>
      <c r="D354" s="75">
        <f>IFERROR(__xludf.DUMMYFUNCTION("""COMPUTED_VALUE"""),0.0)</f>
        <v>0</v>
      </c>
      <c r="E354" s="64"/>
      <c r="F354" s="95"/>
      <c r="G354" s="96"/>
      <c r="H354" s="64"/>
      <c r="I354" s="64"/>
      <c r="J354" s="64"/>
      <c r="K354" s="64"/>
      <c r="L354" s="64"/>
    </row>
    <row r="355" ht="16.5" customHeight="1">
      <c r="A355" s="64"/>
      <c r="B355" s="80" t="s">
        <v>18249</v>
      </c>
      <c r="C355" s="81" t="str">
        <f>IFERROR(__xludf.DUMMYFUNCTION("""COMPUTED_VALUE"""),"DoreJayne")</f>
        <v>DoreJayne</v>
      </c>
      <c r="D355" s="75">
        <f>IFERROR(__xludf.DUMMYFUNCTION("""COMPUTED_VALUE"""),0.0)</f>
        <v>0</v>
      </c>
      <c r="E355" s="64"/>
      <c r="F355" s="95"/>
      <c r="G355" s="96"/>
      <c r="H355" s="64"/>
      <c r="I355" s="64"/>
      <c r="J355" s="64"/>
      <c r="K355" s="64"/>
      <c r="L355" s="64"/>
    </row>
    <row r="356" ht="16.5" customHeight="1">
      <c r="A356" s="64"/>
      <c r="B356" s="80" t="s">
        <v>18249</v>
      </c>
      <c r="C356" s="81" t="str">
        <f>IFERROR(__xludf.DUMMYFUNCTION("""COMPUTED_VALUE"""),"Dorothy23897725")</f>
        <v>Dorothy23897725</v>
      </c>
      <c r="D356" s="75">
        <f>IFERROR(__xludf.DUMMYFUNCTION("""COMPUTED_VALUE"""),0.0)</f>
        <v>0</v>
      </c>
      <c r="E356" s="64"/>
      <c r="F356" s="95"/>
      <c r="G356" s="96"/>
      <c r="H356" s="64"/>
      <c r="I356" s="64"/>
      <c r="J356" s="64"/>
      <c r="K356" s="64"/>
      <c r="L356" s="64"/>
    </row>
    <row r="357" ht="16.5" customHeight="1">
      <c r="A357" s="64"/>
      <c r="B357" s="80" t="s">
        <v>18249</v>
      </c>
      <c r="C357" s="81" t="str">
        <f>IFERROR(__xludf.DUMMYFUNCTION("""COMPUTED_VALUE"""),"Dorothy97638586")</f>
        <v>Dorothy97638586</v>
      </c>
      <c r="D357" s="75">
        <f>IFERROR(__xludf.DUMMYFUNCTION("""COMPUTED_VALUE"""),0.0)</f>
        <v>0</v>
      </c>
      <c r="E357" s="64"/>
      <c r="F357" s="95"/>
      <c r="G357" s="96"/>
      <c r="H357" s="64"/>
      <c r="I357" s="64"/>
      <c r="J357" s="64"/>
      <c r="K357" s="64"/>
      <c r="L357" s="64"/>
    </row>
    <row r="358" ht="16.5" customHeight="1">
      <c r="A358" s="64"/>
      <c r="B358" s="80" t="s">
        <v>18249</v>
      </c>
      <c r="C358" s="81" t="str">
        <f>IFERROR(__xludf.DUMMYFUNCTION("""COMPUTED_VALUE"""),"DotLepkowska")</f>
        <v>DotLepkowska</v>
      </c>
      <c r="D358" s="75">
        <f>IFERROR(__xludf.DUMMYFUNCTION("""COMPUTED_VALUE"""),0.0)</f>
        <v>0</v>
      </c>
      <c r="E358" s="64"/>
      <c r="F358" s="95"/>
      <c r="G358" s="96"/>
      <c r="H358" s="64"/>
      <c r="I358" s="64"/>
      <c r="J358" s="64"/>
      <c r="K358" s="64"/>
      <c r="L358" s="64"/>
    </row>
    <row r="359" ht="16.5" customHeight="1">
      <c r="A359" s="64"/>
      <c r="B359" s="80" t="s">
        <v>18249</v>
      </c>
      <c r="C359" s="81" t="str">
        <f>IFERROR(__xludf.DUMMYFUNCTION("""COMPUTED_VALUE"""),"Dotspod1")</f>
        <v>Dotspod1</v>
      </c>
      <c r="D359" s="75">
        <f>IFERROR(__xludf.DUMMYFUNCTION("""COMPUTED_VALUE"""),0.0)</f>
        <v>0</v>
      </c>
      <c r="E359" s="64"/>
      <c r="F359" s="95"/>
      <c r="G359" s="96"/>
      <c r="H359" s="64"/>
      <c r="I359" s="64"/>
      <c r="J359" s="64"/>
      <c r="K359" s="64"/>
      <c r="L359" s="64"/>
    </row>
    <row r="360" ht="16.5" customHeight="1">
      <c r="A360" s="64"/>
      <c r="B360" s="80" t="s">
        <v>18249</v>
      </c>
      <c r="C360" s="81" t="str">
        <f>IFERROR(__xludf.DUMMYFUNCTION("""COMPUTED_VALUE"""),"Dougwriter")</f>
        <v>Dougwriter</v>
      </c>
      <c r="D360" s="75">
        <f>IFERROR(__xludf.DUMMYFUNCTION("""COMPUTED_VALUE"""),0.0)</f>
        <v>0</v>
      </c>
      <c r="E360" s="64"/>
      <c r="F360" s="95"/>
      <c r="G360" s="96"/>
      <c r="H360" s="64"/>
      <c r="I360" s="64"/>
      <c r="J360" s="64"/>
      <c r="K360" s="64"/>
      <c r="L360" s="64"/>
    </row>
    <row r="361" ht="16.5" customHeight="1">
      <c r="A361" s="64"/>
      <c r="B361" s="80" t="s">
        <v>18249</v>
      </c>
      <c r="C361" s="81" t="str">
        <f>IFERROR(__xludf.DUMMYFUNCTION("""COMPUTED_VALUE"""),"DouweKorff")</f>
        <v>DouweKorff</v>
      </c>
      <c r="D361" s="75">
        <f>IFERROR(__xludf.DUMMYFUNCTION("""COMPUTED_VALUE"""),0.0)</f>
        <v>0</v>
      </c>
      <c r="E361" s="64"/>
      <c r="F361" s="95"/>
      <c r="G361" s="96"/>
      <c r="H361" s="64"/>
      <c r="I361" s="64"/>
      <c r="J361" s="64"/>
      <c r="K361" s="64"/>
      <c r="L361" s="64"/>
    </row>
    <row r="362" ht="16.5" customHeight="1">
      <c r="A362" s="64"/>
      <c r="B362" s="80" t="s">
        <v>18249</v>
      </c>
      <c r="C362" s="81" t="str">
        <f>IFERROR(__xludf.DUMMYFUNCTION("""COMPUTED_VALUE"""),"DrDavidRSewell")</f>
        <v>DrDavidRSewell</v>
      </c>
      <c r="D362" s="75">
        <f>IFERROR(__xludf.DUMMYFUNCTION("""COMPUTED_VALUE"""),0.0)</f>
        <v>0</v>
      </c>
      <c r="E362" s="64"/>
      <c r="F362" s="95"/>
      <c r="G362" s="96"/>
      <c r="H362" s="64"/>
      <c r="I362" s="64"/>
      <c r="J362" s="64"/>
      <c r="K362" s="64"/>
      <c r="L362" s="64"/>
    </row>
    <row r="363" ht="16.5" customHeight="1">
      <c r="A363" s="64"/>
      <c r="B363" s="80" t="s">
        <v>18249</v>
      </c>
      <c r="C363" s="81" t="str">
        <f>IFERROR(__xludf.DUMMYFUNCTION("""COMPUTED_VALUE"""),"DrGLonergan")</f>
        <v>DrGLonergan</v>
      </c>
      <c r="D363" s="75">
        <f>IFERROR(__xludf.DUMMYFUNCTION("""COMPUTED_VALUE"""),0.0)</f>
        <v>0</v>
      </c>
      <c r="E363" s="64"/>
      <c r="F363" s="95"/>
      <c r="G363" s="96"/>
      <c r="H363" s="64"/>
      <c r="I363" s="64"/>
      <c r="J363" s="64"/>
      <c r="K363" s="64"/>
      <c r="L363" s="64"/>
    </row>
    <row r="364" ht="16.5" customHeight="1">
      <c r="A364" s="64"/>
      <c r="B364" s="80" t="s">
        <v>18249</v>
      </c>
      <c r="C364" s="81" t="str">
        <f>IFERROR(__xludf.DUMMYFUNCTION("""COMPUTED_VALUE"""),"DrJackMiller")</f>
        <v>DrJackMiller</v>
      </c>
      <c r="D364" s="75">
        <f>IFERROR(__xludf.DUMMYFUNCTION("""COMPUTED_VALUE"""),0.0)</f>
        <v>0</v>
      </c>
      <c r="E364" s="64"/>
      <c r="F364" s="95"/>
      <c r="G364" s="96"/>
      <c r="H364" s="64"/>
      <c r="I364" s="64"/>
      <c r="J364" s="64"/>
      <c r="K364" s="64"/>
      <c r="L364" s="64"/>
    </row>
    <row r="365" ht="16.5" customHeight="1">
      <c r="A365" s="64"/>
      <c r="B365" s="80" t="s">
        <v>18249</v>
      </c>
      <c r="C365" s="81" t="str">
        <f>IFERROR(__xludf.DUMMYFUNCTION("""COMPUTED_VALUE"""),"Dr__H__Lekter")</f>
        <v>Dr__H__Lekter</v>
      </c>
      <c r="D365" s="75">
        <f>IFERROR(__xludf.DUMMYFUNCTION("""COMPUTED_VALUE"""),0.0)</f>
        <v>0</v>
      </c>
      <c r="E365" s="64"/>
      <c r="F365" s="95"/>
      <c r="G365" s="96"/>
      <c r="H365" s="64"/>
      <c r="I365" s="64"/>
      <c r="J365" s="64"/>
      <c r="K365" s="64"/>
      <c r="L365" s="64"/>
    </row>
    <row r="366" ht="16.5" customHeight="1">
      <c r="A366" s="64"/>
      <c r="B366" s="80" t="s">
        <v>18249</v>
      </c>
      <c r="C366" s="81" t="str">
        <f>IFERROR(__xludf.DUMMYFUNCTION("""COMPUTED_VALUE"""),"Draculadarkan")</f>
        <v>Draculadarkan</v>
      </c>
      <c r="D366" s="75">
        <f>IFERROR(__xludf.DUMMYFUNCTION("""COMPUTED_VALUE"""),0.0)</f>
        <v>0</v>
      </c>
      <c r="E366" s="64"/>
      <c r="F366" s="95"/>
      <c r="G366" s="96"/>
      <c r="H366" s="64"/>
      <c r="I366" s="64"/>
      <c r="J366" s="64"/>
      <c r="K366" s="64"/>
      <c r="L366" s="64"/>
    </row>
    <row r="367" ht="16.5" customHeight="1">
      <c r="A367" s="64"/>
      <c r="B367" s="80" t="s">
        <v>18249</v>
      </c>
      <c r="C367" s="81" t="str">
        <f>IFERROR(__xludf.DUMMYFUNCTION("""COMPUTED_VALUE"""),"Dragons68317191")</f>
        <v>Dragons68317191</v>
      </c>
      <c r="D367" s="75">
        <f>IFERROR(__xludf.DUMMYFUNCTION("""COMPUTED_VALUE"""),0.0)</f>
        <v>0</v>
      </c>
      <c r="E367" s="64"/>
      <c r="F367" s="95"/>
      <c r="G367" s="96"/>
      <c r="H367" s="64"/>
      <c r="I367" s="64"/>
      <c r="J367" s="64"/>
      <c r="K367" s="64"/>
      <c r="L367" s="64"/>
    </row>
    <row r="368" ht="16.5" customHeight="1">
      <c r="A368" s="64"/>
      <c r="B368" s="80" t="s">
        <v>18249</v>
      </c>
      <c r="C368" s="81" t="str">
        <f>IFERROR(__xludf.DUMMYFUNCTION("""COMPUTED_VALUE"""),"Dredd1964")</f>
        <v>Dredd1964</v>
      </c>
      <c r="D368" s="75">
        <f>IFERROR(__xludf.DUMMYFUNCTION("""COMPUTED_VALUE"""),0.0)</f>
        <v>0</v>
      </c>
      <c r="E368" s="64"/>
      <c r="F368" s="95"/>
      <c r="G368" s="96"/>
      <c r="H368" s="64"/>
      <c r="I368" s="64"/>
      <c r="J368" s="64"/>
      <c r="K368" s="64"/>
      <c r="L368" s="64"/>
    </row>
    <row r="369" ht="16.5" customHeight="1">
      <c r="A369" s="64"/>
      <c r="B369" s="80" t="s">
        <v>18249</v>
      </c>
      <c r="C369" s="81" t="str">
        <f>IFERROR(__xludf.DUMMYFUNCTION("""COMPUTED_VALUE"""),"Dringcarol")</f>
        <v>Dringcarol</v>
      </c>
      <c r="D369" s="75">
        <f>IFERROR(__xludf.DUMMYFUNCTION("""COMPUTED_VALUE"""),0.0)</f>
        <v>0</v>
      </c>
      <c r="E369" s="64"/>
      <c r="F369" s="95"/>
      <c r="G369" s="96"/>
      <c r="H369" s="64"/>
      <c r="I369" s="64"/>
      <c r="J369" s="64"/>
      <c r="K369" s="64"/>
      <c r="L369" s="64"/>
    </row>
    <row r="370" ht="16.5" customHeight="1">
      <c r="A370" s="64"/>
      <c r="B370" s="80" t="s">
        <v>18249</v>
      </c>
      <c r="C370" s="81" t="str">
        <f>IFERROR(__xludf.DUMMYFUNCTION("""COMPUTED_VALUE"""),"DudleydeBeau")</f>
        <v>DudleydeBeau</v>
      </c>
      <c r="D370" s="75">
        <f>IFERROR(__xludf.DUMMYFUNCTION("""COMPUTED_VALUE"""),0.0)</f>
        <v>0</v>
      </c>
      <c r="E370" s="64"/>
      <c r="F370" s="95"/>
      <c r="G370" s="96"/>
      <c r="H370" s="64"/>
      <c r="I370" s="64"/>
      <c r="J370" s="64"/>
      <c r="K370" s="64"/>
      <c r="L370" s="64"/>
    </row>
    <row r="371" ht="16.5" customHeight="1">
      <c r="A371" s="64"/>
      <c r="B371" s="80" t="s">
        <v>18249</v>
      </c>
      <c r="C371" s="81" t="str">
        <f>IFERROR(__xludf.DUMMYFUNCTION("""COMPUTED_VALUE"""),"DuncanClarke15")</f>
        <v>DuncanClarke15</v>
      </c>
      <c r="D371" s="75">
        <f>IFERROR(__xludf.DUMMYFUNCTION("""COMPUTED_VALUE"""),0.0)</f>
        <v>0</v>
      </c>
      <c r="E371" s="64"/>
      <c r="F371" s="95"/>
      <c r="G371" s="96"/>
      <c r="H371" s="64"/>
      <c r="I371" s="64"/>
      <c r="J371" s="64"/>
      <c r="K371" s="64"/>
      <c r="L371" s="64"/>
    </row>
    <row r="372" ht="16.5" customHeight="1">
      <c r="A372" s="64"/>
      <c r="B372" s="80" t="s">
        <v>18249</v>
      </c>
      <c r="C372" s="81" t="str">
        <f>IFERROR(__xludf.DUMMYFUNCTION("""COMPUTED_VALUE"""),"DurhamWhines")</f>
        <v>DurhamWhines</v>
      </c>
      <c r="D372" s="75">
        <f>IFERROR(__xludf.DUMMYFUNCTION("""COMPUTED_VALUE"""),0.0)</f>
        <v>0</v>
      </c>
      <c r="E372" s="64"/>
      <c r="F372" s="95"/>
      <c r="G372" s="96"/>
      <c r="H372" s="64"/>
      <c r="I372" s="64"/>
      <c r="J372" s="64"/>
      <c r="K372" s="64"/>
      <c r="L372" s="64"/>
    </row>
    <row r="373" ht="16.5" customHeight="1">
      <c r="A373" s="64"/>
      <c r="B373" s="80" t="s">
        <v>18249</v>
      </c>
      <c r="C373" s="81" t="str">
        <f>IFERROR(__xludf.DUMMYFUNCTION("""COMPUTED_VALUE"""),"Durham_SGIA")</f>
        <v>Durham_SGIA</v>
      </c>
      <c r="D373" s="75">
        <f>IFERROR(__xludf.DUMMYFUNCTION("""COMPUTED_VALUE"""),0.0)</f>
        <v>0</v>
      </c>
      <c r="E373" s="64"/>
      <c r="F373" s="95"/>
      <c r="G373" s="96"/>
      <c r="H373" s="64"/>
      <c r="I373" s="64"/>
      <c r="J373" s="64"/>
      <c r="K373" s="64"/>
      <c r="L373" s="64"/>
    </row>
    <row r="374" ht="16.5" customHeight="1">
      <c r="A374" s="64"/>
      <c r="B374" s="80" t="s">
        <v>18249</v>
      </c>
      <c r="C374" s="81" t="str">
        <f>IFERROR(__xludf.DUMMYFUNCTION("""COMPUTED_VALUE"""),"DutchNewchurch")</f>
        <v>DutchNewchurch</v>
      </c>
      <c r="D374" s="75">
        <f>IFERROR(__xludf.DUMMYFUNCTION("""COMPUTED_VALUE"""),0.0)</f>
        <v>0</v>
      </c>
      <c r="E374" s="64"/>
      <c r="F374" s="95"/>
      <c r="G374" s="96"/>
      <c r="H374" s="64"/>
      <c r="I374" s="64"/>
      <c r="J374" s="64"/>
      <c r="K374" s="64"/>
      <c r="L374" s="64"/>
    </row>
    <row r="375" ht="16.5" customHeight="1">
      <c r="A375" s="64"/>
      <c r="B375" s="80" t="s">
        <v>18249</v>
      </c>
      <c r="C375" s="81" t="str">
        <f>IFERROR(__xludf.DUMMYFUNCTION("""COMPUTED_VALUE"""),"Dwalingen")</f>
        <v>Dwalingen</v>
      </c>
      <c r="D375" s="75">
        <f>IFERROR(__xludf.DUMMYFUNCTION("""COMPUTED_VALUE"""),0.0)</f>
        <v>0</v>
      </c>
      <c r="E375" s="64"/>
      <c r="F375" s="95"/>
      <c r="G375" s="96"/>
      <c r="H375" s="64"/>
      <c r="I375" s="64"/>
      <c r="J375" s="64"/>
      <c r="K375" s="64"/>
      <c r="L375" s="64"/>
    </row>
    <row r="376" ht="16.5" customHeight="1">
      <c r="A376" s="64"/>
      <c r="B376" s="80" t="s">
        <v>18249</v>
      </c>
      <c r="C376" s="81" t="str">
        <f>IFERROR(__xludf.DUMMYFUNCTION("""COMPUTED_VALUE"""),"EH54_Lainey")</f>
        <v>EH54_Lainey</v>
      </c>
      <c r="D376" s="75">
        <f>IFERROR(__xludf.DUMMYFUNCTION("""COMPUTED_VALUE"""),0.0)</f>
        <v>0</v>
      </c>
      <c r="E376" s="64"/>
      <c r="F376" s="95"/>
      <c r="G376" s="96"/>
      <c r="H376" s="64"/>
      <c r="I376" s="64"/>
      <c r="J376" s="64"/>
      <c r="K376" s="64"/>
      <c r="L376" s="64"/>
    </row>
    <row r="377" ht="16.5" customHeight="1">
      <c r="A377" s="64"/>
      <c r="B377" s="80" t="s">
        <v>18249</v>
      </c>
      <c r="C377" s="81" t="str">
        <f>IFERROR(__xludf.DUMMYFUNCTION("""COMPUTED_VALUE"""),"EMSouthCheshire")</f>
        <v>EMSouthCheshire</v>
      </c>
      <c r="D377" s="75">
        <f>IFERROR(__xludf.DUMMYFUNCTION("""COMPUTED_VALUE"""),0.0)</f>
        <v>0</v>
      </c>
      <c r="E377" s="64"/>
      <c r="F377" s="95"/>
      <c r="G377" s="96"/>
      <c r="H377" s="64"/>
      <c r="I377" s="64"/>
      <c r="J377" s="64"/>
      <c r="K377" s="64"/>
      <c r="L377" s="64"/>
    </row>
    <row r="378" ht="16.5" customHeight="1">
      <c r="A378" s="64"/>
      <c r="B378" s="80" t="s">
        <v>18249</v>
      </c>
      <c r="C378" s="81" t="str">
        <f>IFERROR(__xludf.DUMMYFUNCTION("""COMPUTED_VALUE"""),"EMStaffs")</f>
        <v>EMStaffs</v>
      </c>
      <c r="D378" s="75">
        <f>IFERROR(__xludf.DUMMYFUNCTION("""COMPUTED_VALUE"""),0.0)</f>
        <v>0</v>
      </c>
      <c r="E378" s="64"/>
      <c r="F378" s="95"/>
      <c r="G378" s="96"/>
      <c r="H378" s="64"/>
      <c r="I378" s="64"/>
      <c r="J378" s="64"/>
      <c r="K378" s="64"/>
      <c r="L378" s="64"/>
    </row>
    <row r="379" ht="16.5" customHeight="1">
      <c r="A379" s="64"/>
      <c r="B379" s="80" t="s">
        <v>18249</v>
      </c>
      <c r="C379" s="81" t="str">
        <f>IFERROR(__xludf.DUMMYFUNCTION("""COMPUTED_VALUE"""),"EURACTIV")</f>
        <v>EURACTIV</v>
      </c>
      <c r="D379" s="75">
        <f>IFERROR(__xludf.DUMMYFUNCTION("""COMPUTED_VALUE"""),0.0)</f>
        <v>0</v>
      </c>
      <c r="E379" s="64"/>
      <c r="F379" s="95"/>
      <c r="G379" s="96"/>
      <c r="H379" s="64"/>
      <c r="I379" s="64"/>
      <c r="J379" s="64"/>
      <c r="K379" s="64"/>
      <c r="L379" s="64"/>
    </row>
    <row r="380" ht="16.5" customHeight="1">
      <c r="A380" s="64"/>
      <c r="B380" s="80" t="s">
        <v>18249</v>
      </c>
      <c r="C380" s="81" t="str">
        <f>IFERROR(__xludf.DUMMYFUNCTION("""COMPUTED_VALUE"""),"EUROFRESHD")</f>
        <v>EUROFRESHD</v>
      </c>
      <c r="D380" s="75">
        <f>IFERROR(__xludf.DUMMYFUNCTION("""COMPUTED_VALUE"""),0.0)</f>
        <v>0</v>
      </c>
      <c r="E380" s="64"/>
      <c r="F380" s="95"/>
      <c r="G380" s="96"/>
      <c r="H380" s="64"/>
      <c r="I380" s="64"/>
      <c r="J380" s="64"/>
      <c r="K380" s="64"/>
      <c r="L380" s="64"/>
    </row>
    <row r="381" ht="16.5" customHeight="1">
      <c r="A381" s="64"/>
      <c r="B381" s="80" t="s">
        <v>18249</v>
      </c>
      <c r="C381" s="81" t="str">
        <f>IFERROR(__xludf.DUMMYFUNCTION("""COMPUTED_VALUE"""),"EU_Citizen2")</f>
        <v>EU_Citizen2</v>
      </c>
      <c r="D381" s="75">
        <f>IFERROR(__xludf.DUMMYFUNCTION("""COMPUTED_VALUE"""),0.0)</f>
        <v>0</v>
      </c>
      <c r="E381" s="64"/>
      <c r="F381" s="95"/>
      <c r="G381" s="96"/>
      <c r="H381" s="64"/>
      <c r="I381" s="64"/>
      <c r="J381" s="64"/>
      <c r="K381" s="64"/>
      <c r="L381" s="64"/>
    </row>
    <row r="382" ht="16.5" customHeight="1">
      <c r="A382" s="64"/>
      <c r="B382" s="80" t="s">
        <v>18249</v>
      </c>
      <c r="C382" s="81" t="str">
        <f>IFERROR(__xludf.DUMMYFUNCTION("""COMPUTED_VALUE"""),"EUtopean")</f>
        <v>EUtopean</v>
      </c>
      <c r="D382" s="75">
        <f>IFERROR(__xludf.DUMMYFUNCTION("""COMPUTED_VALUE"""),0.0)</f>
        <v>0</v>
      </c>
      <c r="E382" s="64"/>
      <c r="F382" s="95"/>
      <c r="G382" s="96"/>
      <c r="H382" s="64"/>
      <c r="I382" s="64"/>
      <c r="J382" s="64"/>
      <c r="K382" s="64"/>
      <c r="L382" s="64"/>
    </row>
    <row r="383" ht="16.5" customHeight="1">
      <c r="A383" s="64"/>
      <c r="B383" s="80" t="s">
        <v>18249</v>
      </c>
      <c r="C383" s="81" t="str">
        <f>IFERROR(__xludf.DUMMYFUNCTION("""COMPUTED_VALUE"""),"Eades_Tweets")</f>
        <v>Eades_Tweets</v>
      </c>
      <c r="D383" s="75">
        <f>IFERROR(__xludf.DUMMYFUNCTION("""COMPUTED_VALUE"""),0.0)</f>
        <v>0</v>
      </c>
      <c r="E383" s="64"/>
      <c r="F383" s="95"/>
      <c r="G383" s="96"/>
      <c r="H383" s="64"/>
      <c r="I383" s="64"/>
      <c r="J383" s="64"/>
      <c r="K383" s="64"/>
      <c r="L383" s="64"/>
    </row>
    <row r="384" ht="16.5" customHeight="1">
      <c r="A384" s="64"/>
      <c r="B384" s="80" t="s">
        <v>18249</v>
      </c>
      <c r="C384" s="81" t="str">
        <f>IFERROR(__xludf.DUMMYFUNCTION("""COMPUTED_VALUE"""),"EastKent_EM")</f>
        <v>EastKent_EM</v>
      </c>
      <c r="D384" s="75">
        <f>IFERROR(__xludf.DUMMYFUNCTION("""COMPUTED_VALUE"""),0.0)</f>
        <v>0</v>
      </c>
      <c r="E384" s="64"/>
      <c r="F384" s="95"/>
      <c r="G384" s="96"/>
      <c r="H384" s="64"/>
      <c r="I384" s="64"/>
      <c r="J384" s="64"/>
      <c r="K384" s="64"/>
      <c r="L384" s="64"/>
    </row>
    <row r="385" ht="16.5" customHeight="1">
      <c r="A385" s="64"/>
      <c r="B385" s="80" t="s">
        <v>18249</v>
      </c>
      <c r="C385" s="81" t="str">
        <f>IFERROR(__xludf.DUMMYFUNCTION("""COMPUTED_VALUE"""),"Eastwood12Colin")</f>
        <v>Eastwood12Colin</v>
      </c>
      <c r="D385" s="75">
        <f>IFERROR(__xludf.DUMMYFUNCTION("""COMPUTED_VALUE"""),0.0)</f>
        <v>0</v>
      </c>
      <c r="E385" s="64"/>
      <c r="F385" s="95"/>
      <c r="G385" s="96"/>
      <c r="H385" s="64"/>
      <c r="I385" s="64"/>
      <c r="J385" s="64"/>
      <c r="K385" s="64"/>
      <c r="L385" s="64"/>
    </row>
    <row r="386" ht="16.5" customHeight="1">
      <c r="A386" s="64"/>
      <c r="B386" s="80" t="s">
        <v>18249</v>
      </c>
      <c r="C386" s="81" t="str">
        <f>IFERROR(__xludf.DUMMYFUNCTION("""COMPUTED_VALUE"""),"EchoSerenityXb")</f>
        <v>EchoSerenityXb</v>
      </c>
      <c r="D386" s="75">
        <f>IFERROR(__xludf.DUMMYFUNCTION("""COMPUTED_VALUE"""),0.0)</f>
        <v>0</v>
      </c>
      <c r="E386" s="64"/>
      <c r="F386" s="95"/>
      <c r="G386" s="96"/>
      <c r="H386" s="64"/>
      <c r="I386" s="64"/>
      <c r="J386" s="64"/>
      <c r="K386" s="64"/>
      <c r="L386" s="64"/>
    </row>
    <row r="387" ht="16.5" customHeight="1">
      <c r="A387" s="64"/>
      <c r="B387" s="80" t="s">
        <v>18249</v>
      </c>
      <c r="C387" s="81" t="str">
        <f>IFERROR(__xludf.DUMMYFUNCTION("""COMPUTED_VALUE"""),"EdTruman3")</f>
        <v>EdTruman3</v>
      </c>
      <c r="D387" s="75">
        <f>IFERROR(__xludf.DUMMYFUNCTION("""COMPUTED_VALUE"""),0.0)</f>
        <v>0</v>
      </c>
      <c r="E387" s="64"/>
      <c r="F387" s="95"/>
      <c r="G387" s="96"/>
      <c r="H387" s="64"/>
      <c r="I387" s="64"/>
      <c r="J387" s="64"/>
      <c r="K387" s="64"/>
      <c r="L387" s="64"/>
    </row>
    <row r="388" ht="16.5" customHeight="1">
      <c r="A388" s="64"/>
      <c r="B388" s="80" t="s">
        <v>18249</v>
      </c>
      <c r="C388" s="81" t="str">
        <f>IFERROR(__xludf.DUMMYFUNCTION("""COMPUTED_VALUE"""),"EdWard40100035")</f>
        <v>EdWard40100035</v>
      </c>
      <c r="D388" s="75">
        <f>IFERROR(__xludf.DUMMYFUNCTION("""COMPUTED_VALUE"""),0.0)</f>
        <v>0</v>
      </c>
      <c r="E388" s="64"/>
      <c r="F388" s="95"/>
      <c r="G388" s="96"/>
      <c r="H388" s="64"/>
      <c r="I388" s="64"/>
      <c r="J388" s="64"/>
      <c r="K388" s="64"/>
      <c r="L388" s="64"/>
    </row>
    <row r="389" ht="16.5" customHeight="1">
      <c r="A389" s="64"/>
      <c r="B389" s="80" t="s">
        <v>18249</v>
      </c>
      <c r="C389" s="81" t="str">
        <f>IFERROR(__xludf.DUMMYFUNCTION("""COMPUTED_VALUE"""),"EddieDa18107857")</f>
        <v>EddieDa18107857</v>
      </c>
      <c r="D389" s="75">
        <f>IFERROR(__xludf.DUMMYFUNCTION("""COMPUTED_VALUE"""),0.0)</f>
        <v>0</v>
      </c>
      <c r="E389" s="64"/>
      <c r="F389" s="95"/>
      <c r="G389" s="96"/>
      <c r="H389" s="64"/>
      <c r="I389" s="64"/>
      <c r="J389" s="64"/>
      <c r="K389" s="64"/>
      <c r="L389" s="64"/>
    </row>
    <row r="390" ht="16.5" customHeight="1">
      <c r="A390" s="64"/>
      <c r="B390" s="80" t="s">
        <v>18249</v>
      </c>
      <c r="C390" s="81" t="str">
        <f>IFERROR(__xludf.DUMMYFUNCTION("""COMPUTED_VALUE"""),"Edinburgh4EU")</f>
        <v>Edinburgh4EU</v>
      </c>
      <c r="D390" s="75">
        <f>IFERROR(__xludf.DUMMYFUNCTION("""COMPUTED_VALUE"""),0.0)</f>
        <v>0</v>
      </c>
      <c r="E390" s="64"/>
      <c r="F390" s="95"/>
      <c r="G390" s="96"/>
      <c r="H390" s="64"/>
      <c r="I390" s="64"/>
      <c r="J390" s="64"/>
      <c r="K390" s="64"/>
      <c r="L390" s="64"/>
    </row>
    <row r="391" ht="16.5" customHeight="1">
      <c r="A391" s="64"/>
      <c r="B391" s="80" t="s">
        <v>18249</v>
      </c>
      <c r="C391" s="81" t="str">
        <f>IFERROR(__xludf.DUMMYFUNCTION("""COMPUTED_VALUE"""),"EggAlison")</f>
        <v>EggAlison</v>
      </c>
      <c r="D391" s="75">
        <f>IFERROR(__xludf.DUMMYFUNCTION("""COMPUTED_VALUE"""),0.0)</f>
        <v>0</v>
      </c>
      <c r="E391" s="64"/>
      <c r="F391" s="95"/>
      <c r="G391" s="96"/>
      <c r="H391" s="64"/>
      <c r="I391" s="64"/>
      <c r="J391" s="64"/>
      <c r="K391" s="64"/>
      <c r="L391" s="64"/>
    </row>
    <row r="392" ht="16.5" customHeight="1">
      <c r="A392" s="64"/>
      <c r="B392" s="80" t="s">
        <v>18249</v>
      </c>
      <c r="C392" s="81" t="str">
        <f>IFERROR(__xludf.DUMMYFUNCTION("""COMPUTED_VALUE"""),"ElaineMMilford1")</f>
        <v>ElaineMMilford1</v>
      </c>
      <c r="D392" s="75">
        <f>IFERROR(__xludf.DUMMYFUNCTION("""COMPUTED_VALUE"""),0.0)</f>
        <v>0</v>
      </c>
      <c r="E392" s="64"/>
      <c r="F392" s="95"/>
      <c r="G392" s="96"/>
      <c r="H392" s="64"/>
      <c r="I392" s="64"/>
      <c r="J392" s="64"/>
      <c r="K392" s="64"/>
      <c r="L392" s="64"/>
    </row>
    <row r="393" ht="16.5" customHeight="1">
      <c r="A393" s="64"/>
      <c r="B393" s="80" t="s">
        <v>18249</v>
      </c>
      <c r="C393" s="81" t="str">
        <f>IFERROR(__xludf.DUMMYFUNCTION("""COMPUTED_VALUE"""),"ElaineOkmolley")</f>
        <v>ElaineOkmolley</v>
      </c>
      <c r="D393" s="75">
        <f>IFERROR(__xludf.DUMMYFUNCTION("""COMPUTED_VALUE"""),0.0)</f>
        <v>0</v>
      </c>
      <c r="E393" s="64"/>
      <c r="F393" s="95"/>
      <c r="G393" s="96"/>
      <c r="H393" s="64"/>
      <c r="I393" s="64"/>
      <c r="J393" s="64"/>
      <c r="K393" s="64"/>
      <c r="L393" s="64"/>
    </row>
    <row r="394" ht="16.5" customHeight="1">
      <c r="A394" s="64"/>
      <c r="B394" s="80" t="s">
        <v>18249</v>
      </c>
      <c r="C394" s="81" t="str">
        <f>IFERROR(__xludf.DUMMYFUNCTION("""COMPUTED_VALUE"""),"Eleanor1026")</f>
        <v>Eleanor1026</v>
      </c>
      <c r="D394" s="75">
        <f>IFERROR(__xludf.DUMMYFUNCTION("""COMPUTED_VALUE"""),0.0)</f>
        <v>0</v>
      </c>
      <c r="E394" s="64"/>
      <c r="F394" s="95"/>
      <c r="G394" s="96"/>
      <c r="H394" s="64"/>
      <c r="I394" s="64"/>
      <c r="J394" s="64"/>
      <c r="K394" s="64"/>
      <c r="L394" s="64"/>
    </row>
    <row r="395" ht="16.5" customHeight="1">
      <c r="A395" s="64"/>
      <c r="B395" s="80" t="s">
        <v>18249</v>
      </c>
      <c r="C395" s="81" t="str">
        <f>IFERROR(__xludf.DUMMYFUNCTION("""COMPUTED_VALUE"""),"EliasMichalas")</f>
        <v>EliasMichalas</v>
      </c>
      <c r="D395" s="75">
        <f>IFERROR(__xludf.DUMMYFUNCTION("""COMPUTED_VALUE"""),0.0)</f>
        <v>0</v>
      </c>
      <c r="E395" s="64"/>
      <c r="F395" s="95"/>
      <c r="G395" s="96"/>
      <c r="H395" s="64"/>
      <c r="I395" s="64"/>
      <c r="J395" s="64"/>
      <c r="K395" s="64"/>
      <c r="L395" s="64"/>
    </row>
    <row r="396" ht="16.5" customHeight="1">
      <c r="A396" s="64"/>
      <c r="B396" s="80" t="s">
        <v>18249</v>
      </c>
      <c r="C396" s="81" t="str">
        <f>IFERROR(__xludf.DUMMYFUNCTION("""COMPUTED_VALUE"""),"ElizabethBangs")</f>
        <v>ElizabethBangs</v>
      </c>
      <c r="D396" s="75">
        <f>IFERROR(__xludf.DUMMYFUNCTION("""COMPUTED_VALUE"""),0.0)</f>
        <v>0</v>
      </c>
      <c r="E396" s="64"/>
      <c r="F396" s="95"/>
      <c r="G396" s="96"/>
      <c r="H396" s="64"/>
      <c r="I396" s="64"/>
      <c r="J396" s="64"/>
      <c r="K396" s="64"/>
      <c r="L396" s="64"/>
    </row>
    <row r="397" ht="16.5" customHeight="1">
      <c r="A397" s="64"/>
      <c r="B397" s="80" t="s">
        <v>18249</v>
      </c>
      <c r="C397" s="81" t="str">
        <f>IFERROR(__xludf.DUMMYFUNCTION("""COMPUTED_VALUE"""),"ElizeBiermann")</f>
        <v>ElizeBiermann</v>
      </c>
      <c r="D397" s="75">
        <f>IFERROR(__xludf.DUMMYFUNCTION("""COMPUTED_VALUE"""),0.0)</f>
        <v>0</v>
      </c>
      <c r="E397" s="64"/>
      <c r="F397" s="95"/>
      <c r="G397" s="96"/>
      <c r="H397" s="64"/>
      <c r="I397" s="64"/>
      <c r="J397" s="64"/>
      <c r="K397" s="64"/>
      <c r="L397" s="64"/>
    </row>
    <row r="398" ht="16.5" customHeight="1">
      <c r="A398" s="64"/>
      <c r="B398" s="80" t="s">
        <v>18249</v>
      </c>
      <c r="C398" s="81" t="str">
        <f>IFERROR(__xludf.DUMMYFUNCTION("""COMPUTED_VALUE"""),"ElliH53")</f>
        <v>ElliH53</v>
      </c>
      <c r="D398" s="75">
        <f>IFERROR(__xludf.DUMMYFUNCTION("""COMPUTED_VALUE"""),0.0)</f>
        <v>0</v>
      </c>
      <c r="E398" s="64"/>
      <c r="F398" s="95"/>
      <c r="G398" s="96"/>
      <c r="H398" s="64"/>
      <c r="I398" s="64"/>
      <c r="J398" s="64"/>
      <c r="K398" s="64"/>
      <c r="L398" s="64"/>
    </row>
    <row r="399" ht="16.5" customHeight="1">
      <c r="A399" s="64"/>
      <c r="B399" s="80" t="s">
        <v>18249</v>
      </c>
      <c r="C399" s="81" t="str">
        <f>IFERROR(__xludf.DUMMYFUNCTION("""COMPUTED_VALUE"""),"Emmacochrane9")</f>
        <v>Emmacochrane9</v>
      </c>
      <c r="D399" s="75">
        <f>IFERROR(__xludf.DUMMYFUNCTION("""COMPUTED_VALUE"""),0.0)</f>
        <v>0</v>
      </c>
      <c r="E399" s="64"/>
      <c r="F399" s="95"/>
      <c r="G399" s="96"/>
      <c r="H399" s="64"/>
      <c r="I399" s="64"/>
      <c r="J399" s="64"/>
      <c r="K399" s="64"/>
      <c r="L399" s="64"/>
    </row>
    <row r="400" ht="16.5" customHeight="1">
      <c r="A400" s="64"/>
      <c r="B400" s="80" t="s">
        <v>18249</v>
      </c>
      <c r="C400" s="81" t="str">
        <f>IFERROR(__xludf.DUMMYFUNCTION("""COMPUTED_VALUE"""),"Emmynance")</f>
        <v>Emmynance</v>
      </c>
      <c r="D400" s="75">
        <f>IFERROR(__xludf.DUMMYFUNCTION("""COMPUTED_VALUE"""),0.0)</f>
        <v>0</v>
      </c>
      <c r="E400" s="64"/>
      <c r="F400" s="95"/>
      <c r="G400" s="96"/>
      <c r="H400" s="64"/>
      <c r="I400" s="64"/>
      <c r="J400" s="64"/>
      <c r="K400" s="64"/>
      <c r="L400" s="64"/>
    </row>
    <row r="401" ht="16.5" customHeight="1">
      <c r="A401" s="64"/>
      <c r="B401" s="80" t="s">
        <v>18249</v>
      </c>
      <c r="C401" s="81" t="str">
        <f>IFERROR(__xludf.DUMMYFUNCTION("""COMPUTED_VALUE"""),"Emu52May")</f>
        <v>Emu52May</v>
      </c>
      <c r="D401" s="75">
        <f>IFERROR(__xludf.DUMMYFUNCTION("""COMPUTED_VALUE"""),0.0)</f>
        <v>0</v>
      </c>
      <c r="E401" s="64"/>
      <c r="F401" s="95"/>
      <c r="G401" s="96"/>
      <c r="H401" s="64"/>
      <c r="I401" s="64"/>
      <c r="J401" s="64"/>
      <c r="K401" s="64"/>
      <c r="L401" s="64"/>
    </row>
    <row r="402" ht="16.5" customHeight="1">
      <c r="A402" s="64"/>
      <c r="B402" s="80" t="s">
        <v>18249</v>
      </c>
      <c r="C402" s="81" t="str">
        <f>IFERROR(__xludf.DUMMYFUNCTION("""COMPUTED_VALUE"""),"EnglishNRomania")</f>
        <v>EnglishNRomania</v>
      </c>
      <c r="D402" s="75">
        <f>IFERROR(__xludf.DUMMYFUNCTION("""COMPUTED_VALUE"""),0.0)</f>
        <v>0</v>
      </c>
      <c r="E402" s="64"/>
      <c r="F402" s="95"/>
      <c r="G402" s="96"/>
      <c r="H402" s="64"/>
      <c r="I402" s="64"/>
      <c r="J402" s="64"/>
      <c r="K402" s="64"/>
      <c r="L402" s="64"/>
    </row>
    <row r="403" ht="16.5" customHeight="1">
      <c r="A403" s="64"/>
      <c r="B403" s="80" t="s">
        <v>18249</v>
      </c>
      <c r="C403" s="81" t="str">
        <f>IFERROR(__xludf.DUMMYFUNCTION("""COMPUTED_VALUE"""),"EnglishPablo")</f>
        <v>EnglishPablo</v>
      </c>
      <c r="D403" s="75">
        <f>IFERROR(__xludf.DUMMYFUNCTION("""COMPUTED_VALUE"""),0.0)</f>
        <v>0</v>
      </c>
      <c r="E403" s="64"/>
      <c r="F403" s="95"/>
      <c r="G403" s="96"/>
      <c r="H403" s="64"/>
      <c r="I403" s="64"/>
      <c r="J403" s="64"/>
      <c r="K403" s="64"/>
      <c r="L403" s="64"/>
    </row>
    <row r="404" ht="16.5" customHeight="1">
      <c r="A404" s="64"/>
      <c r="B404" s="80" t="s">
        <v>18249</v>
      </c>
      <c r="C404" s="81" t="str">
        <f>IFERROR(__xludf.DUMMYFUNCTION("""COMPUTED_VALUE"""),"Equilibria")</f>
        <v>Equilibria</v>
      </c>
      <c r="D404" s="75">
        <f>IFERROR(__xludf.DUMMYFUNCTION("""COMPUTED_VALUE"""),0.0)</f>
        <v>0</v>
      </c>
      <c r="E404" s="64"/>
      <c r="F404" s="95"/>
      <c r="G404" s="96"/>
      <c r="H404" s="64"/>
      <c r="I404" s="64"/>
      <c r="J404" s="64"/>
      <c r="K404" s="64"/>
      <c r="L404" s="64"/>
    </row>
    <row r="405" ht="16.5" customHeight="1">
      <c r="A405" s="64"/>
      <c r="B405" s="80" t="s">
        <v>18249</v>
      </c>
      <c r="C405" s="81" t="str">
        <f>IFERROR(__xludf.DUMMYFUNCTION("""COMPUTED_VALUE"""),"EssiemfWilson")</f>
        <v>EssiemfWilson</v>
      </c>
      <c r="D405" s="75">
        <f>IFERROR(__xludf.DUMMYFUNCTION("""COMPUTED_VALUE"""),0.0)</f>
        <v>0</v>
      </c>
      <c r="E405" s="64"/>
      <c r="F405" s="95"/>
      <c r="G405" s="96"/>
      <c r="H405" s="64"/>
      <c r="I405" s="64"/>
      <c r="J405" s="64"/>
      <c r="K405" s="64"/>
      <c r="L405" s="64"/>
    </row>
    <row r="406" ht="16.5" customHeight="1">
      <c r="A406" s="64"/>
      <c r="B406" s="80" t="s">
        <v>18249</v>
      </c>
      <c r="C406" s="81" t="str">
        <f>IFERROR(__xludf.DUMMYFUNCTION("""COMPUTED_VALUE"""),"EveCollen")</f>
        <v>EveCollen</v>
      </c>
      <c r="D406" s="75">
        <f>IFERROR(__xludf.DUMMYFUNCTION("""COMPUTED_VALUE"""),0.0)</f>
        <v>0</v>
      </c>
      <c r="E406" s="64"/>
      <c r="F406" s="95"/>
      <c r="G406" s="96"/>
      <c r="H406" s="64"/>
      <c r="I406" s="64"/>
      <c r="J406" s="64"/>
      <c r="K406" s="64"/>
      <c r="L406" s="64"/>
    </row>
    <row r="407" ht="16.5" customHeight="1">
      <c r="A407" s="64"/>
      <c r="B407" s="80" t="s">
        <v>18249</v>
      </c>
      <c r="C407" s="81" t="str">
        <f>IFERROR(__xludf.DUMMYFUNCTION("""COMPUTED_VALUE"""),"EveryDayTaiChi")</f>
        <v>EveryDayTaiChi</v>
      </c>
      <c r="D407" s="75">
        <f>IFERROR(__xludf.DUMMYFUNCTION("""COMPUTED_VALUE"""),0.0)</f>
        <v>0</v>
      </c>
      <c r="E407" s="64"/>
      <c r="F407" s="95"/>
      <c r="G407" s="96"/>
      <c r="H407" s="64"/>
      <c r="I407" s="64"/>
      <c r="J407" s="64"/>
      <c r="K407" s="64"/>
      <c r="L407" s="64"/>
    </row>
    <row r="408" ht="16.5" customHeight="1">
      <c r="A408" s="64"/>
      <c r="B408" s="80" t="s">
        <v>18249</v>
      </c>
      <c r="C408" s="81" t="str">
        <f>IFERROR(__xludf.DUMMYFUNCTION("""COMPUTED_VALUE"""),"EviePop2020")</f>
        <v>EviePop2020</v>
      </c>
      <c r="D408" s="75">
        <f>IFERROR(__xludf.DUMMYFUNCTION("""COMPUTED_VALUE"""),0.0)</f>
        <v>0</v>
      </c>
      <c r="E408" s="64"/>
      <c r="F408" s="95"/>
      <c r="G408" s="96"/>
      <c r="H408" s="64"/>
      <c r="I408" s="64"/>
      <c r="J408" s="64"/>
      <c r="K408" s="64"/>
      <c r="L408" s="64"/>
    </row>
    <row r="409" ht="16.5" customHeight="1">
      <c r="A409" s="64"/>
      <c r="B409" s="80" t="s">
        <v>18249</v>
      </c>
      <c r="C409" s="81" t="str">
        <f>IFERROR(__xludf.DUMMYFUNCTION("""COMPUTED_VALUE"""),"Evilgenius222")</f>
        <v>Evilgenius222</v>
      </c>
      <c r="D409" s="75">
        <f>IFERROR(__xludf.DUMMYFUNCTION("""COMPUTED_VALUE"""),0.0)</f>
        <v>0</v>
      </c>
      <c r="E409" s="64"/>
      <c r="F409" s="95"/>
      <c r="G409" s="96"/>
      <c r="H409" s="64"/>
      <c r="I409" s="64"/>
      <c r="J409" s="64"/>
      <c r="K409" s="64"/>
      <c r="L409" s="64"/>
    </row>
    <row r="410" ht="16.5" customHeight="1">
      <c r="A410" s="64"/>
      <c r="B410" s="80" t="s">
        <v>18249</v>
      </c>
      <c r="C410" s="81" t="str">
        <f>IFERROR(__xludf.DUMMYFUNCTION("""COMPUTED_VALUE"""),"Ewa70327182")</f>
        <v>Ewa70327182</v>
      </c>
      <c r="D410" s="75">
        <f>IFERROR(__xludf.DUMMYFUNCTION("""COMPUTED_VALUE"""),0.0)</f>
        <v>0</v>
      </c>
      <c r="E410" s="64"/>
      <c r="F410" s="95"/>
      <c r="G410" s="96"/>
      <c r="H410" s="64"/>
      <c r="I410" s="64"/>
      <c r="J410" s="64"/>
      <c r="K410" s="64"/>
      <c r="L410" s="64"/>
    </row>
    <row r="411" ht="16.5" customHeight="1">
      <c r="A411" s="64"/>
      <c r="B411" s="80" t="s">
        <v>18249</v>
      </c>
      <c r="C411" s="81" t="str">
        <f>IFERROR(__xludf.DUMMYFUNCTION("""COMPUTED_VALUE"""),"ExasperatedTory")</f>
        <v>ExasperatedTory</v>
      </c>
      <c r="D411" s="75">
        <f>IFERROR(__xludf.DUMMYFUNCTION("""COMPUTED_VALUE"""),0.0)</f>
        <v>0</v>
      </c>
      <c r="E411" s="64"/>
      <c r="F411" s="95"/>
      <c r="G411" s="96"/>
      <c r="H411" s="64"/>
      <c r="I411" s="64"/>
      <c r="J411" s="64"/>
      <c r="K411" s="64"/>
      <c r="L411" s="64"/>
    </row>
    <row r="412" ht="16.5" customHeight="1">
      <c r="A412" s="64"/>
      <c r="B412" s="80" t="s">
        <v>18249</v>
      </c>
      <c r="C412" s="81" t="str">
        <f>IFERROR(__xludf.DUMMYFUNCTION("""COMPUTED_VALUE"""),"Exiled_B")</f>
        <v>Exiled_B</v>
      </c>
      <c r="D412" s="75">
        <f>IFERROR(__xludf.DUMMYFUNCTION("""COMPUTED_VALUE"""),0.0)</f>
        <v>0</v>
      </c>
      <c r="E412" s="64"/>
      <c r="F412" s="95"/>
      <c r="G412" s="96"/>
      <c r="H412" s="64"/>
      <c r="I412" s="64"/>
      <c r="J412" s="64"/>
      <c r="K412" s="64"/>
      <c r="L412" s="64"/>
    </row>
    <row r="413" ht="16.5" customHeight="1">
      <c r="A413" s="64"/>
      <c r="B413" s="80" t="s">
        <v>18249</v>
      </c>
      <c r="C413" s="81" t="str">
        <f>IFERROR(__xludf.DUMMYFUNCTION("""COMPUTED_VALUE"""),"FBM_MidStaffs")</f>
        <v>FBM_MidStaffs</v>
      </c>
      <c r="D413" s="75">
        <f>IFERROR(__xludf.DUMMYFUNCTION("""COMPUTED_VALUE"""),0.0)</f>
        <v>0</v>
      </c>
      <c r="E413" s="64"/>
      <c r="F413" s="95"/>
      <c r="G413" s="96"/>
      <c r="H413" s="64"/>
      <c r="I413" s="64"/>
      <c r="J413" s="64"/>
      <c r="K413" s="64"/>
      <c r="L413" s="64"/>
    </row>
    <row r="414" ht="16.5" customHeight="1">
      <c r="A414" s="64"/>
      <c r="B414" s="80" t="s">
        <v>18249</v>
      </c>
      <c r="C414" s="81" t="str">
        <f>IFERROR(__xludf.DUMMYFUNCTION("""COMPUTED_VALUE"""),"FJ731")</f>
        <v>FJ731</v>
      </c>
      <c r="D414" s="75">
        <f>IFERROR(__xludf.DUMMYFUNCTION("""COMPUTED_VALUE"""),0.0)</f>
        <v>0</v>
      </c>
      <c r="E414" s="64"/>
      <c r="F414" s="95"/>
      <c r="G414" s="96"/>
      <c r="H414" s="64"/>
      <c r="I414" s="64"/>
      <c r="J414" s="64"/>
      <c r="K414" s="64"/>
      <c r="L414" s="64"/>
    </row>
    <row r="415" ht="16.5" customHeight="1">
      <c r="A415" s="64"/>
      <c r="B415" s="80" t="s">
        <v>18249</v>
      </c>
      <c r="C415" s="81" t="str">
        <f>IFERROR(__xludf.DUMMYFUNCTION("""COMPUTED_VALUE"""),"FXspacetrader")</f>
        <v>FXspacetrader</v>
      </c>
      <c r="D415" s="75">
        <f>IFERROR(__xludf.DUMMYFUNCTION("""COMPUTED_VALUE"""),0.0)</f>
        <v>0</v>
      </c>
      <c r="E415" s="64"/>
      <c r="F415" s="95"/>
      <c r="G415" s="96"/>
      <c r="H415" s="64"/>
      <c r="I415" s="64"/>
      <c r="J415" s="64"/>
      <c r="K415" s="64"/>
      <c r="L415" s="64"/>
    </row>
    <row r="416" ht="16.5" customHeight="1">
      <c r="A416" s="64"/>
      <c r="B416" s="80" t="s">
        <v>18249</v>
      </c>
      <c r="C416" s="81" t="str">
        <f>IFERROR(__xludf.DUMMYFUNCTION("""COMPUTED_VALUE"""),"FXstreetNews")</f>
        <v>FXstreetNews</v>
      </c>
      <c r="D416" s="75">
        <f>IFERROR(__xludf.DUMMYFUNCTION("""COMPUTED_VALUE"""),0.0)</f>
        <v>0</v>
      </c>
      <c r="E416" s="64"/>
      <c r="F416" s="95"/>
      <c r="G416" s="96"/>
      <c r="H416" s="64"/>
      <c r="I416" s="64"/>
      <c r="J416" s="64"/>
      <c r="K416" s="64"/>
      <c r="L416" s="64"/>
    </row>
    <row r="417" ht="16.5" customHeight="1">
      <c r="A417" s="64"/>
      <c r="B417" s="80" t="s">
        <v>18249</v>
      </c>
      <c r="C417" s="81" t="str">
        <f>IFERROR(__xludf.DUMMYFUNCTION("""COMPUTED_VALUE"""),"Factanonverba73")</f>
        <v>Factanonverba73</v>
      </c>
      <c r="D417" s="75">
        <f>IFERROR(__xludf.DUMMYFUNCTION("""COMPUTED_VALUE"""),0.0)</f>
        <v>0</v>
      </c>
      <c r="E417" s="64"/>
      <c r="F417" s="95"/>
      <c r="G417" s="96"/>
      <c r="H417" s="64"/>
      <c r="I417" s="64"/>
      <c r="J417" s="64"/>
      <c r="K417" s="64"/>
      <c r="L417" s="64"/>
    </row>
    <row r="418" ht="16.5" customHeight="1">
      <c r="A418" s="64"/>
      <c r="B418" s="80" t="s">
        <v>18249</v>
      </c>
      <c r="C418" s="81" t="str">
        <f>IFERROR(__xludf.DUMMYFUNCTION("""COMPUTED_VALUE"""),"Facts4euOrg")</f>
        <v>Facts4euOrg</v>
      </c>
      <c r="D418" s="75">
        <f>IFERROR(__xludf.DUMMYFUNCTION("""COMPUTED_VALUE"""),0.0)</f>
        <v>0</v>
      </c>
      <c r="E418" s="64"/>
      <c r="F418" s="95"/>
      <c r="G418" s="96"/>
      <c r="H418" s="64"/>
      <c r="I418" s="64"/>
      <c r="J418" s="64"/>
      <c r="K418" s="64"/>
      <c r="L418" s="64"/>
    </row>
    <row r="419" ht="16.5" customHeight="1">
      <c r="A419" s="64"/>
      <c r="B419" s="80" t="s">
        <v>18249</v>
      </c>
      <c r="C419" s="81" t="str">
        <f>IFERROR(__xludf.DUMMYFUNCTION("""COMPUTED_VALUE"""),"FalcoScuderia")</f>
        <v>FalcoScuderia</v>
      </c>
      <c r="D419" s="75">
        <f>IFERROR(__xludf.DUMMYFUNCTION("""COMPUTED_VALUE"""),0.0)</f>
        <v>0</v>
      </c>
      <c r="E419" s="64"/>
      <c r="F419" s="95"/>
      <c r="G419" s="96"/>
      <c r="H419" s="64"/>
      <c r="I419" s="64"/>
      <c r="J419" s="64"/>
      <c r="K419" s="64"/>
      <c r="L419" s="64"/>
    </row>
    <row r="420" ht="16.5" customHeight="1">
      <c r="A420" s="64"/>
      <c r="B420" s="80" t="s">
        <v>18249</v>
      </c>
      <c r="C420" s="81" t="str">
        <f>IFERROR(__xludf.DUMMYFUNCTION("""COMPUTED_VALUE"""),"Familist")</f>
        <v>Familist</v>
      </c>
      <c r="D420" s="75">
        <f>IFERROR(__xludf.DUMMYFUNCTION("""COMPUTED_VALUE"""),0.0)</f>
        <v>0</v>
      </c>
      <c r="E420" s="64"/>
      <c r="F420" s="95"/>
      <c r="G420" s="96"/>
      <c r="H420" s="64"/>
      <c r="I420" s="64"/>
      <c r="J420" s="64"/>
      <c r="K420" s="64"/>
      <c r="L420" s="64"/>
    </row>
    <row r="421" ht="16.5" customHeight="1">
      <c r="A421" s="64"/>
      <c r="B421" s="80" t="s">
        <v>18249</v>
      </c>
      <c r="C421" s="81" t="str">
        <f>IFERROR(__xludf.DUMMYFUNCTION("""COMPUTED_VALUE"""),"FatimaDuerden")</f>
        <v>FatimaDuerden</v>
      </c>
      <c r="D421" s="75">
        <f>IFERROR(__xludf.DUMMYFUNCTION("""COMPUTED_VALUE"""),0.0)</f>
        <v>0</v>
      </c>
      <c r="E421" s="64"/>
      <c r="F421" s="95"/>
      <c r="G421" s="96"/>
      <c r="H421" s="64"/>
      <c r="I421" s="64"/>
      <c r="J421" s="64"/>
      <c r="K421" s="64"/>
      <c r="L421" s="64"/>
    </row>
    <row r="422" ht="16.5" customHeight="1">
      <c r="A422" s="64"/>
      <c r="B422" s="80" t="s">
        <v>18249</v>
      </c>
      <c r="C422" s="81" t="str">
        <f>IFERROR(__xludf.DUMMYFUNCTION("""COMPUTED_VALUE"""),"FbpePiste")</f>
        <v>FbpePiste</v>
      </c>
      <c r="D422" s="75">
        <f>IFERROR(__xludf.DUMMYFUNCTION("""COMPUTED_VALUE"""),0.0)</f>
        <v>0</v>
      </c>
      <c r="E422" s="64"/>
      <c r="F422" s="95"/>
      <c r="G422" s="96"/>
      <c r="H422" s="64"/>
      <c r="I422" s="64"/>
      <c r="J422" s="64"/>
      <c r="K422" s="64"/>
      <c r="L422" s="64"/>
    </row>
    <row r="423" ht="16.5" customHeight="1">
      <c r="A423" s="64"/>
      <c r="B423" s="80" t="s">
        <v>18249</v>
      </c>
      <c r="C423" s="81" t="str">
        <f>IFERROR(__xludf.DUMMYFUNCTION("""COMPUTED_VALUE"""),"FergusNolan2000")</f>
        <v>FergusNolan2000</v>
      </c>
      <c r="D423" s="75">
        <f>IFERROR(__xludf.DUMMYFUNCTION("""COMPUTED_VALUE"""),0.0)</f>
        <v>0</v>
      </c>
      <c r="E423" s="64"/>
      <c r="F423" s="95"/>
      <c r="G423" s="96"/>
      <c r="H423" s="64"/>
      <c r="I423" s="64"/>
      <c r="J423" s="64"/>
      <c r="K423" s="64"/>
      <c r="L423" s="64"/>
    </row>
    <row r="424" ht="16.5" customHeight="1">
      <c r="A424" s="64"/>
      <c r="B424" s="80" t="s">
        <v>18249</v>
      </c>
      <c r="C424" s="81" t="str">
        <f>IFERROR(__xludf.DUMMYFUNCTION("""COMPUTED_VALUE"""),"FerriereMaryse")</f>
        <v>FerriereMaryse</v>
      </c>
      <c r="D424" s="75">
        <f>IFERROR(__xludf.DUMMYFUNCTION("""COMPUTED_VALUE"""),0.0)</f>
        <v>0</v>
      </c>
      <c r="E424" s="64"/>
      <c r="F424" s="95"/>
      <c r="G424" s="96"/>
      <c r="H424" s="64"/>
      <c r="I424" s="64"/>
      <c r="J424" s="64"/>
      <c r="K424" s="64"/>
      <c r="L424" s="64"/>
    </row>
    <row r="425" ht="16.5" customHeight="1">
      <c r="A425" s="64"/>
      <c r="B425" s="80" t="s">
        <v>18249</v>
      </c>
      <c r="C425" s="81" t="str">
        <f>IFERROR(__xludf.DUMMYFUNCTION("""COMPUTED_VALUE"""),"Fifilefluffter")</f>
        <v>Fifilefluffter</v>
      </c>
      <c r="D425" s="75">
        <f>IFERROR(__xludf.DUMMYFUNCTION("""COMPUTED_VALUE"""),0.0)</f>
        <v>0</v>
      </c>
      <c r="E425" s="64"/>
      <c r="F425" s="95"/>
      <c r="G425" s="96"/>
      <c r="H425" s="64"/>
      <c r="I425" s="64"/>
      <c r="J425" s="64"/>
      <c r="K425" s="64"/>
      <c r="L425" s="64"/>
    </row>
    <row r="426" ht="16.5" customHeight="1">
      <c r="A426" s="64"/>
      <c r="B426" s="80" t="s">
        <v>18249</v>
      </c>
      <c r="C426" s="81" t="str">
        <f>IFERROR(__xludf.DUMMYFUNCTION("""COMPUTED_VALUE"""),"FionaGreenfield")</f>
        <v>FionaGreenfield</v>
      </c>
      <c r="D426" s="75">
        <f>IFERROR(__xludf.DUMMYFUNCTION("""COMPUTED_VALUE"""),0.0)</f>
        <v>0</v>
      </c>
      <c r="E426" s="64"/>
      <c r="F426" s="95"/>
      <c r="G426" s="96"/>
      <c r="H426" s="64"/>
      <c r="I426" s="64"/>
      <c r="J426" s="64"/>
      <c r="K426" s="64"/>
      <c r="L426" s="64"/>
    </row>
    <row r="427" ht="16.5" customHeight="1">
      <c r="A427" s="64"/>
      <c r="B427" s="80" t="s">
        <v>18249</v>
      </c>
      <c r="C427" s="81" t="str">
        <f>IFERROR(__xludf.DUMMYFUNCTION("""COMPUTED_VALUE"""),"FionaMc90085949")</f>
        <v>FionaMc90085949</v>
      </c>
      <c r="D427" s="75">
        <f>IFERROR(__xludf.DUMMYFUNCTION("""COMPUTED_VALUE"""),0.0)</f>
        <v>0</v>
      </c>
      <c r="E427" s="64"/>
      <c r="F427" s="95"/>
      <c r="G427" s="96"/>
      <c r="H427" s="64"/>
      <c r="I427" s="64"/>
      <c r="J427" s="64"/>
      <c r="K427" s="64"/>
      <c r="L427" s="64"/>
    </row>
    <row r="428" ht="16.5" customHeight="1">
      <c r="A428" s="64"/>
      <c r="B428" s="80" t="s">
        <v>18249</v>
      </c>
      <c r="C428" s="81" t="str">
        <f>IFERROR(__xludf.DUMMYFUNCTION("""COMPUTED_VALUE"""),"Fionawinters6")</f>
        <v>Fionawinters6</v>
      </c>
      <c r="D428" s="75">
        <f>IFERROR(__xludf.DUMMYFUNCTION("""COMPUTED_VALUE"""),0.0)</f>
        <v>0</v>
      </c>
      <c r="E428" s="64"/>
      <c r="F428" s="95"/>
      <c r="G428" s="96"/>
      <c r="H428" s="64"/>
      <c r="I428" s="64"/>
      <c r="J428" s="64"/>
      <c r="K428" s="64"/>
      <c r="L428" s="64"/>
    </row>
    <row r="429" ht="16.5" customHeight="1">
      <c r="A429" s="64"/>
      <c r="B429" s="80" t="s">
        <v>18249</v>
      </c>
      <c r="C429" s="81" t="str">
        <f>IFERROR(__xludf.DUMMYFUNCTION("""COMPUTED_VALUE"""),"Fionna6669")</f>
        <v>Fionna6669</v>
      </c>
      <c r="D429" s="75">
        <f>IFERROR(__xludf.DUMMYFUNCTION("""COMPUTED_VALUE"""),0.0)</f>
        <v>0</v>
      </c>
      <c r="E429" s="64"/>
      <c r="F429" s="95"/>
      <c r="G429" s="96"/>
      <c r="H429" s="64"/>
      <c r="I429" s="64"/>
      <c r="J429" s="64"/>
      <c r="K429" s="64"/>
      <c r="L429" s="64"/>
    </row>
    <row r="430" ht="16.5" customHeight="1">
      <c r="A430" s="64"/>
      <c r="B430" s="80" t="s">
        <v>18249</v>
      </c>
      <c r="C430" s="81" t="str">
        <f>IFERROR(__xludf.DUMMYFUNCTION("""COMPUTED_VALUE"""),"FirstLa14340074")</f>
        <v>FirstLa14340074</v>
      </c>
      <c r="D430" s="75">
        <f>IFERROR(__xludf.DUMMYFUNCTION("""COMPUTED_VALUE"""),0.0)</f>
        <v>0</v>
      </c>
      <c r="E430" s="64"/>
      <c r="F430" s="95"/>
      <c r="G430" s="96"/>
      <c r="H430" s="64"/>
      <c r="I430" s="64"/>
      <c r="J430" s="64"/>
      <c r="K430" s="64"/>
      <c r="L430" s="64"/>
    </row>
    <row r="431" ht="16.5" customHeight="1">
      <c r="A431" s="64"/>
      <c r="B431" s="80" t="s">
        <v>18249</v>
      </c>
      <c r="C431" s="81" t="str">
        <f>IFERROR(__xludf.DUMMYFUNCTION("""COMPUTED_VALUE"""),"Fishion1")</f>
        <v>Fishion1</v>
      </c>
      <c r="D431" s="75">
        <f>IFERROR(__xludf.DUMMYFUNCTION("""COMPUTED_VALUE"""),0.0)</f>
        <v>0</v>
      </c>
      <c r="E431" s="64"/>
      <c r="F431" s="95"/>
      <c r="G431" s="96"/>
      <c r="H431" s="64"/>
      <c r="I431" s="64"/>
      <c r="J431" s="64"/>
      <c r="K431" s="64"/>
      <c r="L431" s="64"/>
    </row>
    <row r="432" ht="16.5" customHeight="1">
      <c r="A432" s="64"/>
      <c r="B432" s="80" t="s">
        <v>18249</v>
      </c>
      <c r="C432" s="81" t="str">
        <f>IFERROR(__xludf.DUMMYFUNCTION("""COMPUTED_VALUE"""),"Fitness4London")</f>
        <v>Fitness4London</v>
      </c>
      <c r="D432" s="75">
        <f>IFERROR(__xludf.DUMMYFUNCTION("""COMPUTED_VALUE"""),0.0)</f>
        <v>0</v>
      </c>
      <c r="E432" s="64"/>
      <c r="F432" s="95"/>
      <c r="G432" s="96"/>
      <c r="H432" s="64"/>
      <c r="I432" s="64"/>
      <c r="J432" s="64"/>
      <c r="K432" s="64"/>
      <c r="L432" s="64"/>
    </row>
    <row r="433" ht="16.5" customHeight="1">
      <c r="A433" s="64"/>
      <c r="B433" s="80" t="s">
        <v>18249</v>
      </c>
      <c r="C433" s="81" t="str">
        <f>IFERROR(__xludf.DUMMYFUNCTION("""COMPUTED_VALUE"""),"FitzioJ")</f>
        <v>FitzioJ</v>
      </c>
      <c r="D433" s="75">
        <f>IFERROR(__xludf.DUMMYFUNCTION("""COMPUTED_VALUE"""),0.0)</f>
        <v>0</v>
      </c>
      <c r="E433" s="64"/>
      <c r="F433" s="95"/>
      <c r="G433" s="96"/>
      <c r="H433" s="64"/>
      <c r="I433" s="64"/>
      <c r="J433" s="64"/>
      <c r="K433" s="64"/>
      <c r="L433" s="64"/>
    </row>
    <row r="434" ht="16.5" customHeight="1">
      <c r="A434" s="64"/>
      <c r="B434" s="80" t="s">
        <v>18249</v>
      </c>
      <c r="C434" s="81" t="str">
        <f>IFERROR(__xludf.DUMMYFUNCTION("""COMPUTED_VALUE"""),"FloGallien")</f>
        <v>FloGallien</v>
      </c>
      <c r="D434" s="75">
        <f>IFERROR(__xludf.DUMMYFUNCTION("""COMPUTED_VALUE"""),0.0)</f>
        <v>0</v>
      </c>
      <c r="E434" s="64"/>
      <c r="F434" s="95"/>
      <c r="G434" s="96"/>
      <c r="H434" s="64"/>
      <c r="I434" s="64"/>
      <c r="J434" s="64"/>
      <c r="K434" s="64"/>
      <c r="L434" s="64"/>
    </row>
    <row r="435" ht="16.5" customHeight="1">
      <c r="A435" s="64"/>
      <c r="B435" s="80" t="s">
        <v>18249</v>
      </c>
      <c r="C435" s="81" t="str">
        <f>IFERROR(__xludf.DUMMYFUNCTION("""COMPUTED_VALUE"""),"FoxeGuido")</f>
        <v>FoxeGuido</v>
      </c>
      <c r="D435" s="75">
        <f>IFERROR(__xludf.DUMMYFUNCTION("""COMPUTED_VALUE"""),0.0)</f>
        <v>0</v>
      </c>
      <c r="E435" s="64"/>
      <c r="F435" s="95"/>
      <c r="G435" s="96"/>
      <c r="H435" s="64"/>
      <c r="I435" s="64"/>
      <c r="J435" s="64"/>
      <c r="K435" s="64"/>
      <c r="L435" s="64"/>
    </row>
    <row r="436" ht="16.5" customHeight="1">
      <c r="A436" s="64"/>
      <c r="B436" s="80" t="s">
        <v>18249</v>
      </c>
      <c r="C436" s="81" t="str">
        <f>IFERROR(__xludf.DUMMYFUNCTION("""COMPUTED_VALUE"""),"FoxonFrancoise")</f>
        <v>FoxonFrancoise</v>
      </c>
      <c r="D436" s="75">
        <f>IFERROR(__xludf.DUMMYFUNCTION("""COMPUTED_VALUE"""),0.0)</f>
        <v>0</v>
      </c>
      <c r="E436" s="64"/>
      <c r="F436" s="95"/>
      <c r="G436" s="96"/>
      <c r="H436" s="64"/>
      <c r="I436" s="64"/>
      <c r="J436" s="64"/>
      <c r="K436" s="64"/>
      <c r="L436" s="64"/>
    </row>
    <row r="437" ht="16.5" customHeight="1">
      <c r="A437" s="64"/>
      <c r="B437" s="80" t="s">
        <v>18249</v>
      </c>
      <c r="C437" s="81" t="str">
        <f>IFERROR(__xludf.DUMMYFUNCTION("""COMPUTED_VALUE"""),"FranNantongwe")</f>
        <v>FranNantongwe</v>
      </c>
      <c r="D437" s="75">
        <f>IFERROR(__xludf.DUMMYFUNCTION("""COMPUTED_VALUE"""),0.0)</f>
        <v>0</v>
      </c>
      <c r="E437" s="64"/>
      <c r="F437" s="95"/>
      <c r="G437" s="96"/>
      <c r="H437" s="64"/>
      <c r="I437" s="64"/>
      <c r="J437" s="64"/>
      <c r="K437" s="64"/>
      <c r="L437" s="64"/>
    </row>
    <row r="438" ht="16.5" customHeight="1">
      <c r="A438" s="64"/>
      <c r="B438" s="80" t="s">
        <v>18249</v>
      </c>
      <c r="C438" s="81" t="str">
        <f>IFERROR(__xludf.DUMMYFUNCTION("""COMPUTED_VALUE"""),"FranannigansD")</f>
        <v>FranannigansD</v>
      </c>
      <c r="D438" s="75">
        <f>IFERROR(__xludf.DUMMYFUNCTION("""COMPUTED_VALUE"""),0.0)</f>
        <v>0</v>
      </c>
      <c r="E438" s="64"/>
      <c r="F438" s="95"/>
      <c r="G438" s="96"/>
      <c r="H438" s="64"/>
      <c r="I438" s="64"/>
      <c r="J438" s="64"/>
      <c r="K438" s="64"/>
      <c r="L438" s="64"/>
    </row>
    <row r="439" ht="16.5" customHeight="1">
      <c r="A439" s="64"/>
      <c r="B439" s="80" t="s">
        <v>18249</v>
      </c>
      <c r="C439" s="81" t="str">
        <f>IFERROR(__xludf.DUMMYFUNCTION("""COMPUTED_VALUE"""),"Francis72035738")</f>
        <v>Francis72035738</v>
      </c>
      <c r="D439" s="75">
        <f>IFERROR(__xludf.DUMMYFUNCTION("""COMPUTED_VALUE"""),0.0)</f>
        <v>0</v>
      </c>
      <c r="E439" s="64"/>
      <c r="F439" s="95"/>
      <c r="G439" s="96"/>
      <c r="H439" s="64"/>
      <c r="I439" s="64"/>
      <c r="J439" s="64"/>
      <c r="K439" s="64"/>
      <c r="L439" s="64"/>
    </row>
    <row r="440" ht="16.5" customHeight="1">
      <c r="A440" s="64"/>
      <c r="B440" s="80" t="s">
        <v>18249</v>
      </c>
      <c r="C440" s="81" t="str">
        <f>IFERROR(__xludf.DUMMYFUNCTION("""COMPUTED_VALUE"""),"FrancisMArtUK")</f>
        <v>FrancisMArtUK</v>
      </c>
      <c r="D440" s="75">
        <f>IFERROR(__xludf.DUMMYFUNCTION("""COMPUTED_VALUE"""),0.0)</f>
        <v>0</v>
      </c>
      <c r="E440" s="64"/>
      <c r="F440" s="95"/>
      <c r="G440" s="96"/>
      <c r="H440" s="64"/>
      <c r="I440" s="64"/>
      <c r="J440" s="64"/>
      <c r="K440" s="64"/>
      <c r="L440" s="64"/>
    </row>
    <row r="441" ht="16.5" customHeight="1">
      <c r="A441" s="64"/>
      <c r="B441" s="80" t="s">
        <v>18249</v>
      </c>
      <c r="C441" s="81" t="str">
        <f>IFERROR(__xludf.DUMMYFUNCTION("""COMPUTED_VALUE"""),"FrankSt34499711")</f>
        <v>FrankSt34499711</v>
      </c>
      <c r="D441" s="75">
        <f>IFERROR(__xludf.DUMMYFUNCTION("""COMPUTED_VALUE"""),0.0)</f>
        <v>0</v>
      </c>
      <c r="E441" s="64"/>
      <c r="F441" s="95"/>
      <c r="G441" s="96"/>
      <c r="H441" s="64"/>
      <c r="I441" s="64"/>
      <c r="J441" s="64"/>
      <c r="K441" s="64"/>
      <c r="L441" s="64"/>
    </row>
    <row r="442" ht="16.5" customHeight="1">
      <c r="A442" s="64"/>
      <c r="B442" s="80" t="s">
        <v>18249</v>
      </c>
      <c r="C442" s="81" t="str">
        <f>IFERROR(__xludf.DUMMYFUNCTION("""COMPUTED_VALUE"""),"FrannyHP")</f>
        <v>FrannyHP</v>
      </c>
      <c r="D442" s="75">
        <f>IFERROR(__xludf.DUMMYFUNCTION("""COMPUTED_VALUE"""),0.0)</f>
        <v>0</v>
      </c>
      <c r="E442" s="64"/>
      <c r="F442" s="95"/>
      <c r="G442" s="96"/>
      <c r="H442" s="64"/>
      <c r="I442" s="64"/>
      <c r="J442" s="64"/>
      <c r="K442" s="64"/>
      <c r="L442" s="64"/>
    </row>
    <row r="443" ht="16.5" customHeight="1">
      <c r="A443" s="64"/>
      <c r="B443" s="80" t="s">
        <v>18249</v>
      </c>
      <c r="C443" s="81" t="str">
        <f>IFERROR(__xludf.DUMMYFUNCTION("""COMPUTED_VALUE"""),"Frasier67Blank")</f>
        <v>Frasier67Blank</v>
      </c>
      <c r="D443" s="75">
        <f>IFERROR(__xludf.DUMMYFUNCTION("""COMPUTED_VALUE"""),0.0)</f>
        <v>0</v>
      </c>
      <c r="E443" s="64"/>
      <c r="F443" s="95"/>
      <c r="G443" s="96"/>
      <c r="H443" s="64"/>
      <c r="I443" s="64"/>
      <c r="J443" s="64"/>
      <c r="K443" s="64"/>
      <c r="L443" s="64"/>
    </row>
    <row r="444" ht="16.5" customHeight="1">
      <c r="A444" s="64"/>
      <c r="B444" s="80" t="s">
        <v>18249</v>
      </c>
      <c r="C444" s="81" t="str">
        <f>IFERROR(__xludf.DUMMYFUNCTION("""COMPUTED_VALUE"""),"Frederi00431818")</f>
        <v>Frederi00431818</v>
      </c>
      <c r="D444" s="75">
        <f>IFERROR(__xludf.DUMMYFUNCTION("""COMPUTED_VALUE"""),0.0)</f>
        <v>0</v>
      </c>
      <c r="E444" s="64"/>
      <c r="F444" s="95"/>
      <c r="G444" s="96"/>
      <c r="H444" s="64"/>
      <c r="I444" s="64"/>
      <c r="J444" s="64"/>
      <c r="K444" s="64"/>
      <c r="L444" s="64"/>
    </row>
    <row r="445" ht="16.5" customHeight="1">
      <c r="A445" s="64"/>
      <c r="B445" s="80" t="s">
        <v>18249</v>
      </c>
      <c r="C445" s="81" t="str">
        <f>IFERROR(__xludf.DUMMYFUNCTION("""COMPUTED_VALUE"""),"FreeBritain")</f>
        <v>FreeBritain</v>
      </c>
      <c r="D445" s="75">
        <f>IFERROR(__xludf.DUMMYFUNCTION("""COMPUTED_VALUE"""),0.0)</f>
        <v>0</v>
      </c>
      <c r="E445" s="64"/>
      <c r="F445" s="95"/>
      <c r="G445" s="96"/>
      <c r="H445" s="64"/>
      <c r="I445" s="64"/>
      <c r="J445" s="64"/>
      <c r="K445" s="64"/>
      <c r="L445" s="64"/>
    </row>
    <row r="446" ht="16.5" customHeight="1">
      <c r="A446" s="64"/>
      <c r="B446" s="80" t="s">
        <v>18249</v>
      </c>
      <c r="C446" s="81" t="str">
        <f>IFERROR(__xludf.DUMMYFUNCTION("""COMPUTED_VALUE"""),"FsmDog")</f>
        <v>FsmDog</v>
      </c>
      <c r="D446" s="75">
        <f>IFERROR(__xludf.DUMMYFUNCTION("""COMPUTED_VALUE"""),0.0)</f>
        <v>0</v>
      </c>
      <c r="E446" s="64"/>
      <c r="F446" s="95"/>
      <c r="G446" s="96"/>
      <c r="H446" s="64"/>
      <c r="I446" s="64"/>
      <c r="J446" s="64"/>
      <c r="K446" s="64"/>
      <c r="L446" s="64"/>
    </row>
    <row r="447" ht="16.5" customHeight="1">
      <c r="A447" s="64"/>
      <c r="B447" s="80" t="s">
        <v>18249</v>
      </c>
      <c r="C447" s="81" t="str">
        <f>IFERROR(__xludf.DUMMYFUNCTION("""COMPUTED_VALUE"""),"FunnyPeculiarF5")</f>
        <v>FunnyPeculiarF5</v>
      </c>
      <c r="D447" s="75">
        <f>IFERROR(__xludf.DUMMYFUNCTION("""COMPUTED_VALUE"""),0.0)</f>
        <v>0</v>
      </c>
      <c r="E447" s="64"/>
      <c r="F447" s="95"/>
      <c r="G447" s="96"/>
      <c r="H447" s="64"/>
      <c r="I447" s="64"/>
      <c r="J447" s="64"/>
      <c r="K447" s="64"/>
      <c r="L447" s="64"/>
    </row>
    <row r="448" ht="16.5" customHeight="1">
      <c r="A448" s="64"/>
      <c r="B448" s="80" t="s">
        <v>18249</v>
      </c>
      <c r="C448" s="81" t="str">
        <f>IFERROR(__xludf.DUMMYFUNCTION("""COMPUTED_VALUE"""),"G123Kenny")</f>
        <v>G123Kenny</v>
      </c>
      <c r="D448" s="75">
        <f>IFERROR(__xludf.DUMMYFUNCTION("""COMPUTED_VALUE"""),0.0)</f>
        <v>0</v>
      </c>
      <c r="E448" s="64"/>
      <c r="F448" s="95"/>
      <c r="G448" s="96"/>
      <c r="H448" s="64"/>
      <c r="I448" s="64"/>
      <c r="J448" s="64"/>
      <c r="K448" s="64"/>
      <c r="L448" s="64"/>
    </row>
    <row r="449" ht="16.5" customHeight="1">
      <c r="A449" s="64"/>
      <c r="B449" s="80" t="s">
        <v>18249</v>
      </c>
      <c r="C449" s="81" t="str">
        <f>IFERROR(__xludf.DUMMYFUNCTION("""COMPUTED_VALUE"""),"GIMAV_Italia")</f>
        <v>GIMAV_Italia</v>
      </c>
      <c r="D449" s="75">
        <f>IFERROR(__xludf.DUMMYFUNCTION("""COMPUTED_VALUE"""),0.0)</f>
        <v>0</v>
      </c>
      <c r="E449" s="64"/>
      <c r="F449" s="95"/>
      <c r="G449" s="96"/>
      <c r="H449" s="64"/>
      <c r="I449" s="64"/>
      <c r="J449" s="64"/>
      <c r="K449" s="64"/>
      <c r="L449" s="64"/>
    </row>
    <row r="450" ht="16.5" customHeight="1">
      <c r="A450" s="64"/>
      <c r="B450" s="80" t="s">
        <v>18249</v>
      </c>
      <c r="C450" s="81" t="str">
        <f>IFERROR(__xludf.DUMMYFUNCTION("""COMPUTED_VALUE"""),"GM_RayKeene")</f>
        <v>GM_RayKeene</v>
      </c>
      <c r="D450" s="75">
        <f>IFERROR(__xludf.DUMMYFUNCTION("""COMPUTED_VALUE"""),0.0)</f>
        <v>0</v>
      </c>
      <c r="E450" s="64"/>
      <c r="F450" s="95"/>
      <c r="G450" s="96"/>
      <c r="H450" s="64"/>
      <c r="I450" s="64"/>
      <c r="J450" s="64"/>
      <c r="K450" s="64"/>
      <c r="L450" s="64"/>
    </row>
    <row r="451" ht="16.5" customHeight="1">
      <c r="A451" s="64"/>
      <c r="B451" s="80" t="s">
        <v>18249</v>
      </c>
      <c r="C451" s="81" t="str">
        <f>IFERROR(__xludf.DUMMYFUNCTION("""COMPUTED_VALUE"""),"GThepeakes")</f>
        <v>GThepeakes</v>
      </c>
      <c r="D451" s="75">
        <f>IFERROR(__xludf.DUMMYFUNCTION("""COMPUTED_VALUE"""),0.0)</f>
        <v>0</v>
      </c>
      <c r="E451" s="64"/>
      <c r="F451" s="95"/>
      <c r="G451" s="96"/>
      <c r="H451" s="64"/>
      <c r="I451" s="64"/>
      <c r="J451" s="64"/>
      <c r="K451" s="64"/>
      <c r="L451" s="64"/>
    </row>
    <row r="452" ht="16.5" customHeight="1">
      <c r="A452" s="64"/>
      <c r="B452" s="80" t="s">
        <v>18249</v>
      </c>
      <c r="C452" s="81" t="str">
        <f>IFERROR(__xludf.DUMMYFUNCTION("""COMPUTED_VALUE"""),"GailGailtranter")</f>
        <v>GailGailtranter</v>
      </c>
      <c r="D452" s="75">
        <f>IFERROR(__xludf.DUMMYFUNCTION("""COMPUTED_VALUE"""),0.0)</f>
        <v>0</v>
      </c>
      <c r="E452" s="64"/>
      <c r="F452" s="95"/>
      <c r="G452" s="96"/>
      <c r="H452" s="64"/>
      <c r="I452" s="64"/>
      <c r="J452" s="64"/>
      <c r="K452" s="64"/>
      <c r="L452" s="64"/>
    </row>
    <row r="453" ht="16.5" customHeight="1">
      <c r="A453" s="64"/>
      <c r="B453" s="80" t="s">
        <v>18249</v>
      </c>
      <c r="C453" s="81" t="str">
        <f>IFERROR(__xludf.DUMMYFUNCTION("""COMPUTED_VALUE"""),"GarySenior1")</f>
        <v>GarySenior1</v>
      </c>
      <c r="D453" s="75">
        <f>IFERROR(__xludf.DUMMYFUNCTION("""COMPUTED_VALUE"""),0.0)</f>
        <v>0</v>
      </c>
      <c r="E453" s="64"/>
      <c r="F453" s="95"/>
      <c r="G453" s="96"/>
      <c r="H453" s="64"/>
      <c r="I453" s="64"/>
      <c r="J453" s="64"/>
      <c r="K453" s="64"/>
      <c r="L453" s="64"/>
    </row>
    <row r="454" ht="16.5" customHeight="1">
      <c r="A454" s="64"/>
      <c r="B454" s="80" t="s">
        <v>18249</v>
      </c>
      <c r="C454" s="81" t="str">
        <f>IFERROR(__xludf.DUMMYFUNCTION("""COMPUTED_VALUE"""),"Gary_antiPC_Vet")</f>
        <v>Gary_antiPC_Vet</v>
      </c>
      <c r="D454" s="75">
        <f>IFERROR(__xludf.DUMMYFUNCTION("""COMPUTED_VALUE"""),0.0)</f>
        <v>0</v>
      </c>
      <c r="E454" s="64"/>
      <c r="F454" s="95"/>
      <c r="G454" s="96"/>
      <c r="H454" s="64"/>
      <c r="I454" s="64"/>
      <c r="J454" s="64"/>
      <c r="K454" s="64"/>
      <c r="L454" s="64"/>
    </row>
    <row r="455" ht="16.5" customHeight="1">
      <c r="A455" s="64"/>
      <c r="B455" s="80" t="s">
        <v>18249</v>
      </c>
      <c r="C455" s="81" t="str">
        <f>IFERROR(__xludf.DUMMYFUNCTION("""COMPUTED_VALUE"""),"GavinKMurray")</f>
        <v>GavinKMurray</v>
      </c>
      <c r="D455" s="75">
        <f>IFERROR(__xludf.DUMMYFUNCTION("""COMPUTED_VALUE"""),0.0)</f>
        <v>0</v>
      </c>
      <c r="E455" s="64"/>
      <c r="F455" s="95"/>
      <c r="G455" s="96"/>
      <c r="H455" s="64"/>
      <c r="I455" s="64"/>
      <c r="J455" s="64"/>
      <c r="K455" s="64"/>
      <c r="L455" s="64"/>
    </row>
    <row r="456" ht="16.5" customHeight="1">
      <c r="A456" s="64"/>
      <c r="B456" s="80" t="s">
        <v>18249</v>
      </c>
      <c r="C456" s="81" t="str">
        <f>IFERROR(__xludf.DUMMYFUNCTION("""COMPUTED_VALUE"""),"Gcw25Wood")</f>
        <v>Gcw25Wood</v>
      </c>
      <c r="D456" s="75">
        <f>IFERROR(__xludf.DUMMYFUNCTION("""COMPUTED_VALUE"""),0.0)</f>
        <v>0</v>
      </c>
      <c r="E456" s="64"/>
      <c r="F456" s="95"/>
      <c r="G456" s="96"/>
      <c r="H456" s="64"/>
      <c r="I456" s="64"/>
      <c r="J456" s="64"/>
      <c r="K456" s="64"/>
      <c r="L456" s="64"/>
    </row>
    <row r="457" ht="16.5" customHeight="1">
      <c r="A457" s="64"/>
      <c r="B457" s="80" t="s">
        <v>18249</v>
      </c>
      <c r="C457" s="81" t="str">
        <f>IFERROR(__xludf.DUMMYFUNCTION("""COMPUTED_VALUE"""),"Geenimetsuri")</f>
        <v>Geenimetsuri</v>
      </c>
      <c r="D457" s="75">
        <f>IFERROR(__xludf.DUMMYFUNCTION("""COMPUTED_VALUE"""),0.0)</f>
        <v>0</v>
      </c>
      <c r="E457" s="64"/>
      <c r="F457" s="95"/>
      <c r="G457" s="96"/>
      <c r="H457" s="64"/>
      <c r="I457" s="64"/>
      <c r="J457" s="64"/>
      <c r="K457" s="64"/>
      <c r="L457" s="64"/>
    </row>
    <row r="458" ht="16.5" customHeight="1">
      <c r="A458" s="64"/>
      <c r="B458" s="80" t="s">
        <v>18249</v>
      </c>
      <c r="C458" s="81" t="str">
        <f>IFERROR(__xludf.DUMMYFUNCTION("""COMPUTED_VALUE"""),"GemmaBee9")</f>
        <v>GemmaBee9</v>
      </c>
      <c r="D458" s="75">
        <f>IFERROR(__xludf.DUMMYFUNCTION("""COMPUTED_VALUE"""),0.0)</f>
        <v>0</v>
      </c>
      <c r="E458" s="64"/>
      <c r="F458" s="95"/>
      <c r="G458" s="96"/>
      <c r="H458" s="64"/>
      <c r="I458" s="64"/>
      <c r="J458" s="64"/>
      <c r="K458" s="64"/>
      <c r="L458" s="64"/>
    </row>
    <row r="459" ht="16.5" customHeight="1">
      <c r="A459" s="64"/>
      <c r="B459" s="80" t="s">
        <v>18249</v>
      </c>
      <c r="C459" s="81" t="str">
        <f>IFERROR(__xludf.DUMMYFUNCTION("""COMPUTED_VALUE"""),"GeoffBrewer")</f>
        <v>GeoffBrewer</v>
      </c>
      <c r="D459" s="75">
        <f>IFERROR(__xludf.DUMMYFUNCTION("""COMPUTED_VALUE"""),0.0)</f>
        <v>0</v>
      </c>
      <c r="E459" s="64"/>
      <c r="F459" s="95"/>
      <c r="G459" s="96"/>
      <c r="H459" s="64"/>
      <c r="I459" s="64"/>
      <c r="J459" s="64"/>
      <c r="K459" s="64"/>
      <c r="L459" s="64"/>
    </row>
    <row r="460" ht="16.5" customHeight="1">
      <c r="A460" s="64"/>
      <c r="B460" s="80" t="s">
        <v>18249</v>
      </c>
      <c r="C460" s="81" t="str">
        <f>IFERROR(__xludf.DUMMYFUNCTION("""COMPUTED_VALUE"""),"GeoffKPayne")</f>
        <v>GeoffKPayne</v>
      </c>
      <c r="D460" s="75">
        <f>IFERROR(__xludf.DUMMYFUNCTION("""COMPUTED_VALUE"""),0.0)</f>
        <v>0</v>
      </c>
      <c r="E460" s="64"/>
      <c r="F460" s="95"/>
      <c r="G460" s="96"/>
      <c r="H460" s="64"/>
      <c r="I460" s="64"/>
      <c r="J460" s="64"/>
      <c r="K460" s="64"/>
      <c r="L460" s="64"/>
    </row>
    <row r="461" ht="16.5" customHeight="1">
      <c r="A461" s="64"/>
      <c r="B461" s="80" t="s">
        <v>18249</v>
      </c>
      <c r="C461" s="81" t="str">
        <f>IFERROR(__xludf.DUMMYFUNCTION("""COMPUTED_VALUE"""),"Geoffreytsmith")</f>
        <v>Geoffreytsmith</v>
      </c>
      <c r="D461" s="75">
        <f>IFERROR(__xludf.DUMMYFUNCTION("""COMPUTED_VALUE"""),0.0)</f>
        <v>0</v>
      </c>
      <c r="E461" s="64"/>
      <c r="F461" s="95"/>
      <c r="G461" s="96"/>
      <c r="H461" s="64"/>
      <c r="I461" s="64"/>
      <c r="J461" s="64"/>
      <c r="K461" s="64"/>
      <c r="L461" s="64"/>
    </row>
    <row r="462" ht="16.5" customHeight="1">
      <c r="A462" s="64"/>
      <c r="B462" s="80" t="s">
        <v>18249</v>
      </c>
      <c r="C462" s="81" t="str">
        <f>IFERROR(__xludf.DUMMYFUNCTION("""COMPUTED_VALUE"""),"GeorgeBaynard")</f>
        <v>GeorgeBaynard</v>
      </c>
      <c r="D462" s="75">
        <f>IFERROR(__xludf.DUMMYFUNCTION("""COMPUTED_VALUE"""),0.0)</f>
        <v>0</v>
      </c>
      <c r="E462" s="64"/>
      <c r="F462" s="95"/>
      <c r="G462" s="96"/>
      <c r="H462" s="64"/>
      <c r="I462" s="64"/>
      <c r="J462" s="64"/>
      <c r="K462" s="64"/>
      <c r="L462" s="64"/>
    </row>
    <row r="463" ht="16.5" customHeight="1">
      <c r="A463" s="64"/>
      <c r="B463" s="80" t="s">
        <v>18249</v>
      </c>
      <c r="C463" s="81" t="str">
        <f>IFERROR(__xludf.DUMMYFUNCTION("""COMPUTED_VALUE"""),"GeorgeH85808006")</f>
        <v>GeorgeH85808006</v>
      </c>
      <c r="D463" s="75">
        <f>IFERROR(__xludf.DUMMYFUNCTION("""COMPUTED_VALUE"""),0.0)</f>
        <v>0</v>
      </c>
      <c r="E463" s="64"/>
      <c r="F463" s="95"/>
      <c r="G463" s="96"/>
      <c r="H463" s="64"/>
      <c r="I463" s="64"/>
      <c r="J463" s="64"/>
      <c r="K463" s="64"/>
      <c r="L463" s="64"/>
    </row>
    <row r="464" ht="16.5" customHeight="1">
      <c r="A464" s="64"/>
      <c r="B464" s="80" t="s">
        <v>18249</v>
      </c>
      <c r="C464" s="81" t="str">
        <f>IFERROR(__xludf.DUMMYFUNCTION("""COMPUTED_VALUE"""),"Georgie_g_")</f>
        <v>Georgie_g_</v>
      </c>
      <c r="D464" s="75">
        <f>IFERROR(__xludf.DUMMYFUNCTION("""COMPUTED_VALUE"""),0.0)</f>
        <v>0</v>
      </c>
      <c r="E464" s="64"/>
      <c r="F464" s="95"/>
      <c r="G464" s="96"/>
      <c r="H464" s="64"/>
      <c r="I464" s="64"/>
      <c r="J464" s="64"/>
      <c r="K464" s="64"/>
      <c r="L464" s="64"/>
    </row>
    <row r="465" ht="16.5" customHeight="1">
      <c r="A465" s="64"/>
      <c r="B465" s="80" t="s">
        <v>18249</v>
      </c>
      <c r="C465" s="81" t="str">
        <f>IFERROR(__xludf.DUMMYFUNCTION("""COMPUTED_VALUE"""),"GigiPrim21")</f>
        <v>GigiPrim21</v>
      </c>
      <c r="D465" s="75">
        <f>IFERROR(__xludf.DUMMYFUNCTION("""COMPUTED_VALUE"""),0.0)</f>
        <v>0</v>
      </c>
      <c r="E465" s="64"/>
      <c r="F465" s="95"/>
      <c r="G465" s="96"/>
      <c r="H465" s="64"/>
      <c r="I465" s="64"/>
      <c r="J465" s="64"/>
      <c r="K465" s="64"/>
      <c r="L465" s="64"/>
    </row>
    <row r="466" ht="16.5" customHeight="1">
      <c r="A466" s="64"/>
      <c r="B466" s="80" t="s">
        <v>18249</v>
      </c>
      <c r="C466" s="81" t="str">
        <f>IFERROR(__xludf.DUMMYFUNCTION("""COMPUTED_VALUE"""),"GilhamColin")</f>
        <v>GilhamColin</v>
      </c>
      <c r="D466" s="75">
        <f>IFERROR(__xludf.DUMMYFUNCTION("""COMPUTED_VALUE"""),0.0)</f>
        <v>0</v>
      </c>
      <c r="E466" s="64"/>
      <c r="F466" s="95"/>
      <c r="G466" s="96"/>
      <c r="H466" s="64"/>
      <c r="I466" s="64"/>
      <c r="J466" s="64"/>
      <c r="K466" s="64"/>
      <c r="L466" s="64"/>
    </row>
    <row r="467" ht="16.5" customHeight="1">
      <c r="A467" s="64"/>
      <c r="B467" s="80" t="s">
        <v>18249</v>
      </c>
      <c r="C467" s="81" t="str">
        <f>IFERROR(__xludf.DUMMYFUNCTION("""COMPUTED_VALUE"""),"GillyCombe")</f>
        <v>GillyCombe</v>
      </c>
      <c r="D467" s="75">
        <f>IFERROR(__xludf.DUMMYFUNCTION("""COMPUTED_VALUE"""),0.0)</f>
        <v>0</v>
      </c>
      <c r="E467" s="64"/>
      <c r="F467" s="95"/>
      <c r="G467" s="96"/>
      <c r="H467" s="64"/>
      <c r="I467" s="64"/>
      <c r="J467" s="64"/>
      <c r="K467" s="64"/>
      <c r="L467" s="64"/>
    </row>
    <row r="468" ht="16.5" customHeight="1">
      <c r="A468" s="64"/>
      <c r="B468" s="80" t="s">
        <v>18249</v>
      </c>
      <c r="C468" s="81" t="str">
        <f>IFERROR(__xludf.DUMMYFUNCTION("""COMPUTED_VALUE"""),"GladstoneMarian")</f>
        <v>GladstoneMarian</v>
      </c>
      <c r="D468" s="75">
        <f>IFERROR(__xludf.DUMMYFUNCTION("""COMPUTED_VALUE"""),0.0)</f>
        <v>0</v>
      </c>
      <c r="E468" s="64"/>
      <c r="F468" s="95"/>
      <c r="G468" s="96"/>
      <c r="H468" s="64"/>
      <c r="I468" s="64"/>
      <c r="J468" s="64"/>
      <c r="K468" s="64"/>
      <c r="L468" s="64"/>
    </row>
    <row r="469" ht="16.5" customHeight="1">
      <c r="A469" s="64"/>
      <c r="B469" s="80" t="s">
        <v>18249</v>
      </c>
      <c r="C469" s="81" t="str">
        <f>IFERROR(__xludf.DUMMYFUNCTION("""COMPUTED_VALUE"""),"Glaikitgit")</f>
        <v>Glaikitgit</v>
      </c>
      <c r="D469" s="75">
        <f>IFERROR(__xludf.DUMMYFUNCTION("""COMPUTED_VALUE"""),0.0)</f>
        <v>0</v>
      </c>
      <c r="E469" s="64"/>
      <c r="F469" s="95"/>
      <c r="G469" s="96"/>
      <c r="H469" s="64"/>
      <c r="I469" s="64"/>
      <c r="J469" s="64"/>
      <c r="K469" s="64"/>
      <c r="L469" s="64"/>
    </row>
    <row r="470" ht="16.5" customHeight="1">
      <c r="A470" s="64"/>
      <c r="B470" s="80" t="s">
        <v>18249</v>
      </c>
      <c r="C470" s="81" t="str">
        <f>IFERROR(__xludf.DUMMYFUNCTION("""COMPUTED_VALUE"""),"Glasgow_Watch")</f>
        <v>Glasgow_Watch</v>
      </c>
      <c r="D470" s="75">
        <f>IFERROR(__xludf.DUMMYFUNCTION("""COMPUTED_VALUE"""),0.0)</f>
        <v>0</v>
      </c>
      <c r="E470" s="64"/>
      <c r="F470" s="95"/>
      <c r="G470" s="96"/>
      <c r="H470" s="64"/>
      <c r="I470" s="64"/>
      <c r="J470" s="64"/>
      <c r="K470" s="64"/>
      <c r="L470" s="64"/>
    </row>
    <row r="471" ht="16.5" customHeight="1">
      <c r="A471" s="64"/>
      <c r="B471" s="80" t="s">
        <v>18249</v>
      </c>
      <c r="C471" s="81" t="str">
        <f>IFERROR(__xludf.DUMMYFUNCTION("""COMPUTED_VALUE"""),"GlendaB46825298")</f>
        <v>GlendaB46825298</v>
      </c>
      <c r="D471" s="75">
        <f>IFERROR(__xludf.DUMMYFUNCTION("""COMPUTED_VALUE"""),0.0)</f>
        <v>0</v>
      </c>
      <c r="E471" s="64"/>
      <c r="F471" s="95"/>
      <c r="G471" s="96"/>
      <c r="H471" s="64"/>
      <c r="I471" s="64"/>
      <c r="J471" s="64"/>
      <c r="K471" s="64"/>
      <c r="L471" s="64"/>
    </row>
    <row r="472" ht="16.5" customHeight="1">
      <c r="A472" s="64"/>
      <c r="B472" s="80" t="s">
        <v>18249</v>
      </c>
      <c r="C472" s="81" t="str">
        <f>IFERROR(__xludf.DUMMYFUNCTION("""COMPUTED_VALUE"""),"Global_Policy")</f>
        <v>Global_Policy</v>
      </c>
      <c r="D472" s="75">
        <f>IFERROR(__xludf.DUMMYFUNCTION("""COMPUTED_VALUE"""),0.0)</f>
        <v>0</v>
      </c>
      <c r="E472" s="64"/>
      <c r="F472" s="95"/>
      <c r="G472" s="96"/>
      <c r="H472" s="64"/>
      <c r="I472" s="64"/>
      <c r="J472" s="64"/>
      <c r="K472" s="64"/>
      <c r="L472" s="64"/>
    </row>
    <row r="473" ht="16.5" customHeight="1">
      <c r="A473" s="64"/>
      <c r="B473" s="80" t="s">
        <v>18249</v>
      </c>
      <c r="C473" s="81" t="str">
        <f>IFERROR(__xludf.DUMMYFUNCTION("""COMPUTED_VALUE"""),"GlukVanstone")</f>
        <v>GlukVanstone</v>
      </c>
      <c r="D473" s="75">
        <f>IFERROR(__xludf.DUMMYFUNCTION("""COMPUTED_VALUE"""),0.0)</f>
        <v>0</v>
      </c>
      <c r="E473" s="64"/>
      <c r="F473" s="95"/>
      <c r="G473" s="96"/>
      <c r="H473" s="64"/>
      <c r="I473" s="64"/>
      <c r="J473" s="64"/>
      <c r="K473" s="64"/>
      <c r="L473" s="64"/>
    </row>
    <row r="474" ht="16.5" customHeight="1">
      <c r="A474" s="64"/>
      <c r="B474" s="80" t="s">
        <v>18249</v>
      </c>
      <c r="C474" s="81" t="str">
        <f>IFERROR(__xludf.DUMMYFUNCTION("""COMPUTED_VALUE"""),"Gmcswineyyy")</f>
        <v>Gmcswineyyy</v>
      </c>
      <c r="D474" s="75">
        <f>IFERROR(__xludf.DUMMYFUNCTION("""COMPUTED_VALUE"""),0.0)</f>
        <v>0</v>
      </c>
      <c r="E474" s="64"/>
      <c r="F474" s="95"/>
      <c r="G474" s="96"/>
      <c r="H474" s="64"/>
      <c r="I474" s="64"/>
      <c r="J474" s="64"/>
      <c r="K474" s="64"/>
      <c r="L474" s="64"/>
    </row>
    <row r="475" ht="16.5" customHeight="1">
      <c r="A475" s="64"/>
      <c r="B475" s="80" t="s">
        <v>18249</v>
      </c>
      <c r="C475" s="81" t="str">
        <f>IFERROR(__xludf.DUMMYFUNCTION("""COMPUTED_VALUE"""),"GmfisherU")</f>
        <v>GmfisherU</v>
      </c>
      <c r="D475" s="75">
        <f>IFERROR(__xludf.DUMMYFUNCTION("""COMPUTED_VALUE"""),0.0)</f>
        <v>0</v>
      </c>
      <c r="E475" s="64"/>
      <c r="F475" s="95"/>
      <c r="G475" s="96"/>
      <c r="H475" s="64"/>
      <c r="I475" s="64"/>
      <c r="J475" s="64"/>
      <c r="K475" s="64"/>
      <c r="L475" s="64"/>
    </row>
    <row r="476" ht="16.5" customHeight="1">
      <c r="A476" s="64"/>
      <c r="B476" s="80" t="s">
        <v>18249</v>
      </c>
      <c r="C476" s="81" t="str">
        <f>IFERROR(__xludf.DUMMYFUNCTION("""COMPUTED_VALUE"""),"Goldtwatter")</f>
        <v>Goldtwatter</v>
      </c>
      <c r="D476" s="75">
        <f>IFERROR(__xludf.DUMMYFUNCTION("""COMPUTED_VALUE"""),0.0)</f>
        <v>0</v>
      </c>
      <c r="E476" s="64"/>
      <c r="F476" s="95"/>
      <c r="G476" s="96"/>
      <c r="H476" s="64"/>
      <c r="I476" s="64"/>
      <c r="J476" s="64"/>
      <c r="K476" s="64"/>
      <c r="L476" s="64"/>
    </row>
    <row r="477" ht="16.5" customHeight="1">
      <c r="A477" s="64"/>
      <c r="B477" s="80" t="s">
        <v>18249</v>
      </c>
      <c r="C477" s="81" t="str">
        <f>IFERROR(__xludf.DUMMYFUNCTION("""COMPUTED_VALUE"""),"GonnyGlass")</f>
        <v>GonnyGlass</v>
      </c>
      <c r="D477" s="75">
        <f>IFERROR(__xludf.DUMMYFUNCTION("""COMPUTED_VALUE"""),0.0)</f>
        <v>0</v>
      </c>
      <c r="E477" s="64"/>
      <c r="F477" s="95"/>
      <c r="G477" s="96"/>
      <c r="H477" s="64"/>
      <c r="I477" s="64"/>
      <c r="J477" s="64"/>
      <c r="K477" s="64"/>
      <c r="L477" s="64"/>
    </row>
    <row r="478" ht="16.5" customHeight="1">
      <c r="A478" s="64"/>
      <c r="B478" s="80" t="s">
        <v>18249</v>
      </c>
      <c r="C478" s="81" t="str">
        <f>IFERROR(__xludf.DUMMYFUNCTION("""COMPUTED_VALUE"""),"Gosia73686703")</f>
        <v>Gosia73686703</v>
      </c>
      <c r="D478" s="75">
        <f>IFERROR(__xludf.DUMMYFUNCTION("""COMPUTED_VALUE"""),0.0)</f>
        <v>0</v>
      </c>
      <c r="E478" s="64"/>
      <c r="F478" s="95"/>
      <c r="G478" s="96"/>
      <c r="H478" s="64"/>
      <c r="I478" s="64"/>
      <c r="J478" s="64"/>
      <c r="K478" s="64"/>
      <c r="L478" s="64"/>
    </row>
    <row r="479" ht="16.5" customHeight="1">
      <c r="A479" s="64"/>
      <c r="B479" s="80" t="s">
        <v>18249</v>
      </c>
      <c r="C479" s="81" t="str">
        <f>IFERROR(__xludf.DUMMYFUNCTION("""COMPUTED_VALUE"""),"GraceMurphy2")</f>
        <v>GraceMurphy2</v>
      </c>
      <c r="D479" s="75">
        <f>IFERROR(__xludf.DUMMYFUNCTION("""COMPUTED_VALUE"""),0.0)</f>
        <v>0</v>
      </c>
      <c r="E479" s="64"/>
      <c r="F479" s="95"/>
      <c r="G479" s="96"/>
      <c r="H479" s="64"/>
      <c r="I479" s="64"/>
      <c r="J479" s="64"/>
      <c r="K479" s="64"/>
      <c r="L479" s="64"/>
    </row>
    <row r="480" ht="16.5" customHeight="1">
      <c r="A480" s="64"/>
      <c r="B480" s="80" t="s">
        <v>18249</v>
      </c>
      <c r="C480" s="81" t="str">
        <f>IFERROR(__xludf.DUMMYFUNCTION("""COMPUTED_VALUE"""),"GrahamBright10")</f>
        <v>GrahamBright10</v>
      </c>
      <c r="D480" s="75">
        <f>IFERROR(__xludf.DUMMYFUNCTION("""COMPUTED_VALUE"""),0.0)</f>
        <v>0</v>
      </c>
      <c r="E480" s="64"/>
      <c r="F480" s="95"/>
      <c r="G480" s="96"/>
      <c r="H480" s="64"/>
      <c r="I480" s="64"/>
      <c r="J480" s="64"/>
      <c r="K480" s="64"/>
      <c r="L480" s="64"/>
    </row>
    <row r="481" ht="16.5" customHeight="1">
      <c r="A481" s="64"/>
      <c r="B481" s="80" t="s">
        <v>18249</v>
      </c>
      <c r="C481" s="81" t="str">
        <f>IFERROR(__xludf.DUMMYFUNCTION("""COMPUTED_VALUE"""),"GranataLLC")</f>
        <v>GranataLLC</v>
      </c>
      <c r="D481" s="75">
        <f>IFERROR(__xludf.DUMMYFUNCTION("""COMPUTED_VALUE"""),0.0)</f>
        <v>0</v>
      </c>
      <c r="E481" s="64"/>
      <c r="F481" s="95"/>
      <c r="G481" s="96"/>
      <c r="H481" s="64"/>
      <c r="I481" s="64"/>
      <c r="J481" s="64"/>
      <c r="K481" s="64"/>
      <c r="L481" s="64"/>
    </row>
    <row r="482" ht="16.5" customHeight="1">
      <c r="A482" s="64"/>
      <c r="B482" s="80" t="s">
        <v>18249</v>
      </c>
      <c r="C482" s="81" t="str">
        <f>IFERROR(__xludf.DUMMYFUNCTION("""COMPUTED_VALUE"""),"GreatBearJumps")</f>
        <v>GreatBearJumps</v>
      </c>
      <c r="D482" s="75">
        <f>IFERROR(__xludf.DUMMYFUNCTION("""COMPUTED_VALUE"""),0.0)</f>
        <v>0</v>
      </c>
      <c r="E482" s="64"/>
      <c r="F482" s="95"/>
      <c r="G482" s="96"/>
      <c r="H482" s="64"/>
      <c r="I482" s="64"/>
      <c r="J482" s="64"/>
      <c r="K482" s="64"/>
      <c r="L482" s="64"/>
    </row>
    <row r="483" ht="16.5" customHeight="1">
      <c r="A483" s="64"/>
      <c r="B483" s="80" t="s">
        <v>18249</v>
      </c>
      <c r="C483" s="81" t="str">
        <f>IFERROR(__xludf.DUMMYFUNCTION("""COMPUTED_VALUE"""),"Green2020Tweet")</f>
        <v>Green2020Tweet</v>
      </c>
      <c r="D483" s="75">
        <f>IFERROR(__xludf.DUMMYFUNCTION("""COMPUTED_VALUE"""),0.0)</f>
        <v>0</v>
      </c>
      <c r="E483" s="64"/>
      <c r="F483" s="95"/>
      <c r="G483" s="96"/>
      <c r="H483" s="64"/>
      <c r="I483" s="64"/>
      <c r="J483" s="64"/>
      <c r="K483" s="64"/>
      <c r="L483" s="64"/>
    </row>
    <row r="484" ht="16.5" customHeight="1">
      <c r="A484" s="64"/>
      <c r="B484" s="80" t="s">
        <v>18249</v>
      </c>
      <c r="C484" s="81" t="str">
        <f>IFERROR(__xludf.DUMMYFUNCTION("""COMPUTED_VALUE"""),"GreenKnight60")</f>
        <v>GreenKnight60</v>
      </c>
      <c r="D484" s="75">
        <f>IFERROR(__xludf.DUMMYFUNCTION("""COMPUTED_VALUE"""),0.0)</f>
        <v>0</v>
      </c>
      <c r="E484" s="64"/>
      <c r="F484" s="95"/>
      <c r="G484" s="96"/>
      <c r="H484" s="64"/>
      <c r="I484" s="64"/>
      <c r="J484" s="64"/>
      <c r="K484" s="64"/>
      <c r="L484" s="64"/>
    </row>
    <row r="485" ht="16.5" customHeight="1">
      <c r="A485" s="64"/>
      <c r="B485" s="80" t="s">
        <v>18249</v>
      </c>
      <c r="C485" s="81" t="str">
        <f>IFERROR(__xludf.DUMMYFUNCTION("""COMPUTED_VALUE"""),"Grey_Folded")</f>
        <v>Grey_Folded</v>
      </c>
      <c r="D485" s="75">
        <f>IFERROR(__xludf.DUMMYFUNCTION("""COMPUTED_VALUE"""),0.0)</f>
        <v>0</v>
      </c>
      <c r="E485" s="64"/>
      <c r="F485" s="95"/>
      <c r="G485" s="96"/>
      <c r="H485" s="64"/>
      <c r="I485" s="64"/>
      <c r="J485" s="64"/>
      <c r="K485" s="64"/>
      <c r="L485" s="64"/>
    </row>
    <row r="486" ht="16.5" customHeight="1">
      <c r="A486" s="64"/>
      <c r="B486" s="80" t="s">
        <v>18249</v>
      </c>
      <c r="C486" s="81" t="str">
        <f>IFERROR(__xludf.DUMMYFUNCTION("""COMPUTED_VALUE"""),"Greyman49")</f>
        <v>Greyman49</v>
      </c>
      <c r="D486" s="75">
        <f>IFERROR(__xludf.DUMMYFUNCTION("""COMPUTED_VALUE"""),0.0)</f>
        <v>0</v>
      </c>
      <c r="E486" s="64"/>
      <c r="F486" s="95"/>
      <c r="G486" s="96"/>
      <c r="H486" s="64"/>
      <c r="I486" s="64"/>
      <c r="J486" s="64"/>
      <c r="K486" s="64"/>
      <c r="L486" s="64"/>
    </row>
    <row r="487" ht="16.5" customHeight="1">
      <c r="A487" s="64"/>
      <c r="B487" s="80" t="s">
        <v>18249</v>
      </c>
      <c r="C487" s="81" t="str">
        <f>IFERROR(__xludf.DUMMYFUNCTION("""COMPUTED_VALUE"""),"GroupeID_FR")</f>
        <v>GroupeID_FR</v>
      </c>
      <c r="D487" s="75">
        <f>IFERROR(__xludf.DUMMYFUNCTION("""COMPUTED_VALUE"""),0.0)</f>
        <v>0</v>
      </c>
      <c r="E487" s="64"/>
      <c r="F487" s="95"/>
      <c r="G487" s="96"/>
      <c r="H487" s="64"/>
      <c r="I487" s="64"/>
      <c r="J487" s="64"/>
      <c r="K487" s="64"/>
      <c r="L487" s="64"/>
    </row>
    <row r="488" ht="16.5" customHeight="1">
      <c r="A488" s="64"/>
      <c r="B488" s="80" t="s">
        <v>18249</v>
      </c>
      <c r="C488" s="81" t="str">
        <f>IFERROR(__xludf.DUMMYFUNCTION("""COMPUTED_VALUE"""),"GusLogic")</f>
        <v>GusLogic</v>
      </c>
      <c r="D488" s="75">
        <f>IFERROR(__xludf.DUMMYFUNCTION("""COMPUTED_VALUE"""),0.0)</f>
        <v>0</v>
      </c>
      <c r="E488" s="64"/>
      <c r="F488" s="95"/>
      <c r="G488" s="96"/>
      <c r="H488" s="64"/>
      <c r="I488" s="64"/>
      <c r="J488" s="64"/>
      <c r="K488" s="64"/>
      <c r="L488" s="64"/>
    </row>
    <row r="489" ht="16.5" customHeight="1">
      <c r="A489" s="64"/>
      <c r="B489" s="80" t="s">
        <v>18249</v>
      </c>
      <c r="C489" s="81" t="str">
        <f>IFERROR(__xludf.DUMMYFUNCTION("""COMPUTED_VALUE"""),"GwalaniSonali")</f>
        <v>GwalaniSonali</v>
      </c>
      <c r="D489" s="75">
        <f>IFERROR(__xludf.DUMMYFUNCTION("""COMPUTED_VALUE"""),0.0)</f>
        <v>0</v>
      </c>
      <c r="E489" s="64"/>
      <c r="F489" s="95"/>
      <c r="G489" s="96"/>
      <c r="H489" s="64"/>
      <c r="I489" s="64"/>
      <c r="J489" s="64"/>
      <c r="K489" s="64"/>
      <c r="L489" s="64"/>
    </row>
    <row r="490" ht="16.5" customHeight="1">
      <c r="A490" s="64"/>
      <c r="B490" s="80" t="s">
        <v>18249</v>
      </c>
      <c r="C490" s="81" t="str">
        <f>IFERROR(__xludf.DUMMYFUNCTION("""COMPUTED_VALUE"""),"GwenGatesParke1")</f>
        <v>GwenGatesParke1</v>
      </c>
      <c r="D490" s="75">
        <f>IFERROR(__xludf.DUMMYFUNCTION("""COMPUTED_VALUE"""),0.0)</f>
        <v>0</v>
      </c>
      <c r="E490" s="64"/>
      <c r="F490" s="95"/>
      <c r="G490" s="96"/>
      <c r="H490" s="64"/>
      <c r="I490" s="64"/>
      <c r="J490" s="64"/>
      <c r="K490" s="64"/>
      <c r="L490" s="64"/>
    </row>
    <row r="491" ht="16.5" customHeight="1">
      <c r="A491" s="64"/>
      <c r="B491" s="80" t="s">
        <v>18249</v>
      </c>
      <c r="C491" s="81" t="str">
        <f>IFERROR(__xludf.DUMMYFUNCTION("""COMPUTED_VALUE"""),"Gwentforeurope")</f>
        <v>Gwentforeurope</v>
      </c>
      <c r="D491" s="75">
        <f>IFERROR(__xludf.DUMMYFUNCTION("""COMPUTED_VALUE"""),0.0)</f>
        <v>0</v>
      </c>
      <c r="E491" s="64"/>
      <c r="F491" s="95"/>
      <c r="G491" s="96"/>
      <c r="H491" s="64"/>
      <c r="I491" s="64"/>
      <c r="J491" s="64"/>
      <c r="K491" s="64"/>
      <c r="L491" s="64"/>
    </row>
    <row r="492" ht="16.5" customHeight="1">
      <c r="A492" s="64"/>
      <c r="B492" s="80" t="s">
        <v>18249</v>
      </c>
      <c r="C492" s="81" t="str">
        <f>IFERROR(__xludf.DUMMYFUNCTION("""COMPUTED_VALUE"""),"HSillitto")</f>
        <v>HSillitto</v>
      </c>
      <c r="D492" s="75">
        <f>IFERROR(__xludf.DUMMYFUNCTION("""COMPUTED_VALUE"""),0.0)</f>
        <v>0</v>
      </c>
      <c r="E492" s="64"/>
      <c r="F492" s="95"/>
      <c r="G492" s="96"/>
      <c r="H492" s="64"/>
      <c r="I492" s="64"/>
      <c r="J492" s="64"/>
      <c r="K492" s="64"/>
      <c r="L492" s="64"/>
    </row>
    <row r="493" ht="16.5" customHeight="1">
      <c r="A493" s="64"/>
      <c r="B493" s="80" t="s">
        <v>18249</v>
      </c>
      <c r="C493" s="81" t="str">
        <f>IFERROR(__xludf.DUMMYFUNCTION("""COMPUTED_VALUE"""),"HackettTom")</f>
        <v>HackettTom</v>
      </c>
      <c r="D493" s="75">
        <f>IFERROR(__xludf.DUMMYFUNCTION("""COMPUTED_VALUE"""),0.0)</f>
        <v>0</v>
      </c>
      <c r="E493" s="64"/>
      <c r="F493" s="95"/>
      <c r="G493" s="96"/>
      <c r="H493" s="64"/>
      <c r="I493" s="64"/>
      <c r="J493" s="64"/>
      <c r="K493" s="64"/>
      <c r="L493" s="64"/>
    </row>
    <row r="494" ht="16.5" customHeight="1">
      <c r="A494" s="64"/>
      <c r="B494" s="80" t="s">
        <v>18249</v>
      </c>
      <c r="C494" s="81" t="str">
        <f>IFERROR(__xludf.DUMMYFUNCTION("""COMPUTED_VALUE"""),"HalseyJane")</f>
        <v>HalseyJane</v>
      </c>
      <c r="D494" s="75">
        <f>IFERROR(__xludf.DUMMYFUNCTION("""COMPUTED_VALUE"""),0.0)</f>
        <v>0</v>
      </c>
      <c r="E494" s="64"/>
      <c r="F494" s="95"/>
      <c r="G494" s="96"/>
      <c r="H494" s="64"/>
      <c r="I494" s="64"/>
      <c r="J494" s="64"/>
      <c r="K494" s="64"/>
      <c r="L494" s="64"/>
    </row>
    <row r="495" ht="16.5" customHeight="1">
      <c r="A495" s="64"/>
      <c r="B495" s="80" t="s">
        <v>18249</v>
      </c>
      <c r="C495" s="81" t="str">
        <f>IFERROR(__xludf.DUMMYFUNCTION("""COMPUTED_VALUE"""),"Happytoberight")</f>
        <v>Happytoberight</v>
      </c>
      <c r="D495" s="75">
        <f>IFERROR(__xludf.DUMMYFUNCTION("""COMPUTED_VALUE"""),0.0)</f>
        <v>0</v>
      </c>
      <c r="E495" s="64"/>
      <c r="F495" s="95"/>
      <c r="G495" s="96"/>
      <c r="H495" s="64"/>
      <c r="I495" s="64"/>
      <c r="J495" s="64"/>
      <c r="K495" s="64"/>
      <c r="L495" s="64"/>
    </row>
    <row r="496" ht="16.5" customHeight="1">
      <c r="A496" s="64"/>
      <c r="B496" s="80" t="s">
        <v>18249</v>
      </c>
      <c r="C496" s="81" t="str">
        <f>IFERROR(__xludf.DUMMYFUNCTION("""COMPUTED_VALUE"""),"HargMac")</f>
        <v>HargMac</v>
      </c>
      <c r="D496" s="75">
        <f>IFERROR(__xludf.DUMMYFUNCTION("""COMPUTED_VALUE"""),0.0)</f>
        <v>0</v>
      </c>
      <c r="E496" s="64"/>
      <c r="F496" s="95"/>
      <c r="G496" s="96"/>
      <c r="H496" s="64"/>
      <c r="I496" s="64"/>
      <c r="J496" s="64"/>
      <c r="K496" s="64"/>
      <c r="L496" s="64"/>
    </row>
    <row r="497" ht="16.5" customHeight="1">
      <c r="A497" s="64"/>
      <c r="B497" s="80" t="s">
        <v>18249</v>
      </c>
      <c r="C497" s="81" t="str">
        <f>IFERROR(__xludf.DUMMYFUNCTION("""COMPUTED_VALUE"""),"HarleyEbe")</f>
        <v>HarleyEbe</v>
      </c>
      <c r="D497" s="75">
        <f>IFERROR(__xludf.DUMMYFUNCTION("""COMPUTED_VALUE"""),0.0)</f>
        <v>0</v>
      </c>
      <c r="E497" s="64"/>
      <c r="F497" s="95"/>
      <c r="G497" s="96"/>
      <c r="H497" s="64"/>
      <c r="I497" s="64"/>
      <c r="J497" s="64"/>
      <c r="K497" s="64"/>
      <c r="L497" s="64"/>
    </row>
    <row r="498" ht="16.5" customHeight="1">
      <c r="A498" s="64"/>
      <c r="B498" s="80" t="s">
        <v>18249</v>
      </c>
      <c r="C498" s="81" t="str">
        <f>IFERROR(__xludf.DUMMYFUNCTION("""COMPUTED_VALUE"""),"HarrisonJan")</f>
        <v>HarrisonJan</v>
      </c>
      <c r="D498" s="75">
        <f>IFERROR(__xludf.DUMMYFUNCTION("""COMPUTED_VALUE"""),0.0)</f>
        <v>0</v>
      </c>
      <c r="E498" s="64"/>
      <c r="F498" s="95"/>
      <c r="G498" s="96"/>
      <c r="H498" s="64"/>
      <c r="I498" s="64"/>
      <c r="J498" s="64"/>
      <c r="K498" s="64"/>
      <c r="L498" s="64"/>
    </row>
    <row r="499" ht="16.5" customHeight="1">
      <c r="A499" s="64"/>
      <c r="B499" s="80" t="s">
        <v>18249</v>
      </c>
      <c r="C499" s="81" t="str">
        <f>IFERROR(__xludf.DUMMYFUNCTION("""COMPUTED_VALUE"""),"HarryJamesBooks")</f>
        <v>HarryJamesBooks</v>
      </c>
      <c r="D499" s="75">
        <f>IFERROR(__xludf.DUMMYFUNCTION("""COMPUTED_VALUE"""),0.0)</f>
        <v>0</v>
      </c>
      <c r="E499" s="64"/>
      <c r="F499" s="95"/>
      <c r="G499" s="96"/>
      <c r="H499" s="64"/>
      <c r="I499" s="64"/>
      <c r="J499" s="64"/>
      <c r="K499" s="64"/>
      <c r="L499" s="64"/>
    </row>
    <row r="500" ht="16.5" customHeight="1">
      <c r="A500" s="64"/>
      <c r="B500" s="80" t="s">
        <v>18249</v>
      </c>
      <c r="C500" s="81" t="str">
        <f>IFERROR(__xludf.DUMMYFUNCTION("""COMPUTED_VALUE"""),"HeatherMassey2")</f>
        <v>HeatherMassey2</v>
      </c>
      <c r="D500" s="75">
        <f>IFERROR(__xludf.DUMMYFUNCTION("""COMPUTED_VALUE"""),0.0)</f>
        <v>0</v>
      </c>
      <c r="E500" s="64"/>
      <c r="F500" s="95"/>
      <c r="G500" s="96"/>
      <c r="H500" s="64"/>
      <c r="I500" s="64"/>
      <c r="J500" s="64"/>
      <c r="K500" s="64"/>
      <c r="L500" s="64"/>
    </row>
    <row r="501" ht="16.5" customHeight="1">
      <c r="A501" s="64"/>
      <c r="B501" s="80" t="s">
        <v>18249</v>
      </c>
      <c r="C501" s="81" t="str">
        <f>IFERROR(__xludf.DUMMYFUNCTION("""COMPUTED_VALUE"""),"HelenLGateley")</f>
        <v>HelenLGateley</v>
      </c>
      <c r="D501" s="75">
        <f>IFERROR(__xludf.DUMMYFUNCTION("""COMPUTED_VALUE"""),0.0)</f>
        <v>0</v>
      </c>
      <c r="E501" s="64"/>
      <c r="F501" s="95"/>
      <c r="G501" s="96"/>
      <c r="H501" s="64"/>
      <c r="I501" s="64"/>
      <c r="J501" s="64"/>
      <c r="K501" s="64"/>
      <c r="L501" s="64"/>
    </row>
    <row r="502" ht="16.5" customHeight="1">
      <c r="A502" s="64"/>
      <c r="B502" s="80" t="s">
        <v>18249</v>
      </c>
      <c r="C502" s="81" t="str">
        <f>IFERROR(__xludf.DUMMYFUNCTION("""COMPUTED_VALUE"""),"Helenkalliope")</f>
        <v>Helenkalliope</v>
      </c>
      <c r="D502" s="75">
        <f>IFERROR(__xludf.DUMMYFUNCTION("""COMPUTED_VALUE"""),0.0)</f>
        <v>0</v>
      </c>
      <c r="E502" s="64"/>
      <c r="F502" s="95"/>
      <c r="G502" s="96"/>
      <c r="H502" s="64"/>
      <c r="I502" s="64"/>
      <c r="J502" s="64"/>
      <c r="K502" s="64"/>
      <c r="L502" s="64"/>
    </row>
    <row r="503" ht="16.5" customHeight="1">
      <c r="A503" s="64"/>
      <c r="B503" s="80" t="s">
        <v>18249</v>
      </c>
      <c r="C503" s="81" t="str">
        <f>IFERROR(__xludf.DUMMYFUNCTION("""COMPUTED_VALUE"""),"Hellena93821300")</f>
        <v>Hellena93821300</v>
      </c>
      <c r="D503" s="75">
        <f>IFERROR(__xludf.DUMMYFUNCTION("""COMPUTED_VALUE"""),0.0)</f>
        <v>0</v>
      </c>
      <c r="E503" s="64"/>
      <c r="F503" s="95"/>
      <c r="G503" s="96"/>
      <c r="H503" s="64"/>
      <c r="I503" s="64"/>
      <c r="J503" s="64"/>
      <c r="K503" s="64"/>
      <c r="L503" s="64"/>
    </row>
    <row r="504" ht="16.5" customHeight="1">
      <c r="A504" s="64"/>
      <c r="B504" s="80" t="s">
        <v>18249</v>
      </c>
      <c r="C504" s="81" t="str">
        <f>IFERROR(__xludf.DUMMYFUNCTION("""COMPUTED_VALUE"""),"Hendrik_Senn")</f>
        <v>Hendrik_Senn</v>
      </c>
      <c r="D504" s="75">
        <f>IFERROR(__xludf.DUMMYFUNCTION("""COMPUTED_VALUE"""),0.0)</f>
        <v>0</v>
      </c>
      <c r="E504" s="64"/>
      <c r="F504" s="95"/>
      <c r="G504" s="96"/>
      <c r="H504" s="64"/>
      <c r="I504" s="64"/>
      <c r="J504" s="64"/>
      <c r="K504" s="64"/>
      <c r="L504" s="64"/>
    </row>
    <row r="505" ht="16.5" customHeight="1">
      <c r="A505" s="64"/>
      <c r="B505" s="80" t="s">
        <v>18249</v>
      </c>
      <c r="C505" s="81" t="str">
        <f>IFERROR(__xludf.DUMMYFUNCTION("""COMPUTED_VALUE"""),"HereInTheHollow")</f>
        <v>HereInTheHollow</v>
      </c>
      <c r="D505" s="75">
        <f>IFERROR(__xludf.DUMMYFUNCTION("""COMPUTED_VALUE"""),0.0)</f>
        <v>0</v>
      </c>
      <c r="E505" s="64"/>
      <c r="F505" s="95"/>
      <c r="G505" s="96"/>
      <c r="H505" s="64"/>
      <c r="I505" s="64"/>
      <c r="J505" s="64"/>
      <c r="K505" s="64"/>
      <c r="L505" s="64"/>
    </row>
    <row r="506" ht="16.5" customHeight="1">
      <c r="A506" s="64"/>
      <c r="B506" s="80" t="s">
        <v>18249</v>
      </c>
      <c r="C506" s="81" t="str">
        <f>IFERROR(__xludf.DUMMYFUNCTION("""COMPUTED_VALUE"""),"HighlandHeathen")</f>
        <v>HighlandHeathen</v>
      </c>
      <c r="D506" s="75">
        <f>IFERROR(__xludf.DUMMYFUNCTION("""COMPUTED_VALUE"""),0.0)</f>
        <v>0</v>
      </c>
      <c r="E506" s="64"/>
      <c r="F506" s="95"/>
      <c r="G506" s="96"/>
      <c r="H506" s="64"/>
      <c r="I506" s="64"/>
      <c r="J506" s="64"/>
      <c r="K506" s="64"/>
      <c r="L506" s="64"/>
    </row>
    <row r="507" ht="16.5" customHeight="1">
      <c r="A507" s="64"/>
      <c r="B507" s="80" t="s">
        <v>18249</v>
      </c>
      <c r="C507" s="81" t="str">
        <f>IFERROR(__xludf.DUMMYFUNCTION("""COMPUTED_VALUE"""),"HistoricalMe99")</f>
        <v>HistoricalMe99</v>
      </c>
      <c r="D507" s="75">
        <f>IFERROR(__xludf.DUMMYFUNCTION("""COMPUTED_VALUE"""),0.0)</f>
        <v>0</v>
      </c>
      <c r="E507" s="64"/>
      <c r="F507" s="95"/>
      <c r="G507" s="96"/>
      <c r="H507" s="64"/>
      <c r="I507" s="64"/>
      <c r="J507" s="64"/>
      <c r="K507" s="64"/>
      <c r="L507" s="64"/>
    </row>
    <row r="508" ht="16.5" customHeight="1">
      <c r="A508" s="64"/>
      <c r="B508" s="80" t="s">
        <v>18249</v>
      </c>
      <c r="C508" s="81" t="str">
        <f>IFERROR(__xludf.DUMMYFUNCTION("""COMPUTED_VALUE"""),"HolyMole")</f>
        <v>HolyMole</v>
      </c>
      <c r="D508" s="75">
        <f>IFERROR(__xludf.DUMMYFUNCTION("""COMPUTED_VALUE"""),0.0)</f>
        <v>0</v>
      </c>
      <c r="E508" s="64"/>
      <c r="F508" s="95"/>
      <c r="G508" s="96"/>
      <c r="H508" s="64"/>
      <c r="I508" s="64"/>
      <c r="J508" s="64"/>
      <c r="K508" s="64"/>
      <c r="L508" s="64"/>
    </row>
    <row r="509" ht="16.5" customHeight="1">
      <c r="A509" s="64"/>
      <c r="B509" s="80" t="s">
        <v>18249</v>
      </c>
      <c r="C509" s="81" t="str">
        <f>IFERROR(__xludf.DUMMYFUNCTION("""COMPUTED_VALUE"""),"Hopalon89013906")</f>
        <v>Hopalon89013906</v>
      </c>
      <c r="D509" s="75">
        <f>IFERROR(__xludf.DUMMYFUNCTION("""COMPUTED_VALUE"""),0.0)</f>
        <v>0</v>
      </c>
      <c r="E509" s="64"/>
      <c r="F509" s="95"/>
      <c r="G509" s="96"/>
      <c r="H509" s="64"/>
      <c r="I509" s="64"/>
      <c r="J509" s="64"/>
      <c r="K509" s="64"/>
      <c r="L509" s="64"/>
    </row>
    <row r="510" ht="16.5" customHeight="1">
      <c r="A510" s="64"/>
      <c r="B510" s="80" t="s">
        <v>18249</v>
      </c>
      <c r="C510" s="81" t="str">
        <f>IFERROR(__xludf.DUMMYFUNCTION("""COMPUTED_VALUE"""),"HopeFbpe")</f>
        <v>HopeFbpe</v>
      </c>
      <c r="D510" s="75">
        <f>IFERROR(__xludf.DUMMYFUNCTION("""COMPUTED_VALUE"""),0.0)</f>
        <v>0</v>
      </c>
      <c r="E510" s="64"/>
      <c r="F510" s="95"/>
      <c r="G510" s="96"/>
      <c r="H510" s="64"/>
      <c r="I510" s="64"/>
      <c r="J510" s="64"/>
      <c r="K510" s="64"/>
      <c r="L510" s="64"/>
    </row>
    <row r="511" ht="16.5" customHeight="1">
      <c r="A511" s="64"/>
      <c r="B511" s="80" t="s">
        <v>18249</v>
      </c>
      <c r="C511" s="81" t="str">
        <f>IFERROR(__xludf.DUMMYFUNCTION("""COMPUTED_VALUE"""),"HoratioAlger15")</f>
        <v>HoratioAlger15</v>
      </c>
      <c r="D511" s="75">
        <f>IFERROR(__xludf.DUMMYFUNCTION("""COMPUTED_VALUE"""),0.0)</f>
        <v>0</v>
      </c>
      <c r="E511" s="64"/>
      <c r="F511" s="95"/>
      <c r="G511" s="96"/>
      <c r="H511" s="64"/>
      <c r="I511" s="64"/>
      <c r="J511" s="64"/>
      <c r="K511" s="64"/>
      <c r="L511" s="64"/>
    </row>
    <row r="512" ht="16.5" customHeight="1">
      <c r="A512" s="64"/>
      <c r="B512" s="80" t="s">
        <v>18249</v>
      </c>
      <c r="C512" s="81" t="str">
        <f>IFERROR(__xludf.DUMMYFUNCTION("""COMPUTED_VALUE"""),"Horselessjane")</f>
        <v>Horselessjane</v>
      </c>
      <c r="D512" s="75">
        <f>IFERROR(__xludf.DUMMYFUNCTION("""COMPUTED_VALUE"""),0.0)</f>
        <v>0</v>
      </c>
      <c r="E512" s="64"/>
      <c r="F512" s="95"/>
      <c r="G512" s="96"/>
      <c r="H512" s="64"/>
      <c r="I512" s="64"/>
      <c r="J512" s="64"/>
      <c r="K512" s="64"/>
      <c r="L512" s="64"/>
    </row>
    <row r="513" ht="16.5" customHeight="1">
      <c r="A513" s="64"/>
      <c r="B513" s="80" t="s">
        <v>18249</v>
      </c>
      <c r="C513" s="81" t="str">
        <f>IFERROR(__xludf.DUMMYFUNCTION("""COMPUTED_VALUE"""),"Hubertelski")</f>
        <v>Hubertelski</v>
      </c>
      <c r="D513" s="75">
        <f>IFERROR(__xludf.DUMMYFUNCTION("""COMPUTED_VALUE"""),0.0)</f>
        <v>0</v>
      </c>
      <c r="E513" s="64"/>
      <c r="F513" s="95"/>
      <c r="G513" s="96"/>
      <c r="H513" s="64"/>
      <c r="I513" s="64"/>
      <c r="J513" s="64"/>
      <c r="K513" s="64"/>
      <c r="L513" s="64"/>
    </row>
    <row r="514" ht="16.5" customHeight="1">
      <c r="A514" s="64"/>
      <c r="B514" s="80" t="s">
        <v>18249</v>
      </c>
      <c r="C514" s="81" t="str">
        <f>IFERROR(__xludf.DUMMYFUNCTION("""COMPUTED_VALUE"""),"HurdlePaul")</f>
        <v>HurdlePaul</v>
      </c>
      <c r="D514" s="75">
        <f>IFERROR(__xludf.DUMMYFUNCTION("""COMPUTED_VALUE"""),0.0)</f>
        <v>0</v>
      </c>
      <c r="E514" s="64"/>
      <c r="F514" s="95"/>
      <c r="G514" s="96"/>
      <c r="H514" s="64"/>
      <c r="I514" s="64"/>
      <c r="J514" s="64"/>
      <c r="K514" s="64"/>
      <c r="L514" s="64"/>
    </row>
    <row r="515" ht="16.5" customHeight="1">
      <c r="A515" s="64"/>
      <c r="B515" s="80" t="s">
        <v>18249</v>
      </c>
      <c r="C515" s="81" t="str">
        <f>IFERROR(__xludf.DUMMYFUNCTION("""COMPUTED_VALUE"""),"HusseyMartin")</f>
        <v>HusseyMartin</v>
      </c>
      <c r="D515" s="75">
        <f>IFERROR(__xludf.DUMMYFUNCTION("""COMPUTED_VALUE"""),0.0)</f>
        <v>0</v>
      </c>
      <c r="E515" s="64"/>
      <c r="F515" s="95"/>
      <c r="G515" s="96"/>
      <c r="H515" s="64"/>
      <c r="I515" s="64"/>
      <c r="J515" s="64"/>
      <c r="K515" s="64"/>
      <c r="L515" s="64"/>
    </row>
    <row r="516" ht="16.5" customHeight="1">
      <c r="A516" s="64"/>
      <c r="B516" s="80" t="s">
        <v>18249</v>
      </c>
      <c r="C516" s="81" t="str">
        <f>IFERROR(__xludf.DUMMYFUNCTION("""COMPUTED_VALUE"""),"HuwpHuw")</f>
        <v>HuwpHuw</v>
      </c>
      <c r="D516" s="75">
        <f>IFERROR(__xludf.DUMMYFUNCTION("""COMPUTED_VALUE"""),0.0)</f>
        <v>0</v>
      </c>
      <c r="E516" s="64"/>
      <c r="F516" s="95"/>
      <c r="G516" s="96"/>
      <c r="H516" s="64"/>
      <c r="I516" s="64"/>
      <c r="J516" s="64"/>
      <c r="K516" s="64"/>
      <c r="L516" s="64"/>
    </row>
    <row r="517" ht="16.5" customHeight="1">
      <c r="A517" s="64"/>
      <c r="B517" s="80" t="s">
        <v>18249</v>
      </c>
      <c r="C517" s="81" t="str">
        <f>IFERROR(__xludf.DUMMYFUNCTION("""COMPUTED_VALUE"""),"Hyperion_PSN")</f>
        <v>Hyperion_PSN</v>
      </c>
      <c r="D517" s="75">
        <f>IFERROR(__xludf.DUMMYFUNCTION("""COMPUTED_VALUE"""),0.0)</f>
        <v>0</v>
      </c>
      <c r="E517" s="64"/>
      <c r="F517" s="95"/>
      <c r="G517" s="96"/>
      <c r="H517" s="64"/>
      <c r="I517" s="64"/>
      <c r="J517" s="64"/>
      <c r="K517" s="64"/>
      <c r="L517" s="64"/>
    </row>
    <row r="518" ht="16.5" customHeight="1">
      <c r="A518" s="64"/>
      <c r="B518" s="80" t="s">
        <v>18249</v>
      </c>
      <c r="C518" s="81" t="str">
        <f>IFERROR(__xludf.DUMMYFUNCTION("""COMPUTED_VALUE"""),"IMMFX")</f>
        <v>IMMFX</v>
      </c>
      <c r="D518" s="75">
        <f>IFERROR(__xludf.DUMMYFUNCTION("""COMPUTED_VALUE"""),0.0)</f>
        <v>0</v>
      </c>
      <c r="E518" s="64"/>
      <c r="F518" s="95"/>
      <c r="G518" s="96"/>
      <c r="H518" s="64"/>
      <c r="I518" s="64"/>
      <c r="J518" s="64"/>
      <c r="K518" s="64"/>
      <c r="L518" s="64"/>
    </row>
    <row r="519" ht="16.5" customHeight="1">
      <c r="A519" s="64"/>
      <c r="B519" s="80" t="s">
        <v>18249</v>
      </c>
      <c r="C519" s="81" t="str">
        <f>IFERROR(__xludf.DUMMYFUNCTION("""COMPUTED_VALUE"""),"IMSpardagus")</f>
        <v>IMSpardagus</v>
      </c>
      <c r="D519" s="75">
        <f>IFERROR(__xludf.DUMMYFUNCTION("""COMPUTED_VALUE"""),0.0)</f>
        <v>0</v>
      </c>
      <c r="E519" s="64"/>
      <c r="F519" s="95"/>
      <c r="G519" s="96"/>
      <c r="H519" s="64"/>
      <c r="I519" s="64"/>
      <c r="J519" s="64"/>
      <c r="K519" s="64"/>
      <c r="L519" s="64"/>
    </row>
    <row r="520" ht="16.5" customHeight="1">
      <c r="A520" s="64"/>
      <c r="B520" s="80" t="s">
        <v>18249</v>
      </c>
      <c r="C520" s="81" t="str">
        <f>IFERROR(__xludf.DUMMYFUNCTION("""COMPUTED_VALUE"""),"INDalton")</f>
        <v>INDalton</v>
      </c>
      <c r="D520" s="75">
        <f>IFERROR(__xludf.DUMMYFUNCTION("""COMPUTED_VALUE"""),0.0)</f>
        <v>0</v>
      </c>
      <c r="E520" s="64"/>
      <c r="F520" s="95"/>
      <c r="G520" s="96"/>
      <c r="H520" s="64"/>
      <c r="I520" s="64"/>
      <c r="J520" s="64"/>
      <c r="K520" s="64"/>
      <c r="L520" s="64"/>
    </row>
    <row r="521" ht="16.5" customHeight="1">
      <c r="A521" s="64"/>
      <c r="B521" s="80" t="s">
        <v>18249</v>
      </c>
      <c r="C521" s="81" t="str">
        <f>IFERROR(__xludf.DUMMYFUNCTION("""COMPUTED_VALUE"""),"Iain643")</f>
        <v>Iain643</v>
      </c>
      <c r="D521" s="75">
        <f>IFERROR(__xludf.DUMMYFUNCTION("""COMPUTED_VALUE"""),0.0)</f>
        <v>0</v>
      </c>
      <c r="E521" s="64"/>
      <c r="F521" s="95"/>
      <c r="G521" s="96"/>
      <c r="H521" s="64"/>
      <c r="I521" s="64"/>
      <c r="J521" s="64"/>
      <c r="K521" s="64"/>
      <c r="L521" s="64"/>
    </row>
    <row r="522" ht="16.5" customHeight="1">
      <c r="A522" s="64"/>
      <c r="B522" s="80" t="s">
        <v>18249</v>
      </c>
      <c r="C522" s="81" t="str">
        <f>IFERROR(__xludf.DUMMYFUNCTION("""COMPUTED_VALUE"""),"IainMacInnesUHI")</f>
        <v>IainMacInnesUHI</v>
      </c>
      <c r="D522" s="75">
        <f>IFERROR(__xludf.DUMMYFUNCTION("""COMPUTED_VALUE"""),0.0)</f>
        <v>0</v>
      </c>
      <c r="E522" s="64"/>
      <c r="F522" s="95"/>
      <c r="G522" s="96"/>
      <c r="H522" s="64"/>
      <c r="I522" s="64"/>
      <c r="J522" s="64"/>
      <c r="K522" s="64"/>
      <c r="L522" s="64"/>
    </row>
    <row r="523" ht="16.5" customHeight="1">
      <c r="A523" s="64"/>
      <c r="B523" s="80" t="s">
        <v>18249</v>
      </c>
      <c r="C523" s="81" t="str">
        <f>IFERROR(__xludf.DUMMYFUNCTION("""COMPUTED_VALUE"""),"Iamegriff")</f>
        <v>Iamegriff</v>
      </c>
      <c r="D523" s="75">
        <f>IFERROR(__xludf.DUMMYFUNCTION("""COMPUTED_VALUE"""),0.0)</f>
        <v>0</v>
      </c>
      <c r="E523" s="64"/>
      <c r="F523" s="95"/>
      <c r="G523" s="96"/>
      <c r="H523" s="64"/>
      <c r="I523" s="64"/>
      <c r="J523" s="64"/>
      <c r="K523" s="64"/>
      <c r="L523" s="64"/>
    </row>
    <row r="524" ht="16.5" customHeight="1">
      <c r="A524" s="64"/>
      <c r="B524" s="80" t="s">
        <v>18249</v>
      </c>
      <c r="C524" s="81" t="str">
        <f>IFERROR(__xludf.DUMMYFUNCTION("""COMPUTED_VALUE"""),"IanFWinter")</f>
        <v>IanFWinter</v>
      </c>
      <c r="D524" s="75">
        <f>IFERROR(__xludf.DUMMYFUNCTION("""COMPUTED_VALUE"""),0.0)</f>
        <v>0</v>
      </c>
      <c r="E524" s="64"/>
      <c r="F524" s="95"/>
      <c r="G524" s="96"/>
      <c r="H524" s="64"/>
      <c r="I524" s="64"/>
      <c r="J524" s="64"/>
      <c r="K524" s="64"/>
      <c r="L524" s="64"/>
    </row>
    <row r="525" ht="16.5" customHeight="1">
      <c r="A525" s="64"/>
      <c r="B525" s="80" t="s">
        <v>18249</v>
      </c>
      <c r="C525" s="81" t="str">
        <f>IFERROR(__xludf.DUMMYFUNCTION("""COMPUTED_VALUE"""),"IanGreenwood6")</f>
        <v>IanGreenwood6</v>
      </c>
      <c r="D525" s="75">
        <f>IFERROR(__xludf.DUMMYFUNCTION("""COMPUTED_VALUE"""),0.0)</f>
        <v>0</v>
      </c>
      <c r="E525" s="64"/>
      <c r="F525" s="95"/>
      <c r="G525" s="96"/>
      <c r="H525" s="64"/>
      <c r="I525" s="64"/>
      <c r="J525" s="64"/>
      <c r="K525" s="64"/>
      <c r="L525" s="64"/>
    </row>
    <row r="526" ht="16.5" customHeight="1">
      <c r="A526" s="64"/>
      <c r="B526" s="80" t="s">
        <v>18249</v>
      </c>
      <c r="C526" s="81" t="str">
        <f>IFERROR(__xludf.DUMMYFUNCTION("""COMPUTED_VALUE"""),"IanHLewis1")</f>
        <v>IanHLewis1</v>
      </c>
      <c r="D526" s="75">
        <f>IFERROR(__xludf.DUMMYFUNCTION("""COMPUTED_VALUE"""),0.0)</f>
        <v>0</v>
      </c>
      <c r="E526" s="64"/>
      <c r="F526" s="95"/>
      <c r="G526" s="96"/>
      <c r="H526" s="64"/>
      <c r="I526" s="64"/>
      <c r="J526" s="64"/>
      <c r="K526" s="64"/>
      <c r="L526" s="64"/>
    </row>
    <row r="527" ht="16.5" customHeight="1">
      <c r="A527" s="64"/>
      <c r="B527" s="80" t="s">
        <v>18249</v>
      </c>
      <c r="C527" s="81" t="str">
        <f>IFERROR(__xludf.DUMMYFUNCTION("""COMPUTED_VALUE"""),"IanRadcliffe4")</f>
        <v>IanRadcliffe4</v>
      </c>
      <c r="D527" s="75">
        <f>IFERROR(__xludf.DUMMYFUNCTION("""COMPUTED_VALUE"""),0.0)</f>
        <v>0</v>
      </c>
      <c r="E527" s="64"/>
      <c r="F527" s="95"/>
      <c r="G527" s="96"/>
      <c r="H527" s="64"/>
      <c r="I527" s="64"/>
      <c r="J527" s="64"/>
      <c r="K527" s="64"/>
      <c r="L527" s="64"/>
    </row>
    <row r="528" ht="16.5" customHeight="1">
      <c r="A528" s="64"/>
      <c r="B528" s="80" t="s">
        <v>18249</v>
      </c>
      <c r="C528" s="81" t="str">
        <f>IFERROR(__xludf.DUMMYFUNCTION("""COMPUTED_VALUE"""),"IanRobinson")</f>
        <v>IanRobinson</v>
      </c>
      <c r="D528" s="75">
        <f>IFERROR(__xludf.DUMMYFUNCTION("""COMPUTED_VALUE"""),0.0)</f>
        <v>0</v>
      </c>
      <c r="E528" s="64"/>
      <c r="F528" s="95"/>
      <c r="G528" s="96"/>
      <c r="H528" s="64"/>
      <c r="I528" s="64"/>
      <c r="J528" s="64"/>
      <c r="K528" s="64"/>
      <c r="L528" s="64"/>
    </row>
    <row r="529" ht="16.5" customHeight="1">
      <c r="A529" s="64"/>
      <c r="B529" s="80" t="s">
        <v>18249</v>
      </c>
      <c r="C529" s="81" t="str">
        <f>IFERROR(__xludf.DUMMYFUNCTION("""COMPUTED_VALUE"""),"Ilexargentia")</f>
        <v>Ilexargentia</v>
      </c>
      <c r="D529" s="75">
        <f>IFERROR(__xludf.DUMMYFUNCTION("""COMPUTED_VALUE"""),0.0)</f>
        <v>0</v>
      </c>
      <c r="E529" s="64"/>
      <c r="F529" s="95"/>
      <c r="G529" s="96"/>
      <c r="H529" s="64"/>
      <c r="I529" s="64"/>
      <c r="J529" s="64"/>
      <c r="K529" s="64"/>
      <c r="L529" s="64"/>
    </row>
    <row r="530" ht="16.5" customHeight="1">
      <c r="A530" s="64"/>
      <c r="B530" s="80" t="s">
        <v>18249</v>
      </c>
      <c r="C530" s="81" t="str">
        <f>IFERROR(__xludf.DUMMYFUNCTION("""COMPUTED_VALUE"""),"Iloveautumn2")</f>
        <v>Iloveautumn2</v>
      </c>
      <c r="D530" s="75">
        <f>IFERROR(__xludf.DUMMYFUNCTION("""COMPUTED_VALUE"""),0.0)</f>
        <v>0</v>
      </c>
      <c r="E530" s="64"/>
      <c r="F530" s="95"/>
      <c r="G530" s="96"/>
      <c r="H530" s="64"/>
      <c r="I530" s="64"/>
      <c r="J530" s="64"/>
      <c r="K530" s="64"/>
      <c r="L530" s="64"/>
    </row>
    <row r="531" ht="16.5" customHeight="1">
      <c r="A531" s="64"/>
      <c r="B531" s="80" t="s">
        <v>18249</v>
      </c>
      <c r="C531" s="81" t="str">
        <f>IFERROR(__xludf.DUMMYFUNCTION("""COMPUTED_VALUE"""),"InLeaving")</f>
        <v>InLeaving</v>
      </c>
      <c r="D531" s="75">
        <f>IFERROR(__xludf.DUMMYFUNCTION("""COMPUTED_VALUE"""),0.0)</f>
        <v>0</v>
      </c>
      <c r="E531" s="64"/>
      <c r="F531" s="95"/>
      <c r="G531" s="96"/>
      <c r="H531" s="64"/>
      <c r="I531" s="64"/>
      <c r="J531" s="64"/>
      <c r="K531" s="64"/>
      <c r="L531" s="64"/>
    </row>
    <row r="532" ht="16.5" customHeight="1">
      <c r="A532" s="64"/>
      <c r="B532" s="80" t="s">
        <v>18249</v>
      </c>
      <c r="C532" s="81" t="str">
        <f>IFERROR(__xludf.DUMMYFUNCTION("""COMPUTED_VALUE"""),"InaudibleMum")</f>
        <v>InaudibleMum</v>
      </c>
      <c r="D532" s="75">
        <f>IFERROR(__xludf.DUMMYFUNCTION("""COMPUTED_VALUE"""),0.0)</f>
        <v>0</v>
      </c>
      <c r="E532" s="64"/>
      <c r="F532" s="95"/>
      <c r="G532" s="96"/>
      <c r="H532" s="64"/>
      <c r="I532" s="64"/>
      <c r="J532" s="64"/>
      <c r="K532" s="64"/>
      <c r="L532" s="64"/>
    </row>
    <row r="533" ht="16.5" customHeight="1">
      <c r="A533" s="64"/>
      <c r="B533" s="80" t="s">
        <v>18249</v>
      </c>
      <c r="C533" s="81" t="str">
        <f>IFERROR(__xludf.DUMMYFUNCTION("""COMPUTED_VALUE"""),"IndyGraceland")</f>
        <v>IndyGraceland</v>
      </c>
      <c r="D533" s="75">
        <f>IFERROR(__xludf.DUMMYFUNCTION("""COMPUTED_VALUE"""),0.0)</f>
        <v>0</v>
      </c>
      <c r="E533" s="64"/>
      <c r="F533" s="95"/>
      <c r="G533" s="96"/>
      <c r="H533" s="64"/>
      <c r="I533" s="64"/>
      <c r="J533" s="64"/>
      <c r="K533" s="64"/>
      <c r="L533" s="64"/>
    </row>
    <row r="534" ht="16.5" customHeight="1">
      <c r="A534" s="64"/>
      <c r="B534" s="80" t="s">
        <v>18249</v>
      </c>
      <c r="C534" s="81" t="str">
        <f>IFERROR(__xludf.DUMMYFUNCTION("""COMPUTED_VALUE"""),"IndyVoices")</f>
        <v>IndyVoices</v>
      </c>
      <c r="D534" s="75">
        <f>IFERROR(__xludf.DUMMYFUNCTION("""COMPUTED_VALUE"""),0.0)</f>
        <v>0</v>
      </c>
      <c r="E534" s="64"/>
      <c r="F534" s="95"/>
      <c r="G534" s="96"/>
      <c r="H534" s="64"/>
      <c r="I534" s="64"/>
      <c r="J534" s="64"/>
      <c r="K534" s="64"/>
      <c r="L534" s="64"/>
    </row>
    <row r="535" ht="16.5" customHeight="1">
      <c r="A535" s="64"/>
      <c r="B535" s="80" t="s">
        <v>18249</v>
      </c>
      <c r="C535" s="81" t="str">
        <f>IFERROR(__xludf.DUMMYFUNCTION("""COMPUTED_VALUE"""),"Infatuatedmd")</f>
        <v>Infatuatedmd</v>
      </c>
      <c r="D535" s="75">
        <f>IFERROR(__xludf.DUMMYFUNCTION("""COMPUTED_VALUE"""),0.0)</f>
        <v>0</v>
      </c>
      <c r="E535" s="64"/>
      <c r="F535" s="95"/>
      <c r="G535" s="96"/>
      <c r="H535" s="64"/>
      <c r="I535" s="64"/>
      <c r="J535" s="64"/>
      <c r="K535" s="64"/>
      <c r="L535" s="64"/>
    </row>
    <row r="536" ht="16.5" customHeight="1">
      <c r="A536" s="64"/>
      <c r="B536" s="80" t="s">
        <v>18249</v>
      </c>
      <c r="C536" s="81" t="str">
        <f>IFERROR(__xludf.DUMMYFUNCTION("""COMPUTED_VALUE"""),"Infrared_44")</f>
        <v>Infrared_44</v>
      </c>
      <c r="D536" s="75">
        <f>IFERROR(__xludf.DUMMYFUNCTION("""COMPUTED_VALUE"""),0.0)</f>
        <v>0</v>
      </c>
      <c r="E536" s="64"/>
      <c r="F536" s="95"/>
      <c r="G536" s="96"/>
      <c r="H536" s="64"/>
      <c r="I536" s="64"/>
      <c r="J536" s="64"/>
      <c r="K536" s="64"/>
      <c r="L536" s="64"/>
    </row>
    <row r="537" ht="16.5" customHeight="1">
      <c r="A537" s="64"/>
      <c r="B537" s="80" t="s">
        <v>18249</v>
      </c>
      <c r="C537" s="81" t="str">
        <f>IFERROR(__xludf.DUMMYFUNCTION("""COMPUTED_VALUE"""),"InlimboV")</f>
        <v>InlimboV</v>
      </c>
      <c r="D537" s="75">
        <f>IFERROR(__xludf.DUMMYFUNCTION("""COMPUTED_VALUE"""),0.0)</f>
        <v>0</v>
      </c>
      <c r="E537" s="64"/>
      <c r="F537" s="95"/>
      <c r="G537" s="96"/>
      <c r="H537" s="64"/>
      <c r="I537" s="64"/>
      <c r="J537" s="64"/>
      <c r="K537" s="64"/>
      <c r="L537" s="64"/>
    </row>
    <row r="538" ht="16.5" customHeight="1">
      <c r="A538" s="64"/>
      <c r="B538" s="80" t="s">
        <v>18249</v>
      </c>
      <c r="C538" s="81" t="str">
        <f>IFERROR(__xludf.DUMMYFUNCTION("""COMPUTED_VALUE"""),"IslandNumber")</f>
        <v>IslandNumber</v>
      </c>
      <c r="D538" s="75">
        <f>IFERROR(__xludf.DUMMYFUNCTION("""COMPUTED_VALUE"""),0.0)</f>
        <v>0</v>
      </c>
      <c r="E538" s="64"/>
      <c r="F538" s="95"/>
      <c r="G538" s="96"/>
      <c r="H538" s="64"/>
      <c r="I538" s="64"/>
      <c r="J538" s="64"/>
      <c r="K538" s="64"/>
      <c r="L538" s="64"/>
    </row>
    <row r="539" ht="16.5" customHeight="1">
      <c r="A539" s="64"/>
      <c r="B539" s="80" t="s">
        <v>18249</v>
      </c>
      <c r="C539" s="81" t="str">
        <f>IFERROR(__xludf.DUMMYFUNCTION("""COMPUTED_VALUE"""),"IslingtonPierre")</f>
        <v>IslingtonPierre</v>
      </c>
      <c r="D539" s="75">
        <f>IFERROR(__xludf.DUMMYFUNCTION("""COMPUTED_VALUE"""),0.0)</f>
        <v>0</v>
      </c>
      <c r="E539" s="64"/>
      <c r="F539" s="95"/>
      <c r="G539" s="96"/>
      <c r="H539" s="64"/>
      <c r="I539" s="64"/>
      <c r="J539" s="64"/>
      <c r="K539" s="64"/>
      <c r="L539" s="64"/>
    </row>
    <row r="540" ht="16.5" customHeight="1">
      <c r="A540" s="64"/>
      <c r="B540" s="80" t="s">
        <v>18249</v>
      </c>
      <c r="C540" s="81" t="str">
        <f>IFERROR(__xludf.DUMMYFUNCTION("""COMPUTED_VALUE"""),"Isobel599818011")</f>
        <v>Isobel599818011</v>
      </c>
      <c r="D540" s="75">
        <f>IFERROR(__xludf.DUMMYFUNCTION("""COMPUTED_VALUE"""),0.0)</f>
        <v>0</v>
      </c>
      <c r="E540" s="64"/>
      <c r="F540" s="95"/>
      <c r="G540" s="96"/>
      <c r="H540" s="64"/>
      <c r="I540" s="64"/>
      <c r="J540" s="64"/>
      <c r="K540" s="64"/>
      <c r="L540" s="64"/>
    </row>
    <row r="541" ht="16.5" customHeight="1">
      <c r="A541" s="64"/>
      <c r="B541" s="80" t="s">
        <v>18249</v>
      </c>
      <c r="C541" s="81" t="str">
        <f>IFERROR(__xludf.DUMMYFUNCTION("""COMPUTED_VALUE"""),"Itsuvoman")</f>
        <v>Itsuvoman</v>
      </c>
      <c r="D541" s="75">
        <f>IFERROR(__xludf.DUMMYFUNCTION("""COMPUTED_VALUE"""),0.0)</f>
        <v>0</v>
      </c>
      <c r="E541" s="64"/>
      <c r="F541" s="95"/>
      <c r="G541" s="96"/>
      <c r="H541" s="64"/>
      <c r="I541" s="64"/>
      <c r="J541" s="64"/>
      <c r="K541" s="64"/>
      <c r="L541" s="64"/>
    </row>
    <row r="542" ht="16.5" customHeight="1">
      <c r="A542" s="64"/>
      <c r="B542" s="80" t="s">
        <v>18249</v>
      </c>
      <c r="C542" s="81" t="str">
        <f>IFERROR(__xludf.DUMMYFUNCTION("""COMPUTED_VALUE"""),"IvanKlass_")</f>
        <v>IvanKlass_</v>
      </c>
      <c r="D542" s="75">
        <f>IFERROR(__xludf.DUMMYFUNCTION("""COMPUTED_VALUE"""),0.0)</f>
        <v>0</v>
      </c>
      <c r="E542" s="64"/>
      <c r="F542" s="95"/>
      <c r="G542" s="96"/>
      <c r="H542" s="64"/>
      <c r="I542" s="64"/>
      <c r="J542" s="64"/>
      <c r="K542" s="64"/>
      <c r="L542" s="64"/>
    </row>
    <row r="543" ht="16.5" customHeight="1">
      <c r="A543" s="64"/>
      <c r="B543" s="80" t="s">
        <v>18249</v>
      </c>
      <c r="C543" s="81" t="str">
        <f>IFERROR(__xludf.DUMMYFUNCTION("""COMPUTED_VALUE"""),"Izzy92651441")</f>
        <v>Izzy92651441</v>
      </c>
      <c r="D543" s="75">
        <f>IFERROR(__xludf.DUMMYFUNCTION("""COMPUTED_VALUE"""),0.0)</f>
        <v>0</v>
      </c>
      <c r="E543" s="64"/>
      <c r="F543" s="95"/>
      <c r="G543" s="96"/>
      <c r="H543" s="64"/>
      <c r="I543" s="64"/>
      <c r="J543" s="64"/>
      <c r="K543" s="64"/>
      <c r="L543" s="64"/>
    </row>
    <row r="544" ht="16.5" customHeight="1">
      <c r="A544" s="64"/>
      <c r="B544" s="80" t="s">
        <v>18249</v>
      </c>
      <c r="C544" s="81" t="str">
        <f>IFERROR(__xludf.DUMMYFUNCTION("""COMPUTED_VALUE"""),"JBKilpatrick")</f>
        <v>JBKilpatrick</v>
      </c>
      <c r="D544" s="75">
        <f>IFERROR(__xludf.DUMMYFUNCTION("""COMPUTED_VALUE"""),0.0)</f>
        <v>0</v>
      </c>
      <c r="E544" s="64"/>
      <c r="F544" s="95"/>
      <c r="G544" s="96"/>
      <c r="H544" s="64"/>
      <c r="I544" s="64"/>
      <c r="J544" s="64"/>
      <c r="K544" s="64"/>
      <c r="L544" s="64"/>
    </row>
    <row r="545" ht="16.5" customHeight="1">
      <c r="A545" s="64"/>
      <c r="B545" s="80" t="s">
        <v>18249</v>
      </c>
      <c r="C545" s="81" t="str">
        <f>IFERROR(__xludf.DUMMYFUNCTION("""COMPUTED_VALUE"""),"JB_CFFire")</f>
        <v>JB_CFFire</v>
      </c>
      <c r="D545" s="75">
        <f>IFERROR(__xludf.DUMMYFUNCTION("""COMPUTED_VALUE"""),0.0)</f>
        <v>0</v>
      </c>
      <c r="E545" s="64"/>
      <c r="F545" s="95"/>
      <c r="G545" s="96"/>
      <c r="H545" s="64"/>
      <c r="I545" s="64"/>
      <c r="J545" s="64"/>
      <c r="K545" s="64"/>
      <c r="L545" s="64"/>
    </row>
    <row r="546" ht="16.5" customHeight="1">
      <c r="A546" s="64"/>
      <c r="B546" s="80" t="s">
        <v>18249</v>
      </c>
      <c r="C546" s="81" t="str">
        <f>IFERROR(__xludf.DUMMYFUNCTION("""COMPUTED_VALUE"""),"JBazzard")</f>
        <v>JBazzard</v>
      </c>
      <c r="D546" s="75">
        <f>IFERROR(__xludf.DUMMYFUNCTION("""COMPUTED_VALUE"""),0.0)</f>
        <v>0</v>
      </c>
      <c r="E546" s="64"/>
      <c r="F546" s="95"/>
      <c r="G546" s="96"/>
      <c r="H546" s="64"/>
      <c r="I546" s="64"/>
      <c r="J546" s="64"/>
      <c r="K546" s="64"/>
      <c r="L546" s="64"/>
    </row>
    <row r="547" ht="16.5" customHeight="1">
      <c r="A547" s="64"/>
      <c r="B547" s="80" t="s">
        <v>18249</v>
      </c>
      <c r="C547" s="81" t="str">
        <f>IFERROR(__xludf.DUMMYFUNCTION("""COMPUTED_VALUE"""),"JCharrison")</f>
        <v>JCharrison</v>
      </c>
      <c r="D547" s="75">
        <f>IFERROR(__xludf.DUMMYFUNCTION("""COMPUTED_VALUE"""),0.0)</f>
        <v>0</v>
      </c>
      <c r="E547" s="64"/>
      <c r="F547" s="95"/>
      <c r="G547" s="96"/>
      <c r="H547" s="64"/>
      <c r="I547" s="64"/>
      <c r="J547" s="64"/>
      <c r="K547" s="64"/>
      <c r="L547" s="64"/>
    </row>
    <row r="548" ht="16.5" customHeight="1">
      <c r="A548" s="64"/>
      <c r="B548" s="80" t="s">
        <v>18249</v>
      </c>
      <c r="C548" s="81" t="str">
        <f>IFERROR(__xludf.DUMMYFUNCTION("""COMPUTED_VALUE"""),"JE_Hillier")</f>
        <v>JE_Hillier</v>
      </c>
      <c r="D548" s="75">
        <f>IFERROR(__xludf.DUMMYFUNCTION("""COMPUTED_VALUE"""),0.0)</f>
        <v>0</v>
      </c>
      <c r="E548" s="64"/>
      <c r="F548" s="95"/>
      <c r="G548" s="96"/>
      <c r="H548" s="64"/>
      <c r="I548" s="64"/>
      <c r="J548" s="64"/>
      <c r="K548" s="64"/>
      <c r="L548" s="64"/>
    </row>
    <row r="549" ht="16.5" customHeight="1">
      <c r="A549" s="64"/>
      <c r="B549" s="80" t="s">
        <v>18249</v>
      </c>
      <c r="C549" s="81" t="str">
        <f>IFERROR(__xludf.DUMMYFUNCTION("""COMPUTED_VALUE"""),"JJSum")</f>
        <v>JJSum</v>
      </c>
      <c r="D549" s="75">
        <f>IFERROR(__xludf.DUMMYFUNCTION("""COMPUTED_VALUE"""),0.0)</f>
        <v>0</v>
      </c>
      <c r="E549" s="64"/>
      <c r="F549" s="95"/>
      <c r="G549" s="96"/>
      <c r="H549" s="64"/>
      <c r="I549" s="64"/>
      <c r="J549" s="64"/>
      <c r="K549" s="64"/>
      <c r="L549" s="64"/>
    </row>
    <row r="550" ht="16.5" customHeight="1">
      <c r="A550" s="64"/>
      <c r="B550" s="80" t="s">
        <v>18249</v>
      </c>
      <c r="C550" s="81" t="str">
        <f>IFERROR(__xludf.DUMMYFUNCTION("""COMPUTED_VALUE"""),"JJ_Enchanted")</f>
        <v>JJ_Enchanted</v>
      </c>
      <c r="D550" s="75">
        <f>IFERROR(__xludf.DUMMYFUNCTION("""COMPUTED_VALUE"""),0.0)</f>
        <v>0</v>
      </c>
      <c r="E550" s="64"/>
      <c r="F550" s="95"/>
      <c r="G550" s="96"/>
      <c r="H550" s="64"/>
      <c r="I550" s="64"/>
      <c r="J550" s="64"/>
      <c r="K550" s="64"/>
      <c r="L550" s="64"/>
    </row>
    <row r="551" ht="16.5" customHeight="1">
      <c r="A551" s="64"/>
      <c r="B551" s="80" t="s">
        <v>18249</v>
      </c>
      <c r="C551" s="81" t="str">
        <f>IFERROR(__xludf.DUMMYFUNCTION("""COMPUTED_VALUE"""),"JKLDNMAD")</f>
        <v>JKLDNMAD</v>
      </c>
      <c r="D551" s="75">
        <f>IFERROR(__xludf.DUMMYFUNCTION("""COMPUTED_VALUE"""),0.0)</f>
        <v>0</v>
      </c>
      <c r="E551" s="64"/>
      <c r="F551" s="95"/>
      <c r="G551" s="96"/>
      <c r="H551" s="64"/>
      <c r="I551" s="64"/>
      <c r="J551" s="64"/>
      <c r="K551" s="64"/>
      <c r="L551" s="64"/>
    </row>
    <row r="552" ht="16.5" customHeight="1">
      <c r="A552" s="64"/>
      <c r="B552" s="80" t="s">
        <v>18249</v>
      </c>
      <c r="C552" s="81" t="str">
        <f>IFERROR(__xludf.DUMMYFUNCTION("""COMPUTED_VALUE"""),"JL_998")</f>
        <v>JL_998</v>
      </c>
      <c r="D552" s="75">
        <f>IFERROR(__xludf.DUMMYFUNCTION("""COMPUTED_VALUE"""),0.0)</f>
        <v>0</v>
      </c>
      <c r="E552" s="64"/>
      <c r="F552" s="95"/>
      <c r="G552" s="96"/>
      <c r="H552" s="64"/>
      <c r="I552" s="64"/>
      <c r="J552" s="64"/>
      <c r="K552" s="64"/>
      <c r="L552" s="64"/>
    </row>
    <row r="553" ht="16.5" customHeight="1">
      <c r="A553" s="64"/>
      <c r="B553" s="80" t="s">
        <v>18249</v>
      </c>
      <c r="C553" s="81" t="str">
        <f>IFERROR(__xludf.DUMMYFUNCTION("""COMPUTED_VALUE"""),"JPLT59")</f>
        <v>JPLT59</v>
      </c>
      <c r="D553" s="75">
        <f>IFERROR(__xludf.DUMMYFUNCTION("""COMPUTED_VALUE"""),0.0)</f>
        <v>0</v>
      </c>
      <c r="E553" s="64"/>
      <c r="F553" s="95"/>
      <c r="G553" s="96"/>
      <c r="H553" s="64"/>
      <c r="I553" s="64"/>
      <c r="J553" s="64"/>
      <c r="K553" s="64"/>
      <c r="L553" s="64"/>
    </row>
    <row r="554" ht="16.5" customHeight="1">
      <c r="A554" s="64"/>
      <c r="B554" s="80" t="s">
        <v>18249</v>
      </c>
      <c r="C554" s="81" t="str">
        <f>IFERROR(__xludf.DUMMYFUNCTION("""COMPUTED_VALUE"""),"JPM06848080")</f>
        <v>JPM06848080</v>
      </c>
      <c r="D554" s="75">
        <f>IFERROR(__xludf.DUMMYFUNCTION("""COMPUTED_VALUE"""),0.0)</f>
        <v>0</v>
      </c>
      <c r="E554" s="64"/>
      <c r="F554" s="95"/>
      <c r="G554" s="96"/>
      <c r="H554" s="64"/>
      <c r="I554" s="64"/>
      <c r="J554" s="64"/>
      <c r="K554" s="64"/>
      <c r="L554" s="64"/>
    </row>
    <row r="555" ht="16.5" customHeight="1">
      <c r="A555" s="64"/>
      <c r="B555" s="80" t="s">
        <v>18249</v>
      </c>
      <c r="C555" s="81" t="str">
        <f>IFERROR(__xludf.DUMMYFUNCTION("""COMPUTED_VALUE"""),"JTempowski")</f>
        <v>JTempowski</v>
      </c>
      <c r="D555" s="75">
        <f>IFERROR(__xludf.DUMMYFUNCTION("""COMPUTED_VALUE"""),0.0)</f>
        <v>0</v>
      </c>
      <c r="E555" s="64"/>
      <c r="F555" s="95"/>
      <c r="G555" s="96"/>
      <c r="H555" s="64"/>
      <c r="I555" s="64"/>
      <c r="J555" s="64"/>
      <c r="K555" s="64"/>
      <c r="L555" s="64"/>
    </row>
    <row r="556" ht="16.5" customHeight="1">
      <c r="A556" s="64"/>
      <c r="B556" s="80" t="s">
        <v>18249</v>
      </c>
      <c r="C556" s="81" t="str">
        <f>IFERROR(__xludf.DUMMYFUNCTION("""COMPUTED_VALUE"""),"JWGarratt")</f>
        <v>JWGarratt</v>
      </c>
      <c r="D556" s="75">
        <f>IFERROR(__xludf.DUMMYFUNCTION("""COMPUTED_VALUE"""),0.0)</f>
        <v>0</v>
      </c>
      <c r="E556" s="64"/>
      <c r="F556" s="95"/>
      <c r="G556" s="96"/>
      <c r="H556" s="64"/>
      <c r="I556" s="64"/>
      <c r="J556" s="64"/>
      <c r="K556" s="64"/>
      <c r="L556" s="64"/>
    </row>
    <row r="557" ht="16.5" customHeight="1">
      <c r="A557" s="64"/>
      <c r="B557" s="80" t="s">
        <v>18249</v>
      </c>
      <c r="C557" s="81" t="str">
        <f>IFERROR(__xludf.DUMMYFUNCTION("""COMPUTED_VALUE"""),"JWils60")</f>
        <v>JWils60</v>
      </c>
      <c r="D557" s="75">
        <f>IFERROR(__xludf.DUMMYFUNCTION("""COMPUTED_VALUE"""),0.0)</f>
        <v>0</v>
      </c>
      <c r="E557" s="64"/>
      <c r="F557" s="95"/>
      <c r="G557" s="96"/>
      <c r="H557" s="64"/>
      <c r="I557" s="64"/>
      <c r="J557" s="64"/>
      <c r="K557" s="64"/>
      <c r="L557" s="64"/>
    </row>
    <row r="558" ht="16.5" customHeight="1">
      <c r="A558" s="64"/>
      <c r="B558" s="80" t="s">
        <v>18249</v>
      </c>
      <c r="C558" s="81" t="str">
        <f>IFERROR(__xludf.DUMMYFUNCTION("""COMPUTED_VALUE"""),"J_Andrew_Evans")</f>
        <v>J_Andrew_Evans</v>
      </c>
      <c r="D558" s="75">
        <f>IFERROR(__xludf.DUMMYFUNCTION("""COMPUTED_VALUE"""),0.0)</f>
        <v>0</v>
      </c>
      <c r="E558" s="64"/>
      <c r="F558" s="95"/>
      <c r="G558" s="96"/>
      <c r="H558" s="64"/>
      <c r="I558" s="64"/>
      <c r="J558" s="64"/>
      <c r="K558" s="64"/>
      <c r="L558" s="64"/>
    </row>
    <row r="559" ht="16.5" customHeight="1">
      <c r="A559" s="64"/>
      <c r="B559" s="80" t="s">
        <v>18249</v>
      </c>
      <c r="C559" s="81" t="str">
        <f>IFERROR(__xludf.DUMMYFUNCTION("""COMPUTED_VALUE"""),"J_Niteroi")</f>
        <v>J_Niteroi</v>
      </c>
      <c r="D559" s="75">
        <f>IFERROR(__xludf.DUMMYFUNCTION("""COMPUTED_VALUE"""),0.0)</f>
        <v>0</v>
      </c>
      <c r="E559" s="64"/>
      <c r="F559" s="95"/>
      <c r="G559" s="96"/>
      <c r="H559" s="64"/>
      <c r="I559" s="64"/>
      <c r="J559" s="64"/>
      <c r="K559" s="64"/>
      <c r="L559" s="64"/>
    </row>
    <row r="560" ht="16.5" customHeight="1">
      <c r="A560" s="64"/>
      <c r="B560" s="80" t="s">
        <v>18249</v>
      </c>
      <c r="C560" s="81" t="str">
        <f>IFERROR(__xludf.DUMMYFUNCTION("""COMPUTED_VALUE"""),"JackHen16271194")</f>
        <v>JackHen16271194</v>
      </c>
      <c r="D560" s="75">
        <f>IFERROR(__xludf.DUMMYFUNCTION("""COMPUTED_VALUE"""),0.0)</f>
        <v>0</v>
      </c>
      <c r="E560" s="64"/>
      <c r="F560" s="95"/>
      <c r="G560" s="96"/>
      <c r="H560" s="64"/>
      <c r="I560" s="64"/>
      <c r="J560" s="64"/>
      <c r="K560" s="64"/>
      <c r="L560" s="64"/>
    </row>
    <row r="561" ht="16.5" customHeight="1">
      <c r="A561" s="64"/>
      <c r="B561" s="80" t="s">
        <v>18249</v>
      </c>
      <c r="C561" s="81" t="str">
        <f>IFERROR(__xludf.DUMMYFUNCTION("""COMPUTED_VALUE"""),"Jackbentwarner")</f>
        <v>Jackbentwarner</v>
      </c>
      <c r="D561" s="75">
        <f>IFERROR(__xludf.DUMMYFUNCTION("""COMPUTED_VALUE"""),0.0)</f>
        <v>0</v>
      </c>
      <c r="E561" s="64"/>
      <c r="F561" s="95"/>
      <c r="G561" s="96"/>
      <c r="H561" s="64"/>
      <c r="I561" s="64"/>
      <c r="J561" s="64"/>
      <c r="K561" s="64"/>
      <c r="L561" s="64"/>
    </row>
    <row r="562" ht="16.5" customHeight="1">
      <c r="A562" s="64"/>
      <c r="B562" s="80" t="s">
        <v>18249</v>
      </c>
      <c r="C562" s="81" t="str">
        <f>IFERROR(__xludf.DUMMYFUNCTION("""COMPUTED_VALUE"""),"Jackcdawes")</f>
        <v>Jackcdawes</v>
      </c>
      <c r="D562" s="75">
        <f>IFERROR(__xludf.DUMMYFUNCTION("""COMPUTED_VALUE"""),0.0)</f>
        <v>0</v>
      </c>
      <c r="E562" s="64"/>
      <c r="F562" s="95"/>
      <c r="G562" s="96"/>
      <c r="H562" s="64"/>
      <c r="I562" s="64"/>
      <c r="J562" s="64"/>
      <c r="K562" s="64"/>
      <c r="L562" s="64"/>
    </row>
    <row r="563" ht="16.5" customHeight="1">
      <c r="A563" s="64"/>
      <c r="B563" s="80" t="s">
        <v>18249</v>
      </c>
      <c r="C563" s="81" t="str">
        <f>IFERROR(__xludf.DUMMYFUNCTION("""COMPUTED_VALUE"""),"Jackiem62275317")</f>
        <v>Jackiem62275317</v>
      </c>
      <c r="D563" s="75">
        <f>IFERROR(__xludf.DUMMYFUNCTION("""COMPUTED_VALUE"""),0.0)</f>
        <v>0</v>
      </c>
      <c r="E563" s="64"/>
      <c r="F563" s="95"/>
      <c r="G563" s="96"/>
      <c r="H563" s="64"/>
      <c r="I563" s="64"/>
      <c r="J563" s="64"/>
      <c r="K563" s="64"/>
      <c r="L563" s="64"/>
    </row>
    <row r="564" ht="16.5" customHeight="1">
      <c r="A564" s="64"/>
      <c r="B564" s="80" t="s">
        <v>18249</v>
      </c>
      <c r="C564" s="81" t="str">
        <f>IFERROR(__xludf.DUMMYFUNCTION("""COMPUTED_VALUE"""),"JackyHilary")</f>
        <v>JackyHilary</v>
      </c>
      <c r="D564" s="75">
        <f>IFERROR(__xludf.DUMMYFUNCTION("""COMPUTED_VALUE"""),0.0)</f>
        <v>0</v>
      </c>
      <c r="E564" s="64"/>
      <c r="F564" s="95"/>
      <c r="G564" s="96"/>
      <c r="H564" s="64"/>
      <c r="I564" s="64"/>
      <c r="J564" s="64"/>
      <c r="K564" s="64"/>
      <c r="L564" s="64"/>
    </row>
    <row r="565" ht="16.5" customHeight="1">
      <c r="A565" s="64"/>
      <c r="B565" s="80" t="s">
        <v>18249</v>
      </c>
      <c r="C565" s="81" t="str">
        <f>IFERROR(__xludf.DUMMYFUNCTION("""COMPUTED_VALUE"""),"Jackywacky51")</f>
        <v>Jackywacky51</v>
      </c>
      <c r="D565" s="75">
        <f>IFERROR(__xludf.DUMMYFUNCTION("""COMPUTED_VALUE"""),0.0)</f>
        <v>0</v>
      </c>
      <c r="E565" s="64"/>
      <c r="F565" s="95"/>
      <c r="G565" s="96"/>
      <c r="H565" s="64"/>
      <c r="I565" s="64"/>
      <c r="J565" s="64"/>
      <c r="K565" s="64"/>
      <c r="L565" s="64"/>
    </row>
    <row r="566" ht="16.5" customHeight="1">
      <c r="A566" s="64"/>
      <c r="B566" s="80" t="s">
        <v>18249</v>
      </c>
      <c r="C566" s="81" t="str">
        <f>IFERROR(__xludf.DUMMYFUNCTION("""COMPUTED_VALUE"""),"James_C_Bond")</f>
        <v>James_C_Bond</v>
      </c>
      <c r="D566" s="75">
        <f>IFERROR(__xludf.DUMMYFUNCTION("""COMPUTED_VALUE"""),0.0)</f>
        <v>0</v>
      </c>
      <c r="E566" s="64"/>
      <c r="F566" s="95"/>
      <c r="G566" s="96"/>
      <c r="H566" s="64"/>
      <c r="I566" s="64"/>
      <c r="J566" s="64"/>
      <c r="K566" s="64"/>
      <c r="L566" s="64"/>
    </row>
    <row r="567" ht="16.5" customHeight="1">
      <c r="A567" s="64"/>
      <c r="B567" s="80" t="s">
        <v>18249</v>
      </c>
      <c r="C567" s="81" t="str">
        <f>IFERROR(__xludf.DUMMYFUNCTION("""COMPUTED_VALUE"""),"Jan82276614")</f>
        <v>Jan82276614</v>
      </c>
      <c r="D567" s="75">
        <f>IFERROR(__xludf.DUMMYFUNCTION("""COMPUTED_VALUE"""),0.0)</f>
        <v>0</v>
      </c>
      <c r="E567" s="64"/>
      <c r="F567" s="95"/>
      <c r="G567" s="96"/>
      <c r="H567" s="64"/>
      <c r="I567" s="64"/>
      <c r="J567" s="64"/>
      <c r="K567" s="64"/>
      <c r="L567" s="64"/>
    </row>
    <row r="568" ht="16.5" customHeight="1">
      <c r="A568" s="64"/>
      <c r="B568" s="80" t="s">
        <v>18249</v>
      </c>
      <c r="C568" s="81" t="str">
        <f>IFERROR(__xludf.DUMMYFUNCTION("""COMPUTED_VALUE"""),"JaneLockwood18")</f>
        <v>JaneLockwood18</v>
      </c>
      <c r="D568" s="75">
        <f>IFERROR(__xludf.DUMMYFUNCTION("""COMPUTED_VALUE"""),0.0)</f>
        <v>0</v>
      </c>
      <c r="E568" s="64"/>
      <c r="F568" s="95"/>
      <c r="G568" s="96"/>
      <c r="H568" s="64"/>
      <c r="I568" s="64"/>
      <c r="J568" s="64"/>
      <c r="K568" s="64"/>
      <c r="L568" s="64"/>
    </row>
    <row r="569" ht="16.5" customHeight="1">
      <c r="A569" s="64"/>
      <c r="B569" s="80" t="s">
        <v>18249</v>
      </c>
      <c r="C569" s="81" t="str">
        <f>IFERROR(__xludf.DUMMYFUNCTION("""COMPUTED_VALUE"""),"JaneTurner101")</f>
        <v>JaneTurner101</v>
      </c>
      <c r="D569" s="75">
        <f>IFERROR(__xludf.DUMMYFUNCTION("""COMPUTED_VALUE"""),0.0)</f>
        <v>0</v>
      </c>
      <c r="E569" s="64"/>
      <c r="F569" s="95"/>
      <c r="G569" s="96"/>
      <c r="H569" s="64"/>
      <c r="I569" s="64"/>
      <c r="J569" s="64"/>
      <c r="K569" s="64"/>
      <c r="L569" s="64"/>
    </row>
    <row r="570" ht="16.5" customHeight="1">
      <c r="A570" s="64"/>
      <c r="B570" s="80" t="s">
        <v>18249</v>
      </c>
      <c r="C570" s="81" t="str">
        <f>IFERROR(__xludf.DUMMYFUNCTION("""COMPUTED_VALUE"""),"Janec2011")</f>
        <v>Janec2011</v>
      </c>
      <c r="D570" s="75">
        <f>IFERROR(__xludf.DUMMYFUNCTION("""COMPUTED_VALUE"""),0.0)</f>
        <v>0</v>
      </c>
      <c r="E570" s="64"/>
      <c r="F570" s="95"/>
      <c r="G570" s="96"/>
      <c r="H570" s="64"/>
      <c r="I570" s="64"/>
      <c r="J570" s="64"/>
      <c r="K570" s="64"/>
      <c r="L570" s="64"/>
    </row>
    <row r="571" ht="16.5" customHeight="1">
      <c r="A571" s="64"/>
      <c r="B571" s="80" t="s">
        <v>18249</v>
      </c>
      <c r="C571" s="81" t="str">
        <f>IFERROR(__xludf.DUMMYFUNCTION("""COMPUTED_VALUE"""),"JanineMcNair")</f>
        <v>JanineMcNair</v>
      </c>
      <c r="D571" s="75">
        <f>IFERROR(__xludf.DUMMYFUNCTION("""COMPUTED_VALUE"""),0.0)</f>
        <v>0</v>
      </c>
      <c r="E571" s="64"/>
      <c r="F571" s="95"/>
      <c r="G571" s="96"/>
      <c r="H571" s="64"/>
      <c r="I571" s="64"/>
      <c r="J571" s="64"/>
      <c r="K571" s="64"/>
      <c r="L571" s="64"/>
    </row>
    <row r="572" ht="16.5" customHeight="1">
      <c r="A572" s="64"/>
      <c r="B572" s="80" t="s">
        <v>18249</v>
      </c>
      <c r="C572" s="81" t="str">
        <f>IFERROR(__xludf.DUMMYFUNCTION("""COMPUTED_VALUE"""),"JasmineIshika")</f>
        <v>JasmineIshika</v>
      </c>
      <c r="D572" s="75">
        <f>IFERROR(__xludf.DUMMYFUNCTION("""COMPUTED_VALUE"""),0.0)</f>
        <v>0</v>
      </c>
      <c r="E572" s="64"/>
      <c r="F572" s="95"/>
      <c r="G572" s="96"/>
      <c r="H572" s="64"/>
      <c r="I572" s="64"/>
      <c r="J572" s="64"/>
      <c r="K572" s="64"/>
      <c r="L572" s="64"/>
    </row>
    <row r="573" ht="16.5" customHeight="1">
      <c r="A573" s="64"/>
      <c r="B573" s="80" t="s">
        <v>18249</v>
      </c>
      <c r="C573" s="81" t="str">
        <f>IFERROR(__xludf.DUMMYFUNCTION("""COMPUTED_VALUE"""),"JasonHazeley")</f>
        <v>JasonHazeley</v>
      </c>
      <c r="D573" s="75">
        <f>IFERROR(__xludf.DUMMYFUNCTION("""COMPUTED_VALUE"""),0.0)</f>
        <v>0</v>
      </c>
      <c r="E573" s="64"/>
      <c r="F573" s="95"/>
      <c r="G573" s="96"/>
      <c r="H573" s="64"/>
      <c r="I573" s="64"/>
      <c r="J573" s="64"/>
      <c r="K573" s="64"/>
      <c r="L573" s="64"/>
    </row>
    <row r="574" ht="16.5" customHeight="1">
      <c r="A574" s="64"/>
      <c r="B574" s="80" t="s">
        <v>18249</v>
      </c>
      <c r="C574" s="81" t="str">
        <f>IFERROR(__xludf.DUMMYFUNCTION("""COMPUTED_VALUE"""),"Jasondgoode")</f>
        <v>Jasondgoode</v>
      </c>
      <c r="D574" s="75">
        <f>IFERROR(__xludf.DUMMYFUNCTION("""COMPUTED_VALUE"""),0.0)</f>
        <v>0</v>
      </c>
      <c r="E574" s="64"/>
      <c r="F574" s="95"/>
      <c r="G574" s="96"/>
      <c r="H574" s="64"/>
      <c r="I574" s="64"/>
      <c r="J574" s="64"/>
      <c r="K574" s="64"/>
      <c r="L574" s="64"/>
    </row>
    <row r="575" ht="16.5" customHeight="1">
      <c r="A575" s="64"/>
      <c r="B575" s="80" t="s">
        <v>18249</v>
      </c>
      <c r="C575" s="81" t="str">
        <f>IFERROR(__xludf.DUMMYFUNCTION("""COMPUTED_VALUE"""),"Jaybronwenhall")</f>
        <v>Jaybronwenhall</v>
      </c>
      <c r="D575" s="75">
        <f>IFERROR(__xludf.DUMMYFUNCTION("""COMPUTED_VALUE"""),0.0)</f>
        <v>0</v>
      </c>
      <c r="E575" s="64"/>
      <c r="F575" s="95"/>
      <c r="G575" s="96"/>
      <c r="H575" s="64"/>
      <c r="I575" s="64"/>
      <c r="J575" s="64"/>
      <c r="K575" s="64"/>
      <c r="L575" s="64"/>
    </row>
    <row r="576" ht="16.5" customHeight="1">
      <c r="A576" s="64"/>
      <c r="B576" s="80" t="s">
        <v>18249</v>
      </c>
      <c r="C576" s="81" t="str">
        <f>IFERROR(__xludf.DUMMYFUNCTION("""COMPUTED_VALUE"""),"Jaymorton8")</f>
        <v>Jaymorton8</v>
      </c>
      <c r="D576" s="75">
        <f>IFERROR(__xludf.DUMMYFUNCTION("""COMPUTED_VALUE"""),0.0)</f>
        <v>0</v>
      </c>
      <c r="E576" s="64"/>
      <c r="F576" s="95"/>
      <c r="G576" s="96"/>
      <c r="H576" s="64"/>
      <c r="I576" s="64"/>
      <c r="J576" s="64"/>
      <c r="K576" s="64"/>
      <c r="L576" s="64"/>
    </row>
    <row r="577" ht="16.5" customHeight="1">
      <c r="A577" s="64"/>
      <c r="B577" s="80" t="s">
        <v>18249</v>
      </c>
      <c r="C577" s="81" t="str">
        <f>IFERROR(__xludf.DUMMYFUNCTION("""COMPUTED_VALUE"""),"JayneCallagha10")</f>
        <v>JayneCallagha10</v>
      </c>
      <c r="D577" s="75">
        <f>IFERROR(__xludf.DUMMYFUNCTION("""COMPUTED_VALUE"""),0.0)</f>
        <v>0</v>
      </c>
      <c r="E577" s="64"/>
      <c r="F577" s="95"/>
      <c r="G577" s="96"/>
      <c r="H577" s="64"/>
      <c r="I577" s="64"/>
      <c r="J577" s="64"/>
      <c r="K577" s="64"/>
      <c r="L577" s="64"/>
    </row>
    <row r="578" ht="16.5" customHeight="1">
      <c r="A578" s="64"/>
      <c r="B578" s="80" t="s">
        <v>18249</v>
      </c>
      <c r="C578" s="81" t="str">
        <f>IFERROR(__xludf.DUMMYFUNCTION("""COMPUTED_VALUE"""),"JazzySid")</f>
        <v>JazzySid</v>
      </c>
      <c r="D578" s="75">
        <f>IFERROR(__xludf.DUMMYFUNCTION("""COMPUTED_VALUE"""),0.0)</f>
        <v>0</v>
      </c>
      <c r="E578" s="64"/>
      <c r="F578" s="95"/>
      <c r="G578" s="96"/>
      <c r="H578" s="64"/>
      <c r="I578" s="64"/>
      <c r="J578" s="64"/>
      <c r="K578" s="64"/>
      <c r="L578" s="64"/>
    </row>
    <row r="579" ht="16.5" customHeight="1">
      <c r="A579" s="64"/>
      <c r="B579" s="80" t="s">
        <v>18249</v>
      </c>
      <c r="C579" s="81" t="str">
        <f>IFERROR(__xludf.DUMMYFUNCTION("""COMPUTED_VALUE"""),"JeanRognetta")</f>
        <v>JeanRognetta</v>
      </c>
      <c r="D579" s="75">
        <f>IFERROR(__xludf.DUMMYFUNCTION("""COMPUTED_VALUE"""),0.0)</f>
        <v>0</v>
      </c>
      <c r="E579" s="64"/>
      <c r="F579" s="95"/>
      <c r="G579" s="96"/>
      <c r="H579" s="64"/>
      <c r="I579" s="64"/>
      <c r="J579" s="64"/>
      <c r="K579" s="64"/>
      <c r="L579" s="64"/>
    </row>
    <row r="580" ht="16.5" customHeight="1">
      <c r="A580" s="64"/>
      <c r="B580" s="80" t="s">
        <v>18249</v>
      </c>
      <c r="C580" s="81" t="str">
        <f>IFERROR(__xludf.DUMMYFUNCTION("""COMPUTED_VALUE"""),"JeanRowe2")</f>
        <v>JeanRowe2</v>
      </c>
      <c r="D580" s="75">
        <f>IFERROR(__xludf.DUMMYFUNCTION("""COMPUTED_VALUE"""),0.0)</f>
        <v>0</v>
      </c>
      <c r="E580" s="64"/>
      <c r="F580" s="95"/>
      <c r="G580" s="96"/>
      <c r="H580" s="64"/>
      <c r="I580" s="64"/>
      <c r="J580" s="64"/>
      <c r="K580" s="64"/>
      <c r="L580" s="64"/>
    </row>
    <row r="581" ht="16.5" customHeight="1">
      <c r="A581" s="64"/>
      <c r="B581" s="80" t="s">
        <v>18249</v>
      </c>
      <c r="C581" s="81" t="str">
        <f>IFERROR(__xludf.DUMMYFUNCTION("""COMPUTED_VALUE"""),"Jeancol58961620")</f>
        <v>Jeancol58961620</v>
      </c>
      <c r="D581" s="75">
        <f>IFERROR(__xludf.DUMMYFUNCTION("""COMPUTED_VALUE"""),0.0)</f>
        <v>0</v>
      </c>
      <c r="E581" s="64"/>
      <c r="F581" s="95"/>
      <c r="G581" s="96"/>
      <c r="H581" s="64"/>
      <c r="I581" s="64"/>
      <c r="J581" s="64"/>
      <c r="K581" s="64"/>
      <c r="L581" s="64"/>
    </row>
    <row r="582" ht="16.5" customHeight="1">
      <c r="A582" s="64"/>
      <c r="B582" s="80" t="s">
        <v>18249</v>
      </c>
      <c r="C582" s="81" t="str">
        <f>IFERROR(__xludf.DUMMYFUNCTION("""COMPUTED_VALUE"""),"JenFullick")</f>
        <v>JenFullick</v>
      </c>
      <c r="D582" s="75">
        <f>IFERROR(__xludf.DUMMYFUNCTION("""COMPUTED_VALUE"""),0.0)</f>
        <v>0</v>
      </c>
      <c r="E582" s="64"/>
      <c r="F582" s="95"/>
      <c r="G582" s="96"/>
      <c r="H582" s="64"/>
      <c r="I582" s="64"/>
      <c r="J582" s="64"/>
      <c r="K582" s="64"/>
      <c r="L582" s="64"/>
    </row>
    <row r="583" ht="16.5" customHeight="1">
      <c r="A583" s="64"/>
      <c r="B583" s="80" t="s">
        <v>18249</v>
      </c>
      <c r="C583" s="81" t="str">
        <f>IFERROR(__xludf.DUMMYFUNCTION("""COMPUTED_VALUE"""),"Jenkoranian")</f>
        <v>Jenkoranian</v>
      </c>
      <c r="D583" s="75">
        <f>IFERROR(__xludf.DUMMYFUNCTION("""COMPUTED_VALUE"""),0.0)</f>
        <v>0</v>
      </c>
      <c r="E583" s="64"/>
      <c r="F583" s="95"/>
      <c r="G583" s="96"/>
      <c r="H583" s="64"/>
      <c r="I583" s="64"/>
      <c r="J583" s="64"/>
      <c r="K583" s="64"/>
      <c r="L583" s="64"/>
    </row>
    <row r="584" ht="16.5" customHeight="1">
      <c r="A584" s="64"/>
      <c r="B584" s="80" t="s">
        <v>18249</v>
      </c>
      <c r="C584" s="81" t="str">
        <f>IFERROR(__xludf.DUMMYFUNCTION("""COMPUTED_VALUE"""),"JennyBrookfiel2")</f>
        <v>JennyBrookfiel2</v>
      </c>
      <c r="D584" s="75">
        <f>IFERROR(__xludf.DUMMYFUNCTION("""COMPUTED_VALUE"""),0.0)</f>
        <v>0</v>
      </c>
      <c r="E584" s="64"/>
      <c r="F584" s="95"/>
      <c r="G584" s="96"/>
      <c r="H584" s="64"/>
      <c r="I584" s="64"/>
      <c r="J584" s="64"/>
      <c r="K584" s="64"/>
      <c r="L584" s="64"/>
    </row>
    <row r="585" ht="16.5" customHeight="1">
      <c r="A585" s="64"/>
      <c r="B585" s="80" t="s">
        <v>18249</v>
      </c>
      <c r="C585" s="81" t="str">
        <f>IFERROR(__xludf.DUMMYFUNCTION("""COMPUTED_VALUE"""),"JennyJones1313")</f>
        <v>JennyJones1313</v>
      </c>
      <c r="D585" s="75">
        <f>IFERROR(__xludf.DUMMYFUNCTION("""COMPUTED_VALUE"""),0.0)</f>
        <v>0</v>
      </c>
      <c r="E585" s="64"/>
      <c r="F585" s="95"/>
      <c r="G585" s="96"/>
      <c r="H585" s="64"/>
      <c r="I585" s="64"/>
      <c r="J585" s="64"/>
      <c r="K585" s="64"/>
      <c r="L585" s="64"/>
    </row>
    <row r="586" ht="16.5" customHeight="1">
      <c r="A586" s="64"/>
      <c r="B586" s="80" t="s">
        <v>18249</v>
      </c>
      <c r="C586" s="81" t="str">
        <f>IFERROR(__xludf.DUMMYFUNCTION("""COMPUTED_VALUE"""),"JervisKate")</f>
        <v>JervisKate</v>
      </c>
      <c r="D586" s="75">
        <f>IFERROR(__xludf.DUMMYFUNCTION("""COMPUTED_VALUE"""),0.0)</f>
        <v>0</v>
      </c>
      <c r="E586" s="64"/>
      <c r="F586" s="95"/>
      <c r="G586" s="96"/>
      <c r="H586" s="64"/>
      <c r="I586" s="64"/>
      <c r="J586" s="64"/>
      <c r="K586" s="64"/>
      <c r="L586" s="64"/>
    </row>
    <row r="587" ht="16.5" customHeight="1">
      <c r="A587" s="64"/>
      <c r="B587" s="80" t="s">
        <v>18249</v>
      </c>
      <c r="C587" s="81" t="str">
        <f>IFERROR(__xludf.DUMMYFUNCTION("""COMPUTED_VALUE"""),"JetoxTV")</f>
        <v>JetoxTV</v>
      </c>
      <c r="D587" s="75">
        <f>IFERROR(__xludf.DUMMYFUNCTION("""COMPUTED_VALUE"""),0.0)</f>
        <v>0</v>
      </c>
      <c r="E587" s="64"/>
      <c r="F587" s="95"/>
      <c r="G587" s="96"/>
      <c r="H587" s="64"/>
      <c r="I587" s="64"/>
      <c r="J587" s="64"/>
      <c r="K587" s="64"/>
      <c r="L587" s="64"/>
    </row>
    <row r="588" ht="16.5" customHeight="1">
      <c r="A588" s="64"/>
      <c r="B588" s="80" t="s">
        <v>18249</v>
      </c>
      <c r="C588" s="81" t="str">
        <f>IFERROR(__xludf.DUMMYFUNCTION("""COMPUTED_VALUE"""),"JillFox16")</f>
        <v>JillFox16</v>
      </c>
      <c r="D588" s="75">
        <f>IFERROR(__xludf.DUMMYFUNCTION("""COMPUTED_VALUE"""),0.0)</f>
        <v>0</v>
      </c>
      <c r="E588" s="64"/>
      <c r="F588" s="95"/>
      <c r="G588" s="96"/>
      <c r="H588" s="64"/>
      <c r="I588" s="64"/>
      <c r="J588" s="64"/>
      <c r="K588" s="64"/>
      <c r="L588" s="64"/>
    </row>
    <row r="589" ht="16.5" customHeight="1">
      <c r="A589" s="64"/>
      <c r="B589" s="80" t="s">
        <v>18249</v>
      </c>
      <c r="C589" s="81" t="str">
        <f>IFERROR(__xludf.DUMMYFUNCTION("""COMPUTED_VALUE"""),"JillWhisker")</f>
        <v>JillWhisker</v>
      </c>
      <c r="D589" s="75">
        <f>IFERROR(__xludf.DUMMYFUNCTION("""COMPUTED_VALUE"""),0.0)</f>
        <v>0</v>
      </c>
      <c r="E589" s="64"/>
      <c r="F589" s="95"/>
      <c r="G589" s="96"/>
      <c r="H589" s="64"/>
      <c r="I589" s="64"/>
      <c r="J589" s="64"/>
      <c r="K589" s="64"/>
      <c r="L589" s="64"/>
    </row>
    <row r="590" ht="16.5" customHeight="1">
      <c r="A590" s="64"/>
      <c r="B590" s="80" t="s">
        <v>18249</v>
      </c>
      <c r="C590" s="81" t="str">
        <f>IFERROR(__xludf.DUMMYFUNCTION("""COMPUTED_VALUE"""),"JimCam73")</f>
        <v>JimCam73</v>
      </c>
      <c r="D590" s="75">
        <f>IFERROR(__xludf.DUMMYFUNCTION("""COMPUTED_VALUE"""),0.0)</f>
        <v>0</v>
      </c>
      <c r="E590" s="64"/>
      <c r="F590" s="95"/>
      <c r="G590" s="96"/>
      <c r="H590" s="64"/>
      <c r="I590" s="64"/>
      <c r="J590" s="64"/>
      <c r="K590" s="64"/>
      <c r="L590" s="64"/>
    </row>
    <row r="591" ht="16.5" customHeight="1">
      <c r="A591" s="64"/>
      <c r="B591" s="80" t="s">
        <v>18249</v>
      </c>
      <c r="C591" s="81" t="str">
        <f>IFERROR(__xludf.DUMMYFUNCTION("""COMPUTED_VALUE"""),"JimPybus")</f>
        <v>JimPybus</v>
      </c>
      <c r="D591" s="75">
        <f>IFERROR(__xludf.DUMMYFUNCTION("""COMPUTED_VALUE"""),0.0)</f>
        <v>0</v>
      </c>
      <c r="E591" s="64"/>
      <c r="F591" s="95"/>
      <c r="G591" s="96"/>
      <c r="H591" s="64"/>
      <c r="I591" s="64"/>
      <c r="J591" s="64"/>
      <c r="K591" s="64"/>
      <c r="L591" s="64"/>
    </row>
    <row r="592" ht="16.5" customHeight="1">
      <c r="A592" s="64"/>
      <c r="B592" s="80" t="s">
        <v>18249</v>
      </c>
      <c r="C592" s="81" t="str">
        <f>IFERROR(__xludf.DUMMYFUNCTION("""COMPUTED_VALUE"""),"JimlennonLennon")</f>
        <v>JimlennonLennon</v>
      </c>
      <c r="D592" s="75">
        <f>IFERROR(__xludf.DUMMYFUNCTION("""COMPUTED_VALUE"""),0.0)</f>
        <v>0</v>
      </c>
      <c r="E592" s="64"/>
      <c r="F592" s="95"/>
      <c r="G592" s="96"/>
      <c r="H592" s="64"/>
      <c r="I592" s="64"/>
      <c r="J592" s="64"/>
      <c r="K592" s="64"/>
      <c r="L592" s="64"/>
    </row>
    <row r="593" ht="16.5" customHeight="1">
      <c r="A593" s="64"/>
      <c r="B593" s="80" t="s">
        <v>18249</v>
      </c>
      <c r="C593" s="81" t="str">
        <f>IFERROR(__xludf.DUMMYFUNCTION("""COMPUTED_VALUE"""),"JimmyCoats4")</f>
        <v>JimmyCoats4</v>
      </c>
      <c r="D593" s="75">
        <f>IFERROR(__xludf.DUMMYFUNCTION("""COMPUTED_VALUE"""),0.0)</f>
        <v>0</v>
      </c>
      <c r="E593" s="64"/>
      <c r="F593" s="95"/>
      <c r="G593" s="96"/>
      <c r="H593" s="64"/>
      <c r="I593" s="64"/>
      <c r="J593" s="64"/>
      <c r="K593" s="64"/>
      <c r="L593" s="64"/>
    </row>
    <row r="594" ht="16.5" customHeight="1">
      <c r="A594" s="64"/>
      <c r="B594" s="80" t="s">
        <v>18249</v>
      </c>
      <c r="C594" s="81" t="str">
        <f>IFERROR(__xludf.DUMMYFUNCTION("""COMPUTED_VALUE"""),"Jms7777Justin")</f>
        <v>Jms7777Justin</v>
      </c>
      <c r="D594" s="75">
        <f>IFERROR(__xludf.DUMMYFUNCTION("""COMPUTED_VALUE"""),0.0)</f>
        <v>0</v>
      </c>
      <c r="E594" s="64"/>
      <c r="F594" s="95"/>
      <c r="G594" s="96"/>
      <c r="H594" s="64"/>
      <c r="I594" s="64"/>
      <c r="J594" s="64"/>
      <c r="K594" s="64"/>
      <c r="L594" s="64"/>
    </row>
    <row r="595" ht="16.5" customHeight="1">
      <c r="A595" s="64"/>
      <c r="B595" s="80" t="s">
        <v>18249</v>
      </c>
      <c r="C595" s="81" t="str">
        <f>IFERROR(__xludf.DUMMYFUNCTION("""COMPUTED_VALUE"""),"JoBail5")</f>
        <v>JoBail5</v>
      </c>
      <c r="D595" s="75">
        <f>IFERROR(__xludf.DUMMYFUNCTION("""COMPUTED_VALUE"""),0.0)</f>
        <v>0</v>
      </c>
      <c r="E595" s="64"/>
      <c r="F595" s="95"/>
      <c r="G595" s="96"/>
      <c r="H595" s="64"/>
      <c r="I595" s="64"/>
      <c r="J595" s="64"/>
      <c r="K595" s="64"/>
      <c r="L595" s="64"/>
    </row>
    <row r="596" ht="16.5" customHeight="1">
      <c r="A596" s="64"/>
      <c r="B596" s="80" t="s">
        <v>18249</v>
      </c>
      <c r="C596" s="81" t="str">
        <f>IFERROR(__xludf.DUMMYFUNCTION("""COMPUTED_VALUE"""),"JoPeacock16")</f>
        <v>JoPeacock16</v>
      </c>
      <c r="D596" s="75">
        <f>IFERROR(__xludf.DUMMYFUNCTION("""COMPUTED_VALUE"""),0.0)</f>
        <v>0</v>
      </c>
      <c r="E596" s="64"/>
      <c r="F596" s="95"/>
      <c r="G596" s="96"/>
      <c r="H596" s="64"/>
      <c r="I596" s="64"/>
      <c r="J596" s="64"/>
      <c r="K596" s="64"/>
      <c r="L596" s="64"/>
    </row>
    <row r="597" ht="16.5" customHeight="1">
      <c r="A597" s="64"/>
      <c r="B597" s="80" t="s">
        <v>18249</v>
      </c>
      <c r="C597" s="81" t="str">
        <f>IFERROR(__xludf.DUMMYFUNCTION("""COMPUTED_VALUE"""),"JoRichardsKent")</f>
        <v>JoRichardsKent</v>
      </c>
      <c r="D597" s="75">
        <f>IFERROR(__xludf.DUMMYFUNCTION("""COMPUTED_VALUE"""),0.0)</f>
        <v>0</v>
      </c>
      <c r="E597" s="64"/>
      <c r="F597" s="95"/>
      <c r="G597" s="96"/>
      <c r="H597" s="64"/>
      <c r="I597" s="64"/>
      <c r="J597" s="64"/>
      <c r="K597" s="64"/>
      <c r="L597" s="64"/>
    </row>
    <row r="598" ht="16.5" customHeight="1">
      <c r="A598" s="64"/>
      <c r="B598" s="80" t="s">
        <v>18249</v>
      </c>
      <c r="C598" s="81" t="str">
        <f>IFERROR(__xludf.DUMMYFUNCTION("""COMPUTED_VALUE"""),"JoeCatcheside")</f>
        <v>JoeCatcheside</v>
      </c>
      <c r="D598" s="75">
        <f>IFERROR(__xludf.DUMMYFUNCTION("""COMPUTED_VALUE"""),0.0)</f>
        <v>0</v>
      </c>
      <c r="E598" s="64"/>
      <c r="F598" s="95"/>
      <c r="G598" s="96"/>
      <c r="H598" s="64"/>
      <c r="I598" s="64"/>
      <c r="J598" s="64"/>
      <c r="K598" s="64"/>
      <c r="L598" s="64"/>
    </row>
    <row r="599" ht="16.5" customHeight="1">
      <c r="A599" s="64"/>
      <c r="B599" s="80" t="s">
        <v>18249</v>
      </c>
      <c r="C599" s="81" t="str">
        <f>IFERROR(__xludf.DUMMYFUNCTION("""COMPUTED_VALUE"""),"JoeLucking66")</f>
        <v>JoeLucking66</v>
      </c>
      <c r="D599" s="75">
        <f>IFERROR(__xludf.DUMMYFUNCTION("""COMPUTED_VALUE"""),0.0)</f>
        <v>0</v>
      </c>
      <c r="E599" s="64"/>
      <c r="F599" s="95"/>
      <c r="G599" s="96"/>
      <c r="H599" s="64"/>
      <c r="I599" s="64"/>
      <c r="J599" s="64"/>
      <c r="K599" s="64"/>
      <c r="L599" s="64"/>
    </row>
    <row r="600" ht="16.5" customHeight="1">
      <c r="A600" s="64"/>
      <c r="B600" s="80" t="s">
        <v>18249</v>
      </c>
      <c r="C600" s="81" t="str">
        <f>IFERROR(__xludf.DUMMYFUNCTION("""COMPUTED_VALUE"""),"JoelRouvinen")</f>
        <v>JoelRouvinen</v>
      </c>
      <c r="D600" s="75">
        <f>IFERROR(__xludf.DUMMYFUNCTION("""COMPUTED_VALUE"""),0.0)</f>
        <v>0</v>
      </c>
      <c r="E600" s="64"/>
      <c r="F600" s="95"/>
      <c r="G600" s="96"/>
      <c r="H600" s="64"/>
      <c r="I600" s="64"/>
      <c r="J600" s="64"/>
      <c r="K600" s="64"/>
      <c r="L600" s="64"/>
    </row>
    <row r="601" ht="16.5" customHeight="1">
      <c r="A601" s="64"/>
      <c r="B601" s="80" t="s">
        <v>18249</v>
      </c>
      <c r="C601" s="81" t="str">
        <f>IFERROR(__xludf.DUMMYFUNCTION("""COMPUTED_VALUE"""),"Joey_brexit_dog")</f>
        <v>Joey_brexit_dog</v>
      </c>
      <c r="D601" s="75">
        <f>IFERROR(__xludf.DUMMYFUNCTION("""COMPUTED_VALUE"""),0.0)</f>
        <v>0</v>
      </c>
      <c r="E601" s="64"/>
      <c r="F601" s="95"/>
      <c r="G601" s="96"/>
      <c r="H601" s="64"/>
      <c r="I601" s="64"/>
      <c r="J601" s="64"/>
      <c r="K601" s="64"/>
      <c r="L601" s="64"/>
    </row>
    <row r="602" ht="16.5" customHeight="1">
      <c r="A602" s="64"/>
      <c r="B602" s="80" t="s">
        <v>18249</v>
      </c>
      <c r="C602" s="81" t="str">
        <f>IFERROR(__xludf.DUMMYFUNCTION("""COMPUTED_VALUE"""),"John2000AD")</f>
        <v>John2000AD</v>
      </c>
      <c r="D602" s="75">
        <f>IFERROR(__xludf.DUMMYFUNCTION("""COMPUTED_VALUE"""),0.0)</f>
        <v>0</v>
      </c>
      <c r="E602" s="64"/>
      <c r="F602" s="95"/>
      <c r="G602" s="96"/>
      <c r="H602" s="64"/>
      <c r="I602" s="64"/>
      <c r="J602" s="64"/>
      <c r="K602" s="64"/>
      <c r="L602" s="64"/>
    </row>
    <row r="603" ht="16.5" customHeight="1">
      <c r="A603" s="64"/>
      <c r="B603" s="80" t="s">
        <v>18249</v>
      </c>
      <c r="C603" s="81" t="str">
        <f>IFERROR(__xludf.DUMMYFUNCTION("""COMPUTED_VALUE"""),"JohnAsh94737774")</f>
        <v>JohnAsh94737774</v>
      </c>
      <c r="D603" s="75">
        <f>IFERROR(__xludf.DUMMYFUNCTION("""COMPUTED_VALUE"""),0.0)</f>
        <v>0</v>
      </c>
      <c r="E603" s="64"/>
      <c r="F603" s="95"/>
      <c r="G603" s="96"/>
      <c r="H603" s="64"/>
      <c r="I603" s="64"/>
      <c r="J603" s="64"/>
      <c r="K603" s="64"/>
      <c r="L603" s="64"/>
    </row>
    <row r="604" ht="16.5" customHeight="1">
      <c r="A604" s="64"/>
      <c r="B604" s="80" t="s">
        <v>18249</v>
      </c>
      <c r="C604" s="81" t="str">
        <f>IFERROR(__xludf.DUMMYFUNCTION("""COMPUTED_VALUE"""),"JohnBoo85608696")</f>
        <v>JohnBoo85608696</v>
      </c>
      <c r="D604" s="75">
        <f>IFERROR(__xludf.DUMMYFUNCTION("""COMPUTED_VALUE"""),0.0)</f>
        <v>0</v>
      </c>
      <c r="E604" s="64"/>
      <c r="F604" s="95"/>
      <c r="G604" s="96"/>
      <c r="H604" s="64"/>
      <c r="I604" s="64"/>
      <c r="J604" s="64"/>
      <c r="K604" s="64"/>
      <c r="L604" s="64"/>
    </row>
    <row r="605" ht="16.5" customHeight="1">
      <c r="A605" s="64"/>
      <c r="B605" s="80" t="s">
        <v>18249</v>
      </c>
      <c r="C605" s="81" t="str">
        <f>IFERROR(__xludf.DUMMYFUNCTION("""COMPUTED_VALUE"""),"JohnCam91405227")</f>
        <v>JohnCam91405227</v>
      </c>
      <c r="D605" s="75">
        <f>IFERROR(__xludf.DUMMYFUNCTION("""COMPUTED_VALUE"""),0.0)</f>
        <v>0</v>
      </c>
      <c r="E605" s="64"/>
      <c r="F605" s="95"/>
      <c r="G605" s="96"/>
      <c r="H605" s="64"/>
      <c r="I605" s="64"/>
      <c r="J605" s="64"/>
      <c r="K605" s="64"/>
      <c r="L605" s="64"/>
    </row>
    <row r="606" ht="16.5" customHeight="1">
      <c r="A606" s="64"/>
      <c r="B606" s="80" t="s">
        <v>18249</v>
      </c>
      <c r="C606" s="81" t="str">
        <f>IFERROR(__xludf.DUMMYFUNCTION("""COMPUTED_VALUE"""),"JohnClarke1960")</f>
        <v>JohnClarke1960</v>
      </c>
      <c r="D606" s="75">
        <f>IFERROR(__xludf.DUMMYFUNCTION("""COMPUTED_VALUE"""),0.0)</f>
        <v>0</v>
      </c>
      <c r="E606" s="64"/>
      <c r="F606" s="95"/>
      <c r="G606" s="96"/>
      <c r="H606" s="64"/>
      <c r="I606" s="64"/>
      <c r="J606" s="64"/>
      <c r="K606" s="64"/>
      <c r="L606" s="64"/>
    </row>
    <row r="607" ht="16.5" customHeight="1">
      <c r="A607" s="64"/>
      <c r="B607" s="80" t="s">
        <v>18249</v>
      </c>
      <c r="C607" s="81" t="str">
        <f>IFERROR(__xludf.DUMMYFUNCTION("""COMPUTED_VALUE"""),"JohnCur74968742")</f>
        <v>JohnCur74968742</v>
      </c>
      <c r="D607" s="75">
        <f>IFERROR(__xludf.DUMMYFUNCTION("""COMPUTED_VALUE"""),0.0)</f>
        <v>0</v>
      </c>
      <c r="E607" s="64"/>
      <c r="F607" s="95"/>
      <c r="G607" s="96"/>
      <c r="H607" s="64"/>
      <c r="I607" s="64"/>
      <c r="J607" s="64"/>
      <c r="K607" s="64"/>
      <c r="L607" s="64"/>
    </row>
    <row r="608" ht="16.5" customHeight="1">
      <c r="A608" s="64"/>
      <c r="B608" s="80" t="s">
        <v>18249</v>
      </c>
      <c r="C608" s="81" t="str">
        <f>IFERROR(__xludf.DUMMYFUNCTION("""COMPUTED_VALUE"""),"JohnGillibrand")</f>
        <v>JohnGillibrand</v>
      </c>
      <c r="D608" s="75">
        <f>IFERROR(__xludf.DUMMYFUNCTION("""COMPUTED_VALUE"""),0.0)</f>
        <v>0</v>
      </c>
      <c r="E608" s="64"/>
      <c r="F608" s="95"/>
      <c r="G608" s="96"/>
      <c r="H608" s="64"/>
      <c r="I608" s="64"/>
      <c r="J608" s="64"/>
      <c r="K608" s="64"/>
      <c r="L608" s="64"/>
    </row>
    <row r="609" ht="16.5" customHeight="1">
      <c r="A609" s="64"/>
      <c r="B609" s="80" t="s">
        <v>18249</v>
      </c>
      <c r="C609" s="81" t="str">
        <f>IFERROR(__xludf.DUMMYFUNCTION("""COMPUTED_VALUE"""),"JohnGoodrich")</f>
        <v>JohnGoodrich</v>
      </c>
      <c r="D609" s="75">
        <f>IFERROR(__xludf.DUMMYFUNCTION("""COMPUTED_VALUE"""),0.0)</f>
        <v>0</v>
      </c>
      <c r="E609" s="64"/>
      <c r="F609" s="95"/>
      <c r="G609" s="96"/>
      <c r="H609" s="64"/>
      <c r="I609" s="64"/>
      <c r="J609" s="64"/>
      <c r="K609" s="64"/>
      <c r="L609" s="64"/>
    </row>
    <row r="610" ht="16.5" customHeight="1">
      <c r="A610" s="64"/>
      <c r="B610" s="80" t="s">
        <v>18249</v>
      </c>
      <c r="C610" s="81" t="str">
        <f>IFERROR(__xludf.DUMMYFUNCTION("""COMPUTED_VALUE"""),"JohnHurr")</f>
        <v>JohnHurr</v>
      </c>
      <c r="D610" s="75">
        <f>IFERROR(__xludf.DUMMYFUNCTION("""COMPUTED_VALUE"""),0.0)</f>
        <v>0</v>
      </c>
      <c r="E610" s="64"/>
      <c r="F610" s="95"/>
      <c r="G610" s="96"/>
      <c r="H610" s="64"/>
      <c r="I610" s="64"/>
      <c r="J610" s="64"/>
      <c r="K610" s="64"/>
      <c r="L610" s="64"/>
    </row>
    <row r="611" ht="16.5" customHeight="1">
      <c r="A611" s="64"/>
      <c r="B611" s="80" t="s">
        <v>18249</v>
      </c>
      <c r="C611" s="81" t="str">
        <f>IFERROR(__xludf.DUMMYFUNCTION("""COMPUTED_VALUE"""),"JohnJacksonUAL")</f>
        <v>JohnJacksonUAL</v>
      </c>
      <c r="D611" s="75">
        <f>IFERROR(__xludf.DUMMYFUNCTION("""COMPUTED_VALUE"""),0.0)</f>
        <v>0</v>
      </c>
      <c r="E611" s="64"/>
      <c r="F611" s="95"/>
      <c r="G611" s="96"/>
      <c r="H611" s="64"/>
      <c r="I611" s="64"/>
      <c r="J611" s="64"/>
      <c r="K611" s="64"/>
      <c r="L611" s="64"/>
    </row>
    <row r="612" ht="16.5" customHeight="1">
      <c r="A612" s="64"/>
      <c r="B612" s="80" t="s">
        <v>18249</v>
      </c>
      <c r="C612" s="81" t="str">
        <f>IFERROR(__xludf.DUMMYFUNCTION("""COMPUTED_VALUE"""),"JohnKLDN")</f>
        <v>JohnKLDN</v>
      </c>
      <c r="D612" s="75">
        <f>IFERROR(__xludf.DUMMYFUNCTION("""COMPUTED_VALUE"""),0.0)</f>
        <v>0</v>
      </c>
      <c r="E612" s="64"/>
      <c r="F612" s="95"/>
      <c r="G612" s="96"/>
      <c r="H612" s="64"/>
      <c r="I612" s="64"/>
      <c r="J612" s="64"/>
      <c r="K612" s="64"/>
      <c r="L612" s="64"/>
    </row>
    <row r="613" ht="16.5" customHeight="1">
      <c r="A613" s="64"/>
      <c r="B613" s="80" t="s">
        <v>18249</v>
      </c>
      <c r="C613" s="81" t="str">
        <f>IFERROR(__xludf.DUMMYFUNCTION("""COMPUTED_VALUE"""),"JohnPBowenMusic")</f>
        <v>JohnPBowenMusic</v>
      </c>
      <c r="D613" s="75">
        <f>IFERROR(__xludf.DUMMYFUNCTION("""COMPUTED_VALUE"""),0.0)</f>
        <v>0</v>
      </c>
      <c r="E613" s="64"/>
      <c r="F613" s="95"/>
      <c r="G613" s="96"/>
      <c r="H613" s="64"/>
      <c r="I613" s="64"/>
      <c r="J613" s="64"/>
      <c r="K613" s="64"/>
      <c r="L613" s="64"/>
    </row>
    <row r="614" ht="16.5" customHeight="1">
      <c r="A614" s="64"/>
      <c r="B614" s="80" t="s">
        <v>18249</v>
      </c>
      <c r="C614" s="81" t="str">
        <f>IFERROR(__xludf.DUMMYFUNCTION("""COMPUTED_VALUE"""),"JohnSin12439176")</f>
        <v>JohnSin12439176</v>
      </c>
      <c r="D614" s="75">
        <f>IFERROR(__xludf.DUMMYFUNCTION("""COMPUTED_VALUE"""),0.0)</f>
        <v>0</v>
      </c>
      <c r="E614" s="64"/>
      <c r="F614" s="95"/>
      <c r="G614" s="96"/>
      <c r="H614" s="64"/>
      <c r="I614" s="64"/>
      <c r="J614" s="64"/>
      <c r="K614" s="64"/>
      <c r="L614" s="64"/>
    </row>
    <row r="615" ht="16.5" customHeight="1">
      <c r="A615" s="64"/>
      <c r="B615" s="80" t="s">
        <v>18249</v>
      </c>
      <c r="C615" s="81" t="str">
        <f>IFERROR(__xludf.DUMMYFUNCTION("""COMPUTED_VALUE"""),"JohnWilkinspsyc")</f>
        <v>JohnWilkinspsyc</v>
      </c>
      <c r="D615" s="75">
        <f>IFERROR(__xludf.DUMMYFUNCTION("""COMPUTED_VALUE"""),0.0)</f>
        <v>0</v>
      </c>
      <c r="E615" s="64"/>
      <c r="F615" s="95"/>
      <c r="G615" s="96"/>
      <c r="H615" s="64"/>
      <c r="I615" s="64"/>
      <c r="J615" s="64"/>
      <c r="K615" s="64"/>
      <c r="L615" s="64"/>
    </row>
    <row r="616" ht="16.5" customHeight="1">
      <c r="A616" s="64"/>
      <c r="B616" s="80" t="s">
        <v>18249</v>
      </c>
      <c r="C616" s="81" t="str">
        <f>IFERROR(__xludf.DUMMYFUNCTION("""COMPUTED_VALUE"""),"Johnmfitzp")</f>
        <v>Johnmfitzp</v>
      </c>
      <c r="D616" s="75">
        <f>IFERROR(__xludf.DUMMYFUNCTION("""COMPUTED_VALUE"""),0.0)</f>
        <v>0</v>
      </c>
      <c r="E616" s="64"/>
      <c r="F616" s="95"/>
      <c r="G616" s="96"/>
      <c r="H616" s="64"/>
      <c r="I616" s="64"/>
      <c r="J616" s="64"/>
      <c r="K616" s="64"/>
      <c r="L616" s="64"/>
    </row>
    <row r="617" ht="16.5" customHeight="1">
      <c r="A617" s="64"/>
      <c r="B617" s="80" t="s">
        <v>18249</v>
      </c>
      <c r="C617" s="81" t="str">
        <f>IFERROR(__xludf.DUMMYFUNCTION("""COMPUTED_VALUE"""),"Johnnyrelevant")</f>
        <v>Johnnyrelevant</v>
      </c>
      <c r="D617" s="75">
        <f>IFERROR(__xludf.DUMMYFUNCTION("""COMPUTED_VALUE"""),0.0)</f>
        <v>0</v>
      </c>
      <c r="E617" s="64"/>
      <c r="F617" s="95"/>
      <c r="G617" s="96"/>
      <c r="H617" s="64"/>
      <c r="I617" s="64"/>
      <c r="J617" s="64"/>
      <c r="K617" s="64"/>
      <c r="L617" s="64"/>
    </row>
    <row r="618" ht="16.5" customHeight="1">
      <c r="A618" s="64"/>
      <c r="B618" s="80" t="s">
        <v>18249</v>
      </c>
      <c r="C618" s="81" t="str">
        <f>IFERROR(__xludf.DUMMYFUNCTION("""COMPUTED_VALUE"""),"JolandaGjoni")</f>
        <v>JolandaGjoni</v>
      </c>
      <c r="D618" s="75">
        <f>IFERROR(__xludf.DUMMYFUNCTION("""COMPUTED_VALUE"""),0.0)</f>
        <v>0</v>
      </c>
      <c r="E618" s="64"/>
      <c r="F618" s="95"/>
      <c r="G618" s="96"/>
      <c r="H618" s="64"/>
      <c r="I618" s="64"/>
      <c r="J618" s="64"/>
      <c r="K618" s="64"/>
      <c r="L618" s="64"/>
    </row>
    <row r="619" ht="16.5" customHeight="1">
      <c r="A619" s="64"/>
      <c r="B619" s="80" t="s">
        <v>18249</v>
      </c>
      <c r="C619" s="81" t="str">
        <f>IFERROR(__xludf.DUMMYFUNCTION("""COMPUTED_VALUE"""),"JonBF23")</f>
        <v>JonBF23</v>
      </c>
      <c r="D619" s="75">
        <f>IFERROR(__xludf.DUMMYFUNCTION("""COMPUTED_VALUE"""),0.0)</f>
        <v>0</v>
      </c>
      <c r="E619" s="64"/>
      <c r="F619" s="95"/>
      <c r="G619" s="96"/>
      <c r="H619" s="64"/>
      <c r="I619" s="64"/>
      <c r="J619" s="64"/>
      <c r="K619" s="64"/>
      <c r="L619" s="64"/>
    </row>
    <row r="620" ht="16.5" customHeight="1">
      <c r="A620" s="64"/>
      <c r="B620" s="80" t="s">
        <v>18249</v>
      </c>
      <c r="C620" s="81" t="str">
        <f>IFERROR(__xludf.DUMMYFUNCTION("""COMPUTED_VALUE"""),"JonLegsby")</f>
        <v>JonLegsby</v>
      </c>
      <c r="D620" s="75">
        <f>IFERROR(__xludf.DUMMYFUNCTION("""COMPUTED_VALUE"""),0.0)</f>
        <v>0</v>
      </c>
      <c r="E620" s="64"/>
      <c r="F620" s="95"/>
      <c r="G620" s="96"/>
      <c r="H620" s="64"/>
      <c r="I620" s="64"/>
      <c r="J620" s="64"/>
      <c r="K620" s="64"/>
      <c r="L620" s="64"/>
    </row>
    <row r="621" ht="16.5" customHeight="1">
      <c r="A621" s="64"/>
      <c r="B621" s="80" t="s">
        <v>18249</v>
      </c>
      <c r="C621" s="81" t="str">
        <f>IFERROR(__xludf.DUMMYFUNCTION("""COMPUTED_VALUE"""),"Jon_Danzig")</f>
        <v>Jon_Danzig</v>
      </c>
      <c r="D621" s="75">
        <f>IFERROR(__xludf.DUMMYFUNCTION("""COMPUTED_VALUE"""),0.0)</f>
        <v>0</v>
      </c>
      <c r="E621" s="64"/>
      <c r="F621" s="95"/>
      <c r="G621" s="96"/>
      <c r="H621" s="64"/>
      <c r="I621" s="64"/>
      <c r="J621" s="64"/>
      <c r="K621" s="64"/>
      <c r="L621" s="64"/>
    </row>
    <row r="622" ht="16.5" customHeight="1">
      <c r="A622" s="64"/>
      <c r="B622" s="80" t="s">
        <v>18249</v>
      </c>
      <c r="C622" s="81" t="str">
        <f>IFERROR(__xludf.DUMMYFUNCTION("""COMPUTED_VALUE"""),"Jon_Fraser01")</f>
        <v>Jon_Fraser01</v>
      </c>
      <c r="D622" s="75">
        <f>IFERROR(__xludf.DUMMYFUNCTION("""COMPUTED_VALUE"""),0.0)</f>
        <v>0</v>
      </c>
      <c r="E622" s="64"/>
      <c r="F622" s="95"/>
      <c r="G622" s="96"/>
      <c r="H622" s="64"/>
      <c r="I622" s="64"/>
      <c r="J622" s="64"/>
      <c r="K622" s="64"/>
      <c r="L622" s="64"/>
    </row>
    <row r="623" ht="16.5" customHeight="1">
      <c r="A623" s="64"/>
      <c r="B623" s="80" t="s">
        <v>18249</v>
      </c>
      <c r="C623" s="81" t="str">
        <f>IFERROR(__xludf.DUMMYFUNCTION("""COMPUTED_VALUE"""),"Jones_No6")</f>
        <v>Jones_No6</v>
      </c>
      <c r="D623" s="75">
        <f>IFERROR(__xludf.DUMMYFUNCTION("""COMPUTED_VALUE"""),0.0)</f>
        <v>0</v>
      </c>
      <c r="E623" s="64"/>
      <c r="F623" s="95"/>
      <c r="G623" s="96"/>
      <c r="H623" s="64"/>
      <c r="I623" s="64"/>
      <c r="J623" s="64"/>
      <c r="K623" s="64"/>
      <c r="L623" s="64"/>
    </row>
    <row r="624" ht="16.5" customHeight="1">
      <c r="A624" s="64"/>
      <c r="B624" s="80" t="s">
        <v>18249</v>
      </c>
      <c r="C624" s="81" t="str">
        <f>IFERROR(__xludf.DUMMYFUNCTION("""COMPUTED_VALUE"""),"JonnyShiraz")</f>
        <v>JonnyShiraz</v>
      </c>
      <c r="D624" s="75">
        <f>IFERROR(__xludf.DUMMYFUNCTION("""COMPUTED_VALUE"""),0.0)</f>
        <v>0</v>
      </c>
      <c r="E624" s="64"/>
      <c r="F624" s="95"/>
      <c r="G624" s="96"/>
      <c r="H624" s="64"/>
      <c r="I624" s="64"/>
      <c r="J624" s="64"/>
      <c r="K624" s="64"/>
      <c r="L624" s="64"/>
    </row>
    <row r="625" ht="16.5" customHeight="1">
      <c r="A625" s="64"/>
      <c r="B625" s="80" t="s">
        <v>18249</v>
      </c>
      <c r="C625" s="81" t="str">
        <f>IFERROR(__xludf.DUMMYFUNCTION("""COMPUTED_VALUE"""),"JosieParr1")</f>
        <v>JosieParr1</v>
      </c>
      <c r="D625" s="75">
        <f>IFERROR(__xludf.DUMMYFUNCTION("""COMPUTED_VALUE"""),0.0)</f>
        <v>0</v>
      </c>
      <c r="E625" s="64"/>
      <c r="F625" s="95"/>
      <c r="G625" s="96"/>
      <c r="H625" s="64"/>
      <c r="I625" s="64"/>
      <c r="J625" s="64"/>
      <c r="K625" s="64"/>
      <c r="L625" s="64"/>
    </row>
    <row r="626" ht="16.5" customHeight="1">
      <c r="A626" s="64"/>
      <c r="B626" s="80" t="s">
        <v>18249</v>
      </c>
      <c r="C626" s="81" t="str">
        <f>IFERROR(__xludf.DUMMYFUNCTION("""COMPUTED_VALUE"""),"JoyBrook1")</f>
        <v>JoyBrook1</v>
      </c>
      <c r="D626" s="75">
        <f>IFERROR(__xludf.DUMMYFUNCTION("""COMPUTED_VALUE"""),0.0)</f>
        <v>0</v>
      </c>
      <c r="E626" s="64"/>
      <c r="F626" s="95"/>
      <c r="G626" s="96"/>
      <c r="H626" s="64"/>
      <c r="I626" s="64"/>
      <c r="J626" s="64"/>
      <c r="K626" s="64"/>
      <c r="L626" s="64"/>
    </row>
    <row r="627" ht="16.5" customHeight="1">
      <c r="A627" s="64"/>
      <c r="B627" s="80" t="s">
        <v>18249</v>
      </c>
      <c r="C627" s="81" t="str">
        <f>IFERROR(__xludf.DUMMYFUNCTION("""COMPUTED_VALUE"""),"Jrheyworth")</f>
        <v>Jrheyworth</v>
      </c>
      <c r="D627" s="75">
        <f>IFERROR(__xludf.DUMMYFUNCTION("""COMPUTED_VALUE"""),0.0)</f>
        <v>0</v>
      </c>
      <c r="E627" s="64"/>
      <c r="F627" s="95"/>
      <c r="G627" s="96"/>
      <c r="H627" s="64"/>
      <c r="I627" s="64"/>
      <c r="J627" s="64"/>
      <c r="K627" s="64"/>
      <c r="L627" s="64"/>
    </row>
    <row r="628" ht="16.5" customHeight="1">
      <c r="A628" s="64"/>
      <c r="B628" s="80" t="s">
        <v>18249</v>
      </c>
      <c r="C628" s="81" t="str">
        <f>IFERROR(__xludf.DUMMYFUNCTION("""COMPUTED_VALUE"""),"JudyAbel2")</f>
        <v>JudyAbel2</v>
      </c>
      <c r="D628" s="75">
        <f>IFERROR(__xludf.DUMMYFUNCTION("""COMPUTED_VALUE"""),0.0)</f>
        <v>0</v>
      </c>
      <c r="E628" s="64"/>
      <c r="F628" s="95"/>
      <c r="G628" s="96"/>
      <c r="H628" s="64"/>
      <c r="I628" s="64"/>
      <c r="J628" s="64"/>
      <c r="K628" s="64"/>
      <c r="L628" s="64"/>
    </row>
    <row r="629" ht="16.5" customHeight="1">
      <c r="A629" s="64"/>
      <c r="B629" s="80" t="s">
        <v>18249</v>
      </c>
      <c r="C629" s="81" t="str">
        <f>IFERROR(__xludf.DUMMYFUNCTION("""COMPUTED_VALUE"""),"JueChi1")</f>
        <v>JueChi1</v>
      </c>
      <c r="D629" s="75">
        <f>IFERROR(__xludf.DUMMYFUNCTION("""COMPUTED_VALUE"""),0.0)</f>
        <v>0</v>
      </c>
      <c r="E629" s="64"/>
      <c r="F629" s="95"/>
      <c r="G629" s="96"/>
      <c r="H629" s="64"/>
      <c r="I629" s="64"/>
      <c r="J629" s="64"/>
      <c r="K629" s="64"/>
      <c r="L629" s="64"/>
    </row>
    <row r="630" ht="16.5" customHeight="1">
      <c r="A630" s="64"/>
      <c r="B630" s="80" t="s">
        <v>18249</v>
      </c>
      <c r="C630" s="81" t="str">
        <f>IFERROR(__xludf.DUMMYFUNCTION("""COMPUTED_VALUE"""),"JuhaLemmetti")</f>
        <v>JuhaLemmetti</v>
      </c>
      <c r="D630" s="75">
        <f>IFERROR(__xludf.DUMMYFUNCTION("""COMPUTED_VALUE"""),0.0)</f>
        <v>0</v>
      </c>
      <c r="E630" s="64"/>
      <c r="F630" s="95"/>
      <c r="G630" s="96"/>
      <c r="H630" s="64"/>
      <c r="I630" s="64"/>
      <c r="J630" s="64"/>
      <c r="K630" s="64"/>
      <c r="L630" s="64"/>
    </row>
    <row r="631" ht="16.5" customHeight="1">
      <c r="A631" s="64"/>
      <c r="B631" s="80" t="s">
        <v>18249</v>
      </c>
      <c r="C631" s="81" t="str">
        <f>IFERROR(__xludf.DUMMYFUNCTION("""COMPUTED_VALUE"""),"JulesHobbs3")</f>
        <v>JulesHobbs3</v>
      </c>
      <c r="D631" s="75">
        <f>IFERROR(__xludf.DUMMYFUNCTION("""COMPUTED_VALUE"""),0.0)</f>
        <v>0</v>
      </c>
      <c r="E631" s="64"/>
      <c r="F631" s="95"/>
      <c r="G631" s="96"/>
      <c r="H631" s="64"/>
      <c r="I631" s="64"/>
      <c r="J631" s="64"/>
      <c r="K631" s="64"/>
      <c r="L631" s="64"/>
    </row>
    <row r="632" ht="16.5" customHeight="1">
      <c r="A632" s="64"/>
      <c r="B632" s="80" t="s">
        <v>18249</v>
      </c>
      <c r="C632" s="81" t="str">
        <f>IFERROR(__xludf.DUMMYFUNCTION("""COMPUTED_VALUE"""),"JuliaHMuir")</f>
        <v>JuliaHMuir</v>
      </c>
      <c r="D632" s="75">
        <f>IFERROR(__xludf.DUMMYFUNCTION("""COMPUTED_VALUE"""),0.0)</f>
        <v>0</v>
      </c>
      <c r="E632" s="64"/>
      <c r="F632" s="95"/>
      <c r="G632" s="96"/>
      <c r="H632" s="64"/>
      <c r="I632" s="64"/>
      <c r="J632" s="64"/>
      <c r="K632" s="64"/>
      <c r="L632" s="64"/>
    </row>
    <row r="633" ht="16.5" customHeight="1">
      <c r="A633" s="64"/>
      <c r="B633" s="80" t="s">
        <v>18249</v>
      </c>
      <c r="C633" s="81" t="str">
        <f>IFERROR(__xludf.DUMMYFUNCTION("""COMPUTED_VALUE"""),"JulianC2412")</f>
        <v>JulianC2412</v>
      </c>
      <c r="D633" s="75">
        <f>IFERROR(__xludf.DUMMYFUNCTION("""COMPUTED_VALUE"""),0.0)</f>
        <v>0</v>
      </c>
      <c r="E633" s="64"/>
      <c r="F633" s="95"/>
      <c r="G633" s="96"/>
      <c r="H633" s="64"/>
      <c r="I633" s="64"/>
      <c r="J633" s="64"/>
      <c r="K633" s="64"/>
      <c r="L633" s="64"/>
    </row>
    <row r="634" ht="16.5" customHeight="1">
      <c r="A634" s="64"/>
      <c r="B634" s="80" t="s">
        <v>18249</v>
      </c>
      <c r="C634" s="81" t="str">
        <f>IFERROR(__xludf.DUMMYFUNCTION("""COMPUTED_VALUE"""),"JulianHarvey17")</f>
        <v>JulianHarvey17</v>
      </c>
      <c r="D634" s="75">
        <f>IFERROR(__xludf.DUMMYFUNCTION("""COMPUTED_VALUE"""),0.0)</f>
        <v>0</v>
      </c>
      <c r="E634" s="64"/>
      <c r="F634" s="95"/>
      <c r="G634" s="96"/>
      <c r="H634" s="64"/>
      <c r="I634" s="64"/>
      <c r="J634" s="64"/>
      <c r="K634" s="64"/>
      <c r="L634" s="64"/>
    </row>
    <row r="635" ht="16.5" customHeight="1">
      <c r="A635" s="64"/>
      <c r="B635" s="80" t="s">
        <v>18249</v>
      </c>
      <c r="C635" s="81" t="str">
        <f>IFERROR(__xludf.DUMMYFUNCTION("""COMPUTED_VALUE"""),"Julie69019314")</f>
        <v>Julie69019314</v>
      </c>
      <c r="D635" s="75">
        <f>IFERROR(__xludf.DUMMYFUNCTION("""COMPUTED_VALUE"""),0.0)</f>
        <v>0</v>
      </c>
      <c r="E635" s="64"/>
      <c r="F635" s="95"/>
      <c r="G635" s="96"/>
      <c r="H635" s="64"/>
      <c r="I635" s="64"/>
      <c r="J635" s="64"/>
      <c r="K635" s="64"/>
      <c r="L635" s="64"/>
    </row>
    <row r="636" ht="16.5" customHeight="1">
      <c r="A636" s="64"/>
      <c r="B636" s="80" t="s">
        <v>18249</v>
      </c>
      <c r="C636" s="81" t="str">
        <f>IFERROR(__xludf.DUMMYFUNCTION("""COMPUTED_VALUE"""),"JulieBJewellery")</f>
        <v>JulieBJewellery</v>
      </c>
      <c r="D636" s="75">
        <f>IFERROR(__xludf.DUMMYFUNCTION("""COMPUTED_VALUE"""),0.0)</f>
        <v>0</v>
      </c>
      <c r="E636" s="64"/>
      <c r="F636" s="95"/>
      <c r="G636" s="96"/>
      <c r="H636" s="64"/>
      <c r="I636" s="64"/>
      <c r="J636" s="64"/>
      <c r="K636" s="64"/>
      <c r="L636" s="64"/>
    </row>
    <row r="637" ht="16.5" customHeight="1">
      <c r="A637" s="64"/>
      <c r="B637" s="80" t="s">
        <v>18249</v>
      </c>
      <c r="C637" s="81" t="str">
        <f>IFERROR(__xludf.DUMMYFUNCTION("""COMPUTED_VALUE"""),"JulieCuninghame")</f>
        <v>JulieCuninghame</v>
      </c>
      <c r="D637" s="75">
        <f>IFERROR(__xludf.DUMMYFUNCTION("""COMPUTED_VALUE"""),0.0)</f>
        <v>0</v>
      </c>
      <c r="E637" s="64"/>
      <c r="F637" s="95"/>
      <c r="G637" s="96"/>
      <c r="H637" s="64"/>
      <c r="I637" s="64"/>
      <c r="J637" s="64"/>
      <c r="K637" s="64"/>
      <c r="L637" s="64"/>
    </row>
    <row r="638" ht="16.5" customHeight="1">
      <c r="A638" s="64"/>
      <c r="B638" s="80" t="s">
        <v>18249</v>
      </c>
      <c r="C638" s="81" t="str">
        <f>IFERROR(__xludf.DUMMYFUNCTION("""COMPUTED_VALUE"""),"JulieLesniarek")</f>
        <v>JulieLesniarek</v>
      </c>
      <c r="D638" s="75">
        <f>IFERROR(__xludf.DUMMYFUNCTION("""COMPUTED_VALUE"""),0.0)</f>
        <v>0</v>
      </c>
      <c r="E638" s="64"/>
      <c r="F638" s="95"/>
      <c r="G638" s="96"/>
      <c r="H638" s="64"/>
      <c r="I638" s="64"/>
      <c r="J638" s="64"/>
      <c r="K638" s="64"/>
      <c r="L638" s="64"/>
    </row>
    <row r="639" ht="16.5" customHeight="1">
      <c r="A639" s="64"/>
      <c r="B639" s="80" t="s">
        <v>18249</v>
      </c>
      <c r="C639" s="81" t="str">
        <f>IFERROR(__xludf.DUMMYFUNCTION("""COMPUTED_VALUE"""),"Juliefrazz")</f>
        <v>Juliefrazz</v>
      </c>
      <c r="D639" s="75">
        <f>IFERROR(__xludf.DUMMYFUNCTION("""COMPUTED_VALUE"""),0.0)</f>
        <v>0</v>
      </c>
      <c r="E639" s="64"/>
      <c r="F639" s="95"/>
      <c r="G639" s="96"/>
      <c r="H639" s="64"/>
      <c r="I639" s="64"/>
      <c r="J639" s="64"/>
      <c r="K639" s="64"/>
      <c r="L639" s="64"/>
    </row>
    <row r="640" ht="16.5" customHeight="1">
      <c r="A640" s="64"/>
      <c r="B640" s="80" t="s">
        <v>18249</v>
      </c>
      <c r="C640" s="81" t="str">
        <f>IFERROR(__xludf.DUMMYFUNCTION("""COMPUTED_VALUE"""),"Julleht")</f>
        <v>Julleht</v>
      </c>
      <c r="D640" s="75">
        <f>IFERROR(__xludf.DUMMYFUNCTION("""COMPUTED_VALUE"""),0.0)</f>
        <v>0</v>
      </c>
      <c r="E640" s="64"/>
      <c r="F640" s="95"/>
      <c r="G640" s="96"/>
      <c r="H640" s="64"/>
      <c r="I640" s="64"/>
      <c r="J640" s="64"/>
      <c r="K640" s="64"/>
      <c r="L640" s="64"/>
    </row>
    <row r="641" ht="16.5" customHeight="1">
      <c r="A641" s="64"/>
      <c r="B641" s="80" t="s">
        <v>18249</v>
      </c>
      <c r="C641" s="81" t="str">
        <f>IFERROR(__xludf.DUMMYFUNCTION("""COMPUTED_VALUE"""),"July_Sv")</f>
        <v>July_Sv</v>
      </c>
      <c r="D641" s="75">
        <f>IFERROR(__xludf.DUMMYFUNCTION("""COMPUTED_VALUE"""),0.0)</f>
        <v>0</v>
      </c>
      <c r="E641" s="64"/>
      <c r="F641" s="95"/>
      <c r="G641" s="96"/>
      <c r="H641" s="64"/>
      <c r="I641" s="64"/>
      <c r="J641" s="64"/>
      <c r="K641" s="64"/>
      <c r="L641" s="64"/>
    </row>
    <row r="642" ht="16.5" customHeight="1">
      <c r="A642" s="64"/>
      <c r="B642" s="80" t="s">
        <v>18249</v>
      </c>
      <c r="C642" s="81" t="str">
        <f>IFERROR(__xludf.DUMMYFUNCTION("""COMPUTED_VALUE"""),"Julyon60")</f>
        <v>Julyon60</v>
      </c>
      <c r="D642" s="75">
        <f>IFERROR(__xludf.DUMMYFUNCTION("""COMPUTED_VALUE"""),0.0)</f>
        <v>0</v>
      </c>
      <c r="E642" s="64"/>
      <c r="F642" s="95"/>
      <c r="G642" s="96"/>
      <c r="H642" s="64"/>
      <c r="I642" s="64"/>
      <c r="J642" s="64"/>
      <c r="K642" s="64"/>
      <c r="L642" s="64"/>
    </row>
    <row r="643" ht="16.5" customHeight="1">
      <c r="A643" s="64"/>
      <c r="B643" s="80" t="s">
        <v>18249</v>
      </c>
      <c r="C643" s="81" t="str">
        <f>IFERROR(__xludf.DUMMYFUNCTION("""COMPUTED_VALUE"""),"JumbleRates")</f>
        <v>JumbleRates</v>
      </c>
      <c r="D643" s="75">
        <f>IFERROR(__xludf.DUMMYFUNCTION("""COMPUTED_VALUE"""),0.0)</f>
        <v>0</v>
      </c>
      <c r="E643" s="64"/>
      <c r="F643" s="95"/>
      <c r="G643" s="96"/>
      <c r="H643" s="64"/>
      <c r="I643" s="64"/>
      <c r="J643" s="64"/>
      <c r="K643" s="64"/>
      <c r="L643" s="64"/>
    </row>
    <row r="644" ht="16.5" customHeight="1">
      <c r="A644" s="64"/>
      <c r="B644" s="80" t="s">
        <v>18249</v>
      </c>
      <c r="C644" s="81" t="str">
        <f>IFERROR(__xludf.DUMMYFUNCTION("""COMPUTED_VALUE"""),"JuneMcg05903673")</f>
        <v>JuneMcg05903673</v>
      </c>
      <c r="D644" s="75">
        <f>IFERROR(__xludf.DUMMYFUNCTION("""COMPUTED_VALUE"""),0.0)</f>
        <v>0</v>
      </c>
      <c r="E644" s="64"/>
      <c r="F644" s="95"/>
      <c r="G644" s="96"/>
      <c r="H644" s="64"/>
      <c r="I644" s="64"/>
      <c r="J644" s="64"/>
      <c r="K644" s="64"/>
      <c r="L644" s="64"/>
    </row>
    <row r="645" ht="16.5" customHeight="1">
      <c r="A645" s="64"/>
      <c r="B645" s="80" t="s">
        <v>18249</v>
      </c>
      <c r="C645" s="81" t="str">
        <f>IFERROR(__xludf.DUMMYFUNCTION("""COMPUTED_VALUE"""),"June_Roche")</f>
        <v>June_Roche</v>
      </c>
      <c r="D645" s="75">
        <f>IFERROR(__xludf.DUMMYFUNCTION("""COMPUTED_VALUE"""),0.0)</f>
        <v>0</v>
      </c>
      <c r="E645" s="64"/>
      <c r="F645" s="95"/>
      <c r="G645" s="96"/>
      <c r="H645" s="64"/>
      <c r="I645" s="64"/>
      <c r="J645" s="64"/>
      <c r="K645" s="64"/>
      <c r="L645" s="64"/>
    </row>
    <row r="646" ht="16.5" customHeight="1">
      <c r="A646" s="64"/>
      <c r="B646" s="80" t="s">
        <v>18249</v>
      </c>
      <c r="C646" s="81" t="str">
        <f>IFERROR(__xludf.DUMMYFUNCTION("""COMPUTED_VALUE"""),"JustineH0213")</f>
        <v>JustineH0213</v>
      </c>
      <c r="D646" s="75">
        <f>IFERROR(__xludf.DUMMYFUNCTION("""COMPUTED_VALUE"""),0.0)</f>
        <v>0</v>
      </c>
      <c r="E646" s="64"/>
      <c r="F646" s="95"/>
      <c r="G646" s="96"/>
      <c r="H646" s="64"/>
      <c r="I646" s="64"/>
      <c r="J646" s="64"/>
      <c r="K646" s="64"/>
      <c r="L646" s="64"/>
    </row>
    <row r="647" ht="16.5" customHeight="1">
      <c r="A647" s="64"/>
      <c r="B647" s="80" t="s">
        <v>18249</v>
      </c>
      <c r="C647" s="81" t="str">
        <f>IFERROR(__xludf.DUMMYFUNCTION("""COMPUTED_VALUE"""),"KKilcoyne")</f>
        <v>KKilcoyne</v>
      </c>
      <c r="D647" s="75">
        <f>IFERROR(__xludf.DUMMYFUNCTION("""COMPUTED_VALUE"""),0.0)</f>
        <v>0</v>
      </c>
      <c r="E647" s="64"/>
      <c r="F647" s="95"/>
      <c r="G647" s="96"/>
      <c r="H647" s="64"/>
      <c r="I647" s="64"/>
      <c r="J647" s="64"/>
      <c r="K647" s="64"/>
      <c r="L647" s="64"/>
    </row>
    <row r="648" ht="16.5" customHeight="1">
      <c r="A648" s="64"/>
      <c r="B648" s="80" t="s">
        <v>18249</v>
      </c>
      <c r="C648" s="81" t="str">
        <f>IFERROR(__xludf.DUMMYFUNCTION("""COMPUTED_VALUE"""),"KMarxette")</f>
        <v>KMarxette</v>
      </c>
      <c r="D648" s="75">
        <f>IFERROR(__xludf.DUMMYFUNCTION("""COMPUTED_VALUE"""),0.0)</f>
        <v>0</v>
      </c>
      <c r="E648" s="64"/>
      <c r="F648" s="95"/>
      <c r="G648" s="96"/>
      <c r="H648" s="64"/>
      <c r="I648" s="64"/>
      <c r="J648" s="64"/>
      <c r="K648" s="64"/>
      <c r="L648" s="64"/>
    </row>
    <row r="649" ht="16.5" customHeight="1">
      <c r="A649" s="64"/>
      <c r="B649" s="80" t="s">
        <v>18249</v>
      </c>
      <c r="C649" s="81" t="str">
        <f>IFERROR(__xludf.DUMMYFUNCTION("""COMPUTED_VALUE"""),"KT7015")</f>
        <v>KT7015</v>
      </c>
      <c r="D649" s="75">
        <f>IFERROR(__xludf.DUMMYFUNCTION("""COMPUTED_VALUE"""),0.0)</f>
        <v>0</v>
      </c>
      <c r="E649" s="64"/>
      <c r="F649" s="95"/>
      <c r="G649" s="96"/>
      <c r="H649" s="64"/>
      <c r="I649" s="64"/>
      <c r="J649" s="64"/>
      <c r="K649" s="64"/>
      <c r="L649" s="64"/>
    </row>
    <row r="650" ht="16.5" customHeight="1">
      <c r="A650" s="64"/>
      <c r="B650" s="80" t="s">
        <v>18249</v>
      </c>
      <c r="C650" s="81" t="str">
        <f>IFERROR(__xludf.DUMMYFUNCTION("""COMPUTED_VALUE"""),"KTCharlton")</f>
        <v>KTCharlton</v>
      </c>
      <c r="D650" s="75">
        <f>IFERROR(__xludf.DUMMYFUNCTION("""COMPUTED_VALUE"""),0.0)</f>
        <v>0</v>
      </c>
      <c r="E650" s="64"/>
      <c r="F650" s="95"/>
      <c r="G650" s="96"/>
      <c r="H650" s="64"/>
      <c r="I650" s="64"/>
      <c r="J650" s="64"/>
      <c r="K650" s="64"/>
      <c r="L650" s="64"/>
    </row>
    <row r="651" ht="16.5" customHeight="1">
      <c r="A651" s="64"/>
      <c r="B651" s="80" t="s">
        <v>18249</v>
      </c>
      <c r="C651" s="81" t="str">
        <f>IFERROR(__xludf.DUMMYFUNCTION("""COMPUTED_VALUE"""),"KaitDuerden")</f>
        <v>KaitDuerden</v>
      </c>
      <c r="D651" s="75">
        <f>IFERROR(__xludf.DUMMYFUNCTION("""COMPUTED_VALUE"""),0.0)</f>
        <v>0</v>
      </c>
      <c r="E651" s="64"/>
      <c r="F651" s="95"/>
      <c r="G651" s="96"/>
      <c r="H651" s="64"/>
      <c r="I651" s="64"/>
      <c r="J651" s="64"/>
      <c r="K651" s="64"/>
      <c r="L651" s="64"/>
    </row>
    <row r="652" ht="16.5" customHeight="1">
      <c r="A652" s="64"/>
      <c r="B652" s="80" t="s">
        <v>18249</v>
      </c>
      <c r="C652" s="81" t="str">
        <f>IFERROR(__xludf.DUMMYFUNCTION("""COMPUTED_VALUE"""),"Kander181")</f>
        <v>Kander181</v>
      </c>
      <c r="D652" s="75">
        <f>IFERROR(__xludf.DUMMYFUNCTION("""COMPUTED_VALUE"""),0.0)</f>
        <v>0</v>
      </c>
      <c r="E652" s="64"/>
      <c r="F652" s="95"/>
      <c r="G652" s="96"/>
      <c r="H652" s="64"/>
      <c r="I652" s="64"/>
      <c r="J652" s="64"/>
      <c r="K652" s="64"/>
      <c r="L652" s="64"/>
    </row>
    <row r="653" ht="16.5" customHeight="1">
      <c r="A653" s="64"/>
      <c r="B653" s="80" t="s">
        <v>18249</v>
      </c>
      <c r="C653" s="81" t="str">
        <f>IFERROR(__xludf.DUMMYFUNCTION("""COMPUTED_VALUE"""),"KapilaRK")</f>
        <v>KapilaRK</v>
      </c>
      <c r="D653" s="75">
        <f>IFERROR(__xludf.DUMMYFUNCTION("""COMPUTED_VALUE"""),0.0)</f>
        <v>0</v>
      </c>
      <c r="E653" s="64"/>
      <c r="F653" s="95"/>
      <c r="G653" s="96"/>
      <c r="H653" s="64"/>
      <c r="I653" s="64"/>
      <c r="J653" s="64"/>
      <c r="K653" s="64"/>
      <c r="L653" s="64"/>
    </row>
    <row r="654" ht="16.5" customHeight="1">
      <c r="A654" s="64"/>
      <c r="B654" s="80" t="s">
        <v>18249</v>
      </c>
      <c r="C654" s="81" t="str">
        <f>IFERROR(__xludf.DUMMYFUNCTION("""COMPUTED_VALUE"""),"KarenJu62258050")</f>
        <v>KarenJu62258050</v>
      </c>
      <c r="D654" s="75">
        <f>IFERROR(__xludf.DUMMYFUNCTION("""COMPUTED_VALUE"""),0.0)</f>
        <v>0</v>
      </c>
      <c r="E654" s="64"/>
      <c r="F654" s="95"/>
      <c r="G654" s="96"/>
      <c r="H654" s="64"/>
      <c r="I654" s="64"/>
      <c r="J654" s="64"/>
      <c r="K654" s="64"/>
      <c r="L654" s="64"/>
    </row>
    <row r="655" ht="16.5" customHeight="1">
      <c r="A655" s="64"/>
      <c r="B655" s="80" t="s">
        <v>18249</v>
      </c>
      <c r="C655" s="81" t="str">
        <f>IFERROR(__xludf.DUMMYFUNCTION("""COMPUTED_VALUE"""),"KarenStopHate")</f>
        <v>KarenStopHate</v>
      </c>
      <c r="D655" s="75">
        <f>IFERROR(__xludf.DUMMYFUNCTION("""COMPUTED_VALUE"""),0.0)</f>
        <v>0</v>
      </c>
      <c r="E655" s="64"/>
      <c r="F655" s="95"/>
      <c r="G655" s="96"/>
      <c r="H655" s="64"/>
      <c r="I655" s="64"/>
      <c r="J655" s="64"/>
      <c r="K655" s="64"/>
      <c r="L655" s="64"/>
    </row>
    <row r="656" ht="16.5" customHeight="1">
      <c r="A656" s="64"/>
      <c r="B656" s="80" t="s">
        <v>18249</v>
      </c>
      <c r="C656" s="81" t="str">
        <f>IFERROR(__xludf.DUMMYFUNCTION("""COMPUTED_VALUE"""),"KarlLasis")</f>
        <v>KarlLasis</v>
      </c>
      <c r="D656" s="75">
        <f>IFERROR(__xludf.DUMMYFUNCTION("""COMPUTED_VALUE"""),0.0)</f>
        <v>0</v>
      </c>
      <c r="E656" s="64"/>
      <c r="F656" s="95"/>
      <c r="G656" s="96"/>
      <c r="H656" s="64"/>
      <c r="I656" s="64"/>
      <c r="J656" s="64"/>
      <c r="K656" s="64"/>
      <c r="L656" s="64"/>
    </row>
    <row r="657" ht="16.5" customHeight="1">
      <c r="A657" s="64"/>
      <c r="B657" s="80" t="s">
        <v>18249</v>
      </c>
      <c r="C657" s="81" t="str">
        <f>IFERROR(__xludf.DUMMYFUNCTION("""COMPUTED_VALUE"""),"Katheri48033429")</f>
        <v>Katheri48033429</v>
      </c>
      <c r="D657" s="75">
        <f>IFERROR(__xludf.DUMMYFUNCTION("""COMPUTED_VALUE"""),0.0)</f>
        <v>0</v>
      </c>
      <c r="E657" s="64"/>
      <c r="F657" s="95"/>
      <c r="G657" s="96"/>
      <c r="H657" s="64"/>
      <c r="I657" s="64"/>
      <c r="J657" s="64"/>
      <c r="K657" s="64"/>
      <c r="L657" s="64"/>
    </row>
    <row r="658" ht="16.5" customHeight="1">
      <c r="A658" s="64"/>
      <c r="B658" s="80" t="s">
        <v>18249</v>
      </c>
      <c r="C658" s="81" t="str">
        <f>IFERROR(__xludf.DUMMYFUNCTION("""COMPUTED_VALUE"""),"KatyPaty17")</f>
        <v>KatyPaty17</v>
      </c>
      <c r="D658" s="75">
        <f>IFERROR(__xludf.DUMMYFUNCTION("""COMPUTED_VALUE"""),0.0)</f>
        <v>0</v>
      </c>
      <c r="E658" s="64"/>
      <c r="F658" s="95"/>
      <c r="G658" s="96"/>
      <c r="H658" s="64"/>
      <c r="I658" s="64"/>
      <c r="J658" s="64"/>
      <c r="K658" s="64"/>
      <c r="L658" s="64"/>
    </row>
    <row r="659" ht="16.5" customHeight="1">
      <c r="A659" s="64"/>
      <c r="B659" s="80" t="s">
        <v>18249</v>
      </c>
      <c r="C659" s="81" t="str">
        <f>IFERROR(__xludf.DUMMYFUNCTION("""COMPUTED_VALUE"""),"KayHargreaves7")</f>
        <v>KayHargreaves7</v>
      </c>
      <c r="D659" s="75">
        <f>IFERROR(__xludf.DUMMYFUNCTION("""COMPUTED_VALUE"""),0.0)</f>
        <v>0</v>
      </c>
      <c r="E659" s="64"/>
      <c r="F659" s="95"/>
      <c r="G659" s="96"/>
      <c r="H659" s="64"/>
      <c r="I659" s="64"/>
      <c r="J659" s="64"/>
      <c r="K659" s="64"/>
      <c r="L659" s="64"/>
    </row>
    <row r="660" ht="16.5" customHeight="1">
      <c r="A660" s="64"/>
      <c r="B660" s="80" t="s">
        <v>18249</v>
      </c>
      <c r="C660" s="81" t="str">
        <f>IFERROR(__xludf.DUMMYFUNCTION("""COMPUTED_VALUE"""),"KayLouiseKelly")</f>
        <v>KayLouiseKelly</v>
      </c>
      <c r="D660" s="75">
        <f>IFERROR(__xludf.DUMMYFUNCTION("""COMPUTED_VALUE"""),0.0)</f>
        <v>0</v>
      </c>
      <c r="E660" s="64"/>
      <c r="F660" s="95"/>
      <c r="G660" s="96"/>
      <c r="H660" s="64"/>
      <c r="I660" s="64"/>
      <c r="J660" s="64"/>
      <c r="K660" s="64"/>
      <c r="L660" s="64"/>
    </row>
    <row r="661" ht="16.5" customHeight="1">
      <c r="A661" s="64"/>
      <c r="B661" s="80" t="s">
        <v>18249</v>
      </c>
      <c r="C661" s="81" t="str">
        <f>IFERROR(__xludf.DUMMYFUNCTION("""COMPUTED_VALUE"""),"KbfKate")</f>
        <v>KbfKate</v>
      </c>
      <c r="D661" s="75">
        <f>IFERROR(__xludf.DUMMYFUNCTION("""COMPUTED_VALUE"""),0.0)</f>
        <v>0</v>
      </c>
      <c r="E661" s="64"/>
      <c r="F661" s="95"/>
      <c r="G661" s="96"/>
      <c r="H661" s="64"/>
      <c r="I661" s="64"/>
      <c r="J661" s="64"/>
      <c r="K661" s="64"/>
      <c r="L661" s="64"/>
    </row>
    <row r="662" ht="16.5" customHeight="1">
      <c r="A662" s="64"/>
      <c r="B662" s="80" t="s">
        <v>18249</v>
      </c>
      <c r="C662" s="81" t="str">
        <f>IFERROR(__xludf.DUMMYFUNCTION("""COMPUTED_VALUE"""),"Keiradior2M")</f>
        <v>Keiradior2M</v>
      </c>
      <c r="D662" s="75">
        <f>IFERROR(__xludf.DUMMYFUNCTION("""COMPUTED_VALUE"""),0.0)</f>
        <v>0</v>
      </c>
      <c r="E662" s="64"/>
      <c r="F662" s="95"/>
      <c r="G662" s="96"/>
      <c r="H662" s="64"/>
      <c r="I662" s="64"/>
      <c r="J662" s="64"/>
      <c r="K662" s="64"/>
      <c r="L662" s="64"/>
    </row>
    <row r="663" ht="16.5" customHeight="1">
      <c r="A663" s="64"/>
      <c r="B663" s="80" t="s">
        <v>18249</v>
      </c>
      <c r="C663" s="81" t="str">
        <f>IFERROR(__xludf.DUMMYFUNCTION("""COMPUTED_VALUE"""),"Keith99352796")</f>
        <v>Keith99352796</v>
      </c>
      <c r="D663" s="75">
        <f>IFERROR(__xludf.DUMMYFUNCTION("""COMPUTED_VALUE"""),0.0)</f>
        <v>0</v>
      </c>
      <c r="E663" s="64"/>
      <c r="F663" s="95"/>
      <c r="G663" s="96"/>
      <c r="H663" s="64"/>
      <c r="I663" s="64"/>
      <c r="J663" s="64"/>
      <c r="K663" s="64"/>
      <c r="L663" s="64"/>
    </row>
    <row r="664" ht="16.5" customHeight="1">
      <c r="A664" s="64"/>
      <c r="B664" s="80" t="s">
        <v>18249</v>
      </c>
      <c r="C664" s="81" t="str">
        <f>IFERROR(__xludf.DUMMYFUNCTION("""COMPUTED_VALUE"""),"KeithJDenny1")</f>
        <v>KeithJDenny1</v>
      </c>
      <c r="D664" s="75">
        <f>IFERROR(__xludf.DUMMYFUNCTION("""COMPUTED_VALUE"""),0.0)</f>
        <v>0</v>
      </c>
      <c r="E664" s="64"/>
      <c r="F664" s="95"/>
      <c r="G664" s="96"/>
      <c r="H664" s="64"/>
      <c r="I664" s="64"/>
      <c r="J664" s="64"/>
      <c r="K664" s="64"/>
      <c r="L664" s="64"/>
    </row>
    <row r="665" ht="16.5" customHeight="1">
      <c r="A665" s="64"/>
      <c r="B665" s="80" t="s">
        <v>18249</v>
      </c>
      <c r="C665" s="81" t="str">
        <f>IFERROR(__xludf.DUMMYFUNCTION("""COMPUTED_VALUE"""),"Kel70824886")</f>
        <v>Kel70824886</v>
      </c>
      <c r="D665" s="75">
        <f>IFERROR(__xludf.DUMMYFUNCTION("""COMPUTED_VALUE"""),0.0)</f>
        <v>0</v>
      </c>
      <c r="E665" s="64"/>
      <c r="F665" s="95"/>
      <c r="G665" s="96"/>
      <c r="H665" s="64"/>
      <c r="I665" s="64"/>
      <c r="J665" s="64"/>
      <c r="K665" s="64"/>
      <c r="L665" s="64"/>
    </row>
    <row r="666" ht="16.5" customHeight="1">
      <c r="A666" s="64"/>
      <c r="B666" s="80" t="s">
        <v>18249</v>
      </c>
      <c r="C666" s="81" t="str">
        <f>IFERROR(__xludf.DUMMYFUNCTION("""COMPUTED_VALUE"""),"KellerZoe")</f>
        <v>KellerZoe</v>
      </c>
      <c r="D666" s="75">
        <f>IFERROR(__xludf.DUMMYFUNCTION("""COMPUTED_VALUE"""),0.0)</f>
        <v>0</v>
      </c>
      <c r="E666" s="64"/>
      <c r="F666" s="95"/>
      <c r="G666" s="96"/>
      <c r="H666" s="64"/>
      <c r="I666" s="64"/>
      <c r="J666" s="64"/>
      <c r="K666" s="64"/>
      <c r="L666" s="64"/>
    </row>
    <row r="667" ht="16.5" customHeight="1">
      <c r="A667" s="64"/>
      <c r="B667" s="80" t="s">
        <v>18249</v>
      </c>
      <c r="C667" s="81" t="str">
        <f>IFERROR(__xludf.DUMMYFUNCTION("""COMPUTED_VALUE"""),"KelsallDaniel")</f>
        <v>KelsallDaniel</v>
      </c>
      <c r="D667" s="75">
        <f>IFERROR(__xludf.DUMMYFUNCTION("""COMPUTED_VALUE"""),0.0)</f>
        <v>0</v>
      </c>
      <c r="E667" s="64"/>
      <c r="F667" s="95"/>
      <c r="G667" s="96"/>
      <c r="H667" s="64"/>
      <c r="I667" s="64"/>
      <c r="J667" s="64"/>
      <c r="K667" s="64"/>
      <c r="L667" s="64"/>
    </row>
    <row r="668" ht="16.5" customHeight="1">
      <c r="A668" s="64"/>
      <c r="B668" s="80" t="s">
        <v>18249</v>
      </c>
      <c r="C668" s="81" t="str">
        <f>IFERROR(__xludf.DUMMYFUNCTION("""COMPUTED_VALUE"""),"KenAnderson01")</f>
        <v>KenAnderson01</v>
      </c>
      <c r="D668" s="75">
        <f>IFERROR(__xludf.DUMMYFUNCTION("""COMPUTED_VALUE"""),0.0)</f>
        <v>0</v>
      </c>
      <c r="E668" s="64"/>
      <c r="F668" s="95"/>
      <c r="G668" s="96"/>
      <c r="H668" s="64"/>
      <c r="I668" s="64"/>
      <c r="J668" s="64"/>
      <c r="K668" s="64"/>
      <c r="L668" s="64"/>
    </row>
    <row r="669" ht="16.5" customHeight="1">
      <c r="A669" s="64"/>
      <c r="B669" s="80" t="s">
        <v>18249</v>
      </c>
      <c r="C669" s="81" t="str">
        <f>IFERROR(__xludf.DUMMYFUNCTION("""COMPUTED_VALUE"""),"KenKenph59")</f>
        <v>KenKenph59</v>
      </c>
      <c r="D669" s="75">
        <f>IFERROR(__xludf.DUMMYFUNCTION("""COMPUTED_VALUE"""),0.0)</f>
        <v>0</v>
      </c>
      <c r="E669" s="64"/>
      <c r="F669" s="95"/>
      <c r="G669" s="96"/>
      <c r="H669" s="64"/>
      <c r="I669" s="64"/>
      <c r="J669" s="64"/>
      <c r="K669" s="64"/>
      <c r="L669" s="64"/>
    </row>
    <row r="670" ht="16.5" customHeight="1">
      <c r="A670" s="64"/>
      <c r="B670" s="80" t="s">
        <v>18249</v>
      </c>
      <c r="C670" s="81" t="str">
        <f>IFERROR(__xludf.DUMMYFUNCTION("""COMPUTED_VALUE"""),"KenSterrett")</f>
        <v>KenSterrett</v>
      </c>
      <c r="D670" s="75">
        <f>IFERROR(__xludf.DUMMYFUNCTION("""COMPUTED_VALUE"""),0.0)</f>
        <v>0</v>
      </c>
      <c r="E670" s="64"/>
      <c r="F670" s="95"/>
      <c r="G670" s="96"/>
      <c r="H670" s="64"/>
      <c r="I670" s="64"/>
      <c r="J670" s="64"/>
      <c r="K670" s="64"/>
      <c r="L670" s="64"/>
    </row>
    <row r="671" ht="16.5" customHeight="1">
      <c r="A671" s="64"/>
      <c r="B671" s="80" t="s">
        <v>18249</v>
      </c>
      <c r="C671" s="81" t="str">
        <f>IFERROR(__xludf.DUMMYFUNCTION("""COMPUTED_VALUE"""),"KennyBhoyKerr")</f>
        <v>KennyBhoyKerr</v>
      </c>
      <c r="D671" s="75">
        <f>IFERROR(__xludf.DUMMYFUNCTION("""COMPUTED_VALUE"""),0.0)</f>
        <v>0</v>
      </c>
      <c r="E671" s="64"/>
      <c r="F671" s="95"/>
      <c r="G671" s="96"/>
      <c r="H671" s="64"/>
      <c r="I671" s="64"/>
      <c r="J671" s="64"/>
      <c r="K671" s="64"/>
      <c r="L671" s="64"/>
    </row>
    <row r="672" ht="16.5" customHeight="1">
      <c r="A672" s="64"/>
      <c r="B672" s="80" t="s">
        <v>18249</v>
      </c>
      <c r="C672" s="81" t="str">
        <f>IFERROR(__xludf.DUMMYFUNCTION("""COMPUTED_VALUE"""),"Ker1244")</f>
        <v>Ker1244</v>
      </c>
      <c r="D672" s="75">
        <f>IFERROR(__xludf.DUMMYFUNCTION("""COMPUTED_VALUE"""),0.0)</f>
        <v>0</v>
      </c>
      <c r="E672" s="64"/>
      <c r="F672" s="95"/>
      <c r="G672" s="96"/>
      <c r="H672" s="64"/>
      <c r="I672" s="64"/>
      <c r="J672" s="64"/>
      <c r="K672" s="64"/>
      <c r="L672" s="64"/>
    </row>
    <row r="673" ht="16.5" customHeight="1">
      <c r="A673" s="64"/>
      <c r="B673" s="80" t="s">
        <v>18249</v>
      </c>
      <c r="C673" s="81" t="str">
        <f>IFERROR(__xludf.DUMMYFUNCTION("""COMPUTED_VALUE"""),"KerryThomas20")</f>
        <v>KerryThomas20</v>
      </c>
      <c r="D673" s="75">
        <f>IFERROR(__xludf.DUMMYFUNCTION("""COMPUTED_VALUE"""),0.0)</f>
        <v>0</v>
      </c>
      <c r="E673" s="64"/>
      <c r="F673" s="95"/>
      <c r="G673" s="96"/>
      <c r="H673" s="64"/>
      <c r="I673" s="64"/>
      <c r="J673" s="64"/>
      <c r="K673" s="64"/>
      <c r="L673" s="64"/>
    </row>
    <row r="674" ht="16.5" customHeight="1">
      <c r="A674" s="64"/>
      <c r="B674" s="80" t="s">
        <v>18249</v>
      </c>
      <c r="C674" s="81" t="str">
        <f>IFERROR(__xludf.DUMMYFUNCTION("""COMPUTED_VALUE"""),"KevPask")</f>
        <v>KevPask</v>
      </c>
      <c r="D674" s="75">
        <f>IFERROR(__xludf.DUMMYFUNCTION("""COMPUTED_VALUE"""),0.0)</f>
        <v>0</v>
      </c>
      <c r="E674" s="64"/>
      <c r="F674" s="95"/>
      <c r="G674" s="96"/>
      <c r="H674" s="64"/>
      <c r="I674" s="64"/>
      <c r="J674" s="64"/>
      <c r="K674" s="64"/>
      <c r="L674" s="64"/>
    </row>
    <row r="675" ht="16.5" customHeight="1">
      <c r="A675" s="64"/>
      <c r="B675" s="80" t="s">
        <v>18249</v>
      </c>
      <c r="C675" s="81" t="str">
        <f>IFERROR(__xludf.DUMMYFUNCTION("""COMPUTED_VALUE"""),"KevinAn48751902")</f>
        <v>KevinAn48751902</v>
      </c>
      <c r="D675" s="75">
        <f>IFERROR(__xludf.DUMMYFUNCTION("""COMPUTED_VALUE"""),0.0)</f>
        <v>0</v>
      </c>
      <c r="E675" s="64"/>
      <c r="F675" s="95"/>
      <c r="G675" s="96"/>
      <c r="H675" s="64"/>
      <c r="I675" s="64"/>
      <c r="J675" s="64"/>
      <c r="K675" s="64"/>
      <c r="L675" s="64"/>
    </row>
    <row r="676" ht="16.5" customHeight="1">
      <c r="A676" s="64"/>
      <c r="B676" s="80" t="s">
        <v>18249</v>
      </c>
      <c r="C676" s="81" t="str">
        <f>IFERROR(__xludf.DUMMYFUNCTION("""COMPUTED_VALUE"""),"KevinAtp")</f>
        <v>KevinAtp</v>
      </c>
      <c r="D676" s="75">
        <f>IFERROR(__xludf.DUMMYFUNCTION("""COMPUTED_VALUE"""),0.0)</f>
        <v>0</v>
      </c>
      <c r="E676" s="64"/>
      <c r="F676" s="95"/>
      <c r="G676" s="96"/>
      <c r="H676" s="64"/>
      <c r="I676" s="64"/>
      <c r="J676" s="64"/>
      <c r="K676" s="64"/>
      <c r="L676" s="64"/>
    </row>
    <row r="677" ht="16.5" customHeight="1">
      <c r="A677" s="64"/>
      <c r="B677" s="80" t="s">
        <v>18249</v>
      </c>
      <c r="C677" s="81" t="str">
        <f>IFERROR(__xludf.DUMMYFUNCTION("""COMPUTED_VALUE"""),"KevinLondonUK")</f>
        <v>KevinLondonUK</v>
      </c>
      <c r="D677" s="75">
        <f>IFERROR(__xludf.DUMMYFUNCTION("""COMPUTED_VALUE"""),0.0)</f>
        <v>0</v>
      </c>
      <c r="E677" s="64"/>
      <c r="F677" s="95"/>
      <c r="G677" s="96"/>
      <c r="H677" s="64"/>
      <c r="I677" s="64"/>
      <c r="J677" s="64"/>
      <c r="K677" s="64"/>
      <c r="L677" s="64"/>
    </row>
    <row r="678" ht="16.5" customHeight="1">
      <c r="A678" s="64"/>
      <c r="B678" s="80" t="s">
        <v>18249</v>
      </c>
      <c r="C678" s="81" t="str">
        <f>IFERROR(__xludf.DUMMYFUNCTION("""COMPUTED_VALUE"""),"Kindle_User")</f>
        <v>Kindle_User</v>
      </c>
      <c r="D678" s="75">
        <f>IFERROR(__xludf.DUMMYFUNCTION("""COMPUTED_VALUE"""),0.0)</f>
        <v>0</v>
      </c>
      <c r="E678" s="64"/>
      <c r="F678" s="95"/>
      <c r="G678" s="96"/>
      <c r="H678" s="64"/>
      <c r="I678" s="64"/>
      <c r="J678" s="64"/>
      <c r="K678" s="64"/>
      <c r="L678" s="64"/>
    </row>
    <row r="679" ht="16.5" customHeight="1">
      <c r="A679" s="64"/>
      <c r="B679" s="80" t="s">
        <v>18249</v>
      </c>
      <c r="C679" s="81" t="str">
        <f>IFERROR(__xludf.DUMMYFUNCTION("""COMPUTED_VALUE"""),"Kirikou_for_PM")</f>
        <v>Kirikou_for_PM</v>
      </c>
      <c r="D679" s="75">
        <f>IFERROR(__xludf.DUMMYFUNCTION("""COMPUTED_VALUE"""),0.0)</f>
        <v>0</v>
      </c>
      <c r="E679" s="64"/>
      <c r="F679" s="95"/>
      <c r="G679" s="96"/>
      <c r="H679" s="64"/>
      <c r="I679" s="64"/>
      <c r="J679" s="64"/>
      <c r="K679" s="64"/>
      <c r="L679" s="64"/>
    </row>
    <row r="680" ht="16.5" customHeight="1">
      <c r="A680" s="64"/>
      <c r="B680" s="80" t="s">
        <v>18249</v>
      </c>
      <c r="C680" s="81" t="str">
        <f>IFERROR(__xludf.DUMMYFUNCTION("""COMPUTED_VALUE"""),"KlausBlatter")</f>
        <v>KlausBlatter</v>
      </c>
      <c r="D680" s="75">
        <f>IFERROR(__xludf.DUMMYFUNCTION("""COMPUTED_VALUE"""),0.0)</f>
        <v>0</v>
      </c>
      <c r="E680" s="64"/>
      <c r="F680" s="95"/>
      <c r="G680" s="96"/>
      <c r="H680" s="64"/>
      <c r="I680" s="64"/>
      <c r="J680" s="64"/>
      <c r="K680" s="64"/>
      <c r="L680" s="64"/>
    </row>
    <row r="681" ht="16.5" customHeight="1">
      <c r="A681" s="64"/>
      <c r="B681" s="80" t="s">
        <v>18249</v>
      </c>
      <c r="C681" s="81" t="str">
        <f>IFERROR(__xludf.DUMMYFUNCTION("""COMPUTED_VALUE"""),"KneePeter")</f>
        <v>KneePeter</v>
      </c>
      <c r="D681" s="75">
        <f>IFERROR(__xludf.DUMMYFUNCTION("""COMPUTED_VALUE"""),0.0)</f>
        <v>0</v>
      </c>
      <c r="E681" s="64"/>
      <c r="F681" s="95"/>
      <c r="G681" s="96"/>
      <c r="H681" s="64"/>
      <c r="I681" s="64"/>
      <c r="J681" s="64"/>
      <c r="K681" s="64"/>
      <c r="L681" s="64"/>
    </row>
    <row r="682" ht="16.5" customHeight="1">
      <c r="A682" s="64"/>
      <c r="B682" s="80" t="s">
        <v>18249</v>
      </c>
      <c r="C682" s="81" t="str">
        <f>IFERROR(__xludf.DUMMYFUNCTION("""COMPUTED_VALUE"""),"KommissarV")</f>
        <v>KommissarV</v>
      </c>
      <c r="D682" s="75">
        <f>IFERROR(__xludf.DUMMYFUNCTION("""COMPUTED_VALUE"""),0.0)</f>
        <v>0</v>
      </c>
      <c r="E682" s="64"/>
      <c r="F682" s="95"/>
      <c r="G682" s="96"/>
      <c r="H682" s="64"/>
      <c r="I682" s="64"/>
      <c r="J682" s="64"/>
      <c r="K682" s="64"/>
      <c r="L682" s="64"/>
    </row>
    <row r="683" ht="16.5" customHeight="1">
      <c r="A683" s="64"/>
      <c r="B683" s="80" t="s">
        <v>18249</v>
      </c>
      <c r="C683" s="81" t="str">
        <f>IFERROR(__xludf.DUMMYFUNCTION("""COMPUTED_VALUE"""),"KowMark")</f>
        <v>KowMark</v>
      </c>
      <c r="D683" s="75">
        <f>IFERROR(__xludf.DUMMYFUNCTION("""COMPUTED_VALUE"""),0.0)</f>
        <v>0</v>
      </c>
      <c r="E683" s="64"/>
      <c r="F683" s="95"/>
      <c r="G683" s="96"/>
      <c r="H683" s="64"/>
      <c r="I683" s="64"/>
      <c r="J683" s="64"/>
      <c r="K683" s="64"/>
      <c r="L683" s="64"/>
    </row>
    <row r="684" ht="16.5" customHeight="1">
      <c r="A684" s="64"/>
      <c r="B684" s="80" t="s">
        <v>18249</v>
      </c>
      <c r="C684" s="81" t="str">
        <f>IFERROR(__xludf.DUMMYFUNCTION("""COMPUTED_VALUE"""),"L_Western")</f>
        <v>L_Western</v>
      </c>
      <c r="D684" s="75">
        <f>IFERROR(__xludf.DUMMYFUNCTION("""COMPUTED_VALUE"""),0.0)</f>
        <v>0</v>
      </c>
      <c r="E684" s="64"/>
      <c r="F684" s="95"/>
      <c r="G684" s="96"/>
      <c r="H684" s="64"/>
      <c r="I684" s="64"/>
      <c r="J684" s="64"/>
      <c r="K684" s="64"/>
      <c r="L684" s="64"/>
    </row>
    <row r="685" ht="16.5" customHeight="1">
      <c r="A685" s="64"/>
      <c r="B685" s="80" t="s">
        <v>18249</v>
      </c>
      <c r="C685" s="81" t="str">
        <f>IFERROR(__xludf.DUMMYFUNCTION("""COMPUTED_VALUE"""),"LaCheshireChat")</f>
        <v>LaCheshireChat</v>
      </c>
      <c r="D685" s="75">
        <f>IFERROR(__xludf.DUMMYFUNCTION("""COMPUTED_VALUE"""),0.0)</f>
        <v>0</v>
      </c>
      <c r="E685" s="64"/>
      <c r="F685" s="95"/>
      <c r="G685" s="96"/>
      <c r="H685" s="64"/>
      <c r="I685" s="64"/>
      <c r="J685" s="64"/>
      <c r="K685" s="64"/>
      <c r="L685" s="64"/>
    </row>
    <row r="686" ht="16.5" customHeight="1">
      <c r="A686" s="64"/>
      <c r="B686" s="80" t="s">
        <v>18249</v>
      </c>
      <c r="C686" s="81" t="str">
        <f>IFERROR(__xludf.DUMMYFUNCTION("""COMPUTED_VALUE"""),"LadBrixton")</f>
        <v>LadBrixton</v>
      </c>
      <c r="D686" s="75">
        <f>IFERROR(__xludf.DUMMYFUNCTION("""COMPUTED_VALUE"""),0.0)</f>
        <v>0</v>
      </c>
      <c r="E686" s="64"/>
      <c r="F686" s="95"/>
      <c r="G686" s="96"/>
      <c r="H686" s="64"/>
      <c r="I686" s="64"/>
      <c r="J686" s="64"/>
      <c r="K686" s="64"/>
      <c r="L686" s="64"/>
    </row>
    <row r="687" ht="16.5" customHeight="1">
      <c r="A687" s="64"/>
      <c r="B687" s="80" t="s">
        <v>18249</v>
      </c>
      <c r="C687" s="81" t="str">
        <f>IFERROR(__xludf.DUMMYFUNCTION("""COMPUTED_VALUE"""),"LadyJules_Cath")</f>
        <v>LadyJules_Cath</v>
      </c>
      <c r="D687" s="75">
        <f>IFERROR(__xludf.DUMMYFUNCTION("""COMPUTED_VALUE"""),0.0)</f>
        <v>0</v>
      </c>
      <c r="E687" s="64"/>
      <c r="F687" s="95"/>
      <c r="G687" s="96"/>
      <c r="H687" s="64"/>
      <c r="I687" s="64"/>
      <c r="J687" s="64"/>
      <c r="K687" s="64"/>
      <c r="L687" s="64"/>
    </row>
    <row r="688" ht="16.5" customHeight="1">
      <c r="A688" s="64"/>
      <c r="B688" s="80" t="s">
        <v>18249</v>
      </c>
      <c r="C688" s="81" t="str">
        <f>IFERROR(__xludf.DUMMYFUNCTION("""COMPUTED_VALUE"""),"LakeHonor")</f>
        <v>LakeHonor</v>
      </c>
      <c r="D688" s="75">
        <f>IFERROR(__xludf.DUMMYFUNCTION("""COMPUTED_VALUE"""),0.0)</f>
        <v>0</v>
      </c>
      <c r="E688" s="64"/>
      <c r="F688" s="95"/>
      <c r="G688" s="96"/>
      <c r="H688" s="64"/>
      <c r="I688" s="64"/>
      <c r="J688" s="64"/>
      <c r="K688" s="64"/>
      <c r="L688" s="64"/>
    </row>
    <row r="689" ht="16.5" customHeight="1">
      <c r="A689" s="64"/>
      <c r="B689" s="80" t="s">
        <v>18249</v>
      </c>
      <c r="C689" s="81" t="str">
        <f>IFERROR(__xludf.DUMMYFUNCTION("""COMPUTED_VALUE"""),"Langers1981")</f>
        <v>Langers1981</v>
      </c>
      <c r="D689" s="75">
        <f>IFERROR(__xludf.DUMMYFUNCTION("""COMPUTED_VALUE"""),0.0)</f>
        <v>0</v>
      </c>
      <c r="E689" s="64"/>
      <c r="F689" s="95"/>
      <c r="G689" s="96"/>
      <c r="H689" s="64"/>
      <c r="I689" s="64"/>
      <c r="J689" s="64"/>
      <c r="K689" s="64"/>
      <c r="L689" s="64"/>
    </row>
    <row r="690" ht="16.5" customHeight="1">
      <c r="A690" s="64"/>
      <c r="B690" s="80" t="s">
        <v>18249</v>
      </c>
      <c r="C690" s="81" t="str">
        <f>IFERROR(__xludf.DUMMYFUNCTION("""COMPUTED_VALUE"""),"LansleyA")</f>
        <v>LansleyA</v>
      </c>
      <c r="D690" s="75">
        <f>IFERROR(__xludf.DUMMYFUNCTION("""COMPUTED_VALUE"""),0.0)</f>
        <v>0</v>
      </c>
      <c r="E690" s="64"/>
      <c r="F690" s="95"/>
      <c r="G690" s="96"/>
      <c r="H690" s="64"/>
      <c r="I690" s="64"/>
      <c r="J690" s="64"/>
      <c r="K690" s="64"/>
      <c r="L690" s="64"/>
    </row>
    <row r="691" ht="16.5" customHeight="1">
      <c r="A691" s="64"/>
      <c r="B691" s="80" t="s">
        <v>18249</v>
      </c>
      <c r="C691" s="81" t="str">
        <f>IFERROR(__xludf.DUMMYFUNCTION("""COMPUTED_VALUE"""),"LarryCuffe")</f>
        <v>LarryCuffe</v>
      </c>
      <c r="D691" s="75">
        <f>IFERROR(__xludf.DUMMYFUNCTION("""COMPUTED_VALUE"""),0.0)</f>
        <v>0</v>
      </c>
      <c r="E691" s="64"/>
      <c r="F691" s="95"/>
      <c r="G691" s="96"/>
      <c r="H691" s="64"/>
      <c r="I691" s="64"/>
      <c r="J691" s="64"/>
      <c r="K691" s="64"/>
      <c r="L691" s="64"/>
    </row>
    <row r="692" ht="16.5" customHeight="1">
      <c r="A692" s="64"/>
      <c r="B692" s="80" t="s">
        <v>18249</v>
      </c>
      <c r="C692" s="81" t="str">
        <f>IFERROR(__xludf.DUMMYFUNCTION("""COMPUTED_VALUE"""),"LauraPh27961838")</f>
        <v>LauraPh27961838</v>
      </c>
      <c r="D692" s="75">
        <f>IFERROR(__xludf.DUMMYFUNCTION("""COMPUTED_VALUE"""),0.0)</f>
        <v>0</v>
      </c>
      <c r="E692" s="64"/>
      <c r="F692" s="95"/>
      <c r="G692" s="96"/>
      <c r="H692" s="64"/>
      <c r="I692" s="64"/>
      <c r="J692" s="64"/>
      <c r="K692" s="64"/>
      <c r="L692" s="64"/>
    </row>
    <row r="693" ht="16.5" customHeight="1">
      <c r="A693" s="64"/>
      <c r="B693" s="80" t="s">
        <v>18249</v>
      </c>
      <c r="C693" s="81" t="str">
        <f>IFERROR(__xludf.DUMMYFUNCTION("""COMPUTED_VALUE"""),"Laurence_in_EU")</f>
        <v>Laurence_in_EU</v>
      </c>
      <c r="D693" s="75">
        <f>IFERROR(__xludf.DUMMYFUNCTION("""COMPUTED_VALUE"""),0.0)</f>
        <v>0</v>
      </c>
      <c r="E693" s="64"/>
      <c r="F693" s="95"/>
      <c r="G693" s="96"/>
      <c r="H693" s="64"/>
      <c r="I693" s="64"/>
      <c r="J693" s="64"/>
      <c r="K693" s="64"/>
      <c r="L693" s="64"/>
    </row>
    <row r="694" ht="16.5" customHeight="1">
      <c r="A694" s="64"/>
      <c r="B694" s="80" t="s">
        <v>18249</v>
      </c>
      <c r="C694" s="81" t="str">
        <f>IFERROR(__xludf.DUMMYFUNCTION("""COMPUTED_VALUE"""),"Lawlor224")</f>
        <v>Lawlor224</v>
      </c>
      <c r="D694" s="75">
        <f>IFERROR(__xludf.DUMMYFUNCTION("""COMPUTED_VALUE"""),0.0)</f>
        <v>0</v>
      </c>
      <c r="E694" s="64"/>
      <c r="F694" s="95"/>
      <c r="G694" s="96"/>
      <c r="H694" s="64"/>
      <c r="I694" s="64"/>
      <c r="J694" s="64"/>
      <c r="K694" s="64"/>
      <c r="L694" s="64"/>
    </row>
    <row r="695" ht="16.5" customHeight="1">
      <c r="A695" s="64"/>
      <c r="B695" s="80" t="s">
        <v>18249</v>
      </c>
      <c r="C695" s="81" t="str">
        <f>IFERROR(__xludf.DUMMYFUNCTION("""COMPUTED_VALUE"""),"LeahWas")</f>
        <v>LeahWas</v>
      </c>
      <c r="D695" s="75">
        <f>IFERROR(__xludf.DUMMYFUNCTION("""COMPUTED_VALUE"""),0.0)</f>
        <v>0</v>
      </c>
      <c r="E695" s="64"/>
      <c r="F695" s="95"/>
      <c r="G695" s="96"/>
      <c r="H695" s="64"/>
      <c r="I695" s="64"/>
      <c r="J695" s="64"/>
      <c r="K695" s="64"/>
      <c r="L695" s="64"/>
    </row>
    <row r="696" ht="16.5" customHeight="1">
      <c r="A696" s="64"/>
      <c r="B696" s="80" t="s">
        <v>18249</v>
      </c>
      <c r="C696" s="81" t="str">
        <f>IFERROR(__xludf.DUMMYFUNCTION("""COMPUTED_VALUE"""),"LeckyRichard")</f>
        <v>LeckyRichard</v>
      </c>
      <c r="D696" s="75">
        <f>IFERROR(__xludf.DUMMYFUNCTION("""COMPUTED_VALUE"""),0.0)</f>
        <v>0</v>
      </c>
      <c r="E696" s="64"/>
      <c r="F696" s="95"/>
      <c r="G696" s="96"/>
      <c r="H696" s="64"/>
      <c r="I696" s="64"/>
      <c r="J696" s="64"/>
      <c r="K696" s="64"/>
      <c r="L696" s="64"/>
    </row>
    <row r="697" ht="16.5" customHeight="1">
      <c r="A697" s="64"/>
      <c r="B697" s="80" t="s">
        <v>18249</v>
      </c>
      <c r="C697" s="81" t="str">
        <f>IFERROR(__xludf.DUMMYFUNCTION("""COMPUTED_VALUE"""),"LedByWibbles")</f>
        <v>LedByWibbles</v>
      </c>
      <c r="D697" s="75">
        <f>IFERROR(__xludf.DUMMYFUNCTION("""COMPUTED_VALUE"""),0.0)</f>
        <v>0</v>
      </c>
      <c r="E697" s="64"/>
      <c r="F697" s="95"/>
      <c r="G697" s="96"/>
      <c r="H697" s="64"/>
      <c r="I697" s="64"/>
      <c r="J697" s="64"/>
      <c r="K697" s="64"/>
      <c r="L697" s="64"/>
    </row>
    <row r="698" ht="16.5" customHeight="1">
      <c r="A698" s="64"/>
      <c r="B698" s="80" t="s">
        <v>18249</v>
      </c>
      <c r="C698" s="81" t="str">
        <f>IFERROR(__xludf.DUMMYFUNCTION("""COMPUTED_VALUE"""),"LeeGregoryPeck")</f>
        <v>LeeGregoryPeck</v>
      </c>
      <c r="D698" s="75">
        <f>IFERROR(__xludf.DUMMYFUNCTION("""COMPUTED_VALUE"""),0.0)</f>
        <v>0</v>
      </c>
      <c r="E698" s="64"/>
      <c r="F698" s="95"/>
      <c r="G698" s="96"/>
      <c r="H698" s="64"/>
      <c r="I698" s="64"/>
      <c r="J698" s="64"/>
      <c r="K698" s="64"/>
      <c r="L698" s="64"/>
    </row>
    <row r="699" ht="16.5" customHeight="1">
      <c r="A699" s="64"/>
      <c r="B699" s="80" t="s">
        <v>18249</v>
      </c>
      <c r="C699" s="81" t="str">
        <f>IFERROR(__xludf.DUMMYFUNCTION("""COMPUTED_VALUE"""),"LegionAOD")</f>
        <v>LegionAOD</v>
      </c>
      <c r="D699" s="75">
        <f>IFERROR(__xludf.DUMMYFUNCTION("""COMPUTED_VALUE"""),0.0)</f>
        <v>0</v>
      </c>
      <c r="E699" s="64"/>
      <c r="F699" s="95"/>
      <c r="G699" s="96"/>
      <c r="H699" s="64"/>
      <c r="I699" s="64"/>
      <c r="J699" s="64"/>
      <c r="K699" s="64"/>
      <c r="L699" s="64"/>
    </row>
    <row r="700" ht="16.5" customHeight="1">
      <c r="A700" s="64"/>
      <c r="B700" s="80" t="s">
        <v>18249</v>
      </c>
      <c r="C700" s="81" t="str">
        <f>IFERROR(__xludf.DUMMYFUNCTION("""COMPUTED_VALUE"""),"LeightonLewis4")</f>
        <v>LeightonLewis4</v>
      </c>
      <c r="D700" s="75">
        <f>IFERROR(__xludf.DUMMYFUNCTION("""COMPUTED_VALUE"""),0.0)</f>
        <v>0</v>
      </c>
      <c r="E700" s="64"/>
      <c r="F700" s="95"/>
      <c r="G700" s="96"/>
      <c r="H700" s="64"/>
      <c r="I700" s="64"/>
      <c r="J700" s="64"/>
      <c r="K700" s="64"/>
      <c r="L700" s="64"/>
    </row>
    <row r="701" ht="16.5" customHeight="1">
      <c r="A701" s="64"/>
      <c r="B701" s="80" t="s">
        <v>18249</v>
      </c>
      <c r="C701" s="81" t="str">
        <f>IFERROR(__xludf.DUMMYFUNCTION("""COMPUTED_VALUE"""),"LenaLC64")</f>
        <v>LenaLC64</v>
      </c>
      <c r="D701" s="75">
        <f>IFERROR(__xludf.DUMMYFUNCTION("""COMPUTED_VALUE"""),0.0)</f>
        <v>0</v>
      </c>
      <c r="E701" s="64"/>
      <c r="F701" s="95"/>
      <c r="G701" s="96"/>
      <c r="H701" s="64"/>
      <c r="I701" s="64"/>
      <c r="J701" s="64"/>
      <c r="K701" s="64"/>
      <c r="L701" s="64"/>
    </row>
    <row r="702" ht="16.5" customHeight="1">
      <c r="A702" s="64"/>
      <c r="B702" s="80" t="s">
        <v>18249</v>
      </c>
      <c r="C702" s="81" t="str">
        <f>IFERROR(__xludf.DUMMYFUNCTION("""COMPUTED_VALUE"""),"LeniNicholls")</f>
        <v>LeniNicholls</v>
      </c>
      <c r="D702" s="75">
        <f>IFERROR(__xludf.DUMMYFUNCTION("""COMPUTED_VALUE"""),0.0)</f>
        <v>0</v>
      </c>
      <c r="E702" s="64"/>
      <c r="F702" s="95"/>
      <c r="G702" s="96"/>
      <c r="H702" s="64"/>
      <c r="I702" s="64"/>
      <c r="J702" s="64"/>
      <c r="K702" s="64"/>
      <c r="L702" s="64"/>
    </row>
    <row r="703" ht="16.5" customHeight="1">
      <c r="A703" s="64"/>
      <c r="B703" s="80" t="s">
        <v>18249</v>
      </c>
      <c r="C703" s="81" t="str">
        <f>IFERROR(__xludf.DUMMYFUNCTION("""COMPUTED_VALUE"""),"Letnapark")</f>
        <v>Letnapark</v>
      </c>
      <c r="D703" s="75">
        <f>IFERROR(__xludf.DUMMYFUNCTION("""COMPUTED_VALUE"""),0.0)</f>
        <v>0</v>
      </c>
      <c r="E703" s="64"/>
      <c r="F703" s="95"/>
      <c r="G703" s="96"/>
      <c r="H703" s="64"/>
      <c r="I703" s="64"/>
      <c r="J703" s="64"/>
      <c r="K703" s="64"/>
      <c r="L703" s="64"/>
    </row>
    <row r="704" ht="16.5" customHeight="1">
      <c r="A704" s="64"/>
      <c r="B704" s="80" t="s">
        <v>18249</v>
      </c>
      <c r="C704" s="81" t="str">
        <f>IFERROR(__xludf.DUMMYFUNCTION("""COMPUTED_VALUE"""),"LewesEUnity")</f>
        <v>LewesEUnity</v>
      </c>
      <c r="D704" s="75">
        <f>IFERROR(__xludf.DUMMYFUNCTION("""COMPUTED_VALUE"""),0.0)</f>
        <v>0</v>
      </c>
      <c r="E704" s="64"/>
      <c r="F704" s="95"/>
      <c r="G704" s="96"/>
      <c r="H704" s="64"/>
      <c r="I704" s="64"/>
      <c r="J704" s="64"/>
      <c r="K704" s="64"/>
      <c r="L704" s="64"/>
    </row>
    <row r="705" ht="16.5" customHeight="1">
      <c r="A705" s="64"/>
      <c r="B705" s="80" t="s">
        <v>18249</v>
      </c>
      <c r="C705" s="81" t="str">
        <f>IFERROR(__xludf.DUMMYFUNCTION("""COMPUTED_VALUE"""),"LibbyKerensky")</f>
        <v>LibbyKerensky</v>
      </c>
      <c r="D705" s="75">
        <f>IFERROR(__xludf.DUMMYFUNCTION("""COMPUTED_VALUE"""),0.0)</f>
        <v>0</v>
      </c>
      <c r="E705" s="64"/>
      <c r="F705" s="95"/>
      <c r="G705" s="96"/>
      <c r="H705" s="64"/>
      <c r="I705" s="64"/>
      <c r="J705" s="64"/>
      <c r="K705" s="64"/>
      <c r="L705" s="64"/>
    </row>
    <row r="706" ht="16.5" customHeight="1">
      <c r="A706" s="64"/>
      <c r="B706" s="80" t="s">
        <v>18249</v>
      </c>
      <c r="C706" s="81" t="str">
        <f>IFERROR(__xludf.DUMMYFUNCTION("""COMPUTED_VALUE"""),"Lifelandlady")</f>
        <v>Lifelandlady</v>
      </c>
      <c r="D706" s="75">
        <f>IFERROR(__xludf.DUMMYFUNCTION("""COMPUTED_VALUE"""),0.0)</f>
        <v>0</v>
      </c>
      <c r="E706" s="64"/>
      <c r="F706" s="95"/>
      <c r="G706" s="96"/>
      <c r="H706" s="64"/>
      <c r="I706" s="64"/>
      <c r="J706" s="64"/>
      <c r="K706" s="64"/>
      <c r="L706" s="64"/>
    </row>
    <row r="707" ht="16.5" customHeight="1">
      <c r="A707" s="64"/>
      <c r="B707" s="80" t="s">
        <v>18249</v>
      </c>
      <c r="C707" s="81" t="str">
        <f>IFERROR(__xludf.DUMMYFUNCTION("""COMPUTED_VALUE"""),"LindaMa32012495")</f>
        <v>LindaMa32012495</v>
      </c>
      <c r="D707" s="75">
        <f>IFERROR(__xludf.DUMMYFUNCTION("""COMPUTED_VALUE"""),0.0)</f>
        <v>0</v>
      </c>
      <c r="E707" s="64"/>
      <c r="F707" s="95"/>
      <c r="G707" s="96"/>
      <c r="H707" s="64"/>
      <c r="I707" s="64"/>
      <c r="J707" s="64"/>
      <c r="K707" s="64"/>
      <c r="L707" s="64"/>
    </row>
    <row r="708" ht="16.5" customHeight="1">
      <c r="A708" s="64"/>
      <c r="B708" s="80" t="s">
        <v>18249</v>
      </c>
      <c r="C708" s="81" t="str">
        <f>IFERROR(__xludf.DUMMYFUNCTION("""COMPUTED_VALUE"""),"LindaPe65733897")</f>
        <v>LindaPe65733897</v>
      </c>
      <c r="D708" s="75">
        <f>IFERROR(__xludf.DUMMYFUNCTION("""COMPUTED_VALUE"""),0.0)</f>
        <v>0</v>
      </c>
      <c r="E708" s="64"/>
      <c r="F708" s="95"/>
      <c r="G708" s="96"/>
      <c r="H708" s="64"/>
      <c r="I708" s="64"/>
      <c r="J708" s="64"/>
      <c r="K708" s="64"/>
      <c r="L708" s="64"/>
    </row>
    <row r="709" ht="16.5" customHeight="1">
      <c r="A709" s="64"/>
      <c r="B709" s="80" t="s">
        <v>18249</v>
      </c>
      <c r="C709" s="81" t="str">
        <f>IFERROR(__xludf.DUMMYFUNCTION("""COMPUTED_VALUE"""),"LindaRo79230017")</f>
        <v>LindaRo79230017</v>
      </c>
      <c r="D709" s="75">
        <f>IFERROR(__xludf.DUMMYFUNCTION("""COMPUTED_VALUE"""),0.0)</f>
        <v>0</v>
      </c>
      <c r="E709" s="64"/>
      <c r="F709" s="95"/>
      <c r="G709" s="96"/>
      <c r="H709" s="64"/>
      <c r="I709" s="64"/>
      <c r="J709" s="64"/>
      <c r="K709" s="64"/>
      <c r="L709" s="64"/>
    </row>
    <row r="710" ht="16.5" customHeight="1">
      <c r="A710" s="64"/>
      <c r="B710" s="80" t="s">
        <v>18249</v>
      </c>
      <c r="C710" s="81" t="str">
        <f>IFERROR(__xludf.DUMMYFUNCTION("""COMPUTED_VALUE"""),"LindaStewart3")</f>
        <v>LindaStewart3</v>
      </c>
      <c r="D710" s="75">
        <f>IFERROR(__xludf.DUMMYFUNCTION("""COMPUTED_VALUE"""),0.0)</f>
        <v>0</v>
      </c>
      <c r="E710" s="64"/>
      <c r="F710" s="95"/>
      <c r="G710" s="96"/>
      <c r="H710" s="64"/>
      <c r="I710" s="64"/>
      <c r="J710" s="64"/>
      <c r="K710" s="64"/>
      <c r="L710" s="64"/>
    </row>
    <row r="711" ht="16.5" customHeight="1">
      <c r="A711" s="64"/>
      <c r="B711" s="80" t="s">
        <v>18249</v>
      </c>
      <c r="C711" s="81" t="str">
        <f>IFERROR(__xludf.DUMMYFUNCTION("""COMPUTED_VALUE"""),"LindsayStronaba")</f>
        <v>LindsayStronaba</v>
      </c>
      <c r="D711" s="75">
        <f>IFERROR(__xludf.DUMMYFUNCTION("""COMPUTED_VALUE"""),0.0)</f>
        <v>0</v>
      </c>
      <c r="E711" s="64"/>
      <c r="F711" s="95"/>
      <c r="G711" s="96"/>
      <c r="H711" s="64"/>
      <c r="I711" s="64"/>
      <c r="J711" s="64"/>
      <c r="K711" s="64"/>
      <c r="L711" s="64"/>
    </row>
    <row r="712" ht="16.5" customHeight="1">
      <c r="A712" s="64"/>
      <c r="B712" s="80" t="s">
        <v>18249</v>
      </c>
      <c r="C712" s="81" t="str">
        <f>IFERROR(__xludf.DUMMYFUNCTION("""COMPUTED_VALUE"""),"LittleGravitas")</f>
        <v>LittleGravitas</v>
      </c>
      <c r="D712" s="75">
        <f>IFERROR(__xludf.DUMMYFUNCTION("""COMPUTED_VALUE"""),0.0)</f>
        <v>0</v>
      </c>
      <c r="E712" s="64"/>
      <c r="F712" s="95"/>
      <c r="G712" s="96"/>
      <c r="H712" s="64"/>
      <c r="I712" s="64"/>
      <c r="J712" s="64"/>
      <c r="K712" s="64"/>
      <c r="L712" s="64"/>
    </row>
    <row r="713" ht="16.5" customHeight="1">
      <c r="A713" s="64"/>
      <c r="B713" s="80" t="s">
        <v>18249</v>
      </c>
      <c r="C713" s="81" t="str">
        <f>IFERROR(__xludf.DUMMYFUNCTION("""COMPUTED_VALUE"""),"LizWebsterLD")</f>
        <v>LizWebsterLD</v>
      </c>
      <c r="D713" s="75">
        <f>IFERROR(__xludf.DUMMYFUNCTION("""COMPUTED_VALUE"""),0.0)</f>
        <v>0</v>
      </c>
      <c r="E713" s="64"/>
      <c r="F713" s="95"/>
      <c r="G713" s="96"/>
      <c r="H713" s="64"/>
      <c r="I713" s="64"/>
      <c r="J713" s="64"/>
      <c r="K713" s="64"/>
      <c r="L713" s="64"/>
    </row>
    <row r="714" ht="16.5" customHeight="1">
      <c r="A714" s="64"/>
      <c r="B714" s="80" t="s">
        <v>18249</v>
      </c>
      <c r="C714" s="81" t="str">
        <f>IFERROR(__xludf.DUMMYFUNCTION("""COMPUTED_VALUE"""),"LizaAntrim")</f>
        <v>LizaAntrim</v>
      </c>
      <c r="D714" s="75">
        <f>IFERROR(__xludf.DUMMYFUNCTION("""COMPUTED_VALUE"""),0.0)</f>
        <v>0</v>
      </c>
      <c r="E714" s="64"/>
      <c r="F714" s="95"/>
      <c r="G714" s="96"/>
      <c r="H714" s="64"/>
      <c r="I714" s="64"/>
      <c r="J714" s="64"/>
      <c r="K714" s="64"/>
      <c r="L714" s="64"/>
    </row>
    <row r="715" ht="16.5" customHeight="1">
      <c r="A715" s="64"/>
      <c r="B715" s="80" t="s">
        <v>18249</v>
      </c>
      <c r="C715" s="81" t="str">
        <f>IFERROR(__xludf.DUMMYFUNCTION("""COMPUTED_VALUE"""),"Lizziea73815526")</f>
        <v>Lizziea73815526</v>
      </c>
      <c r="D715" s="75">
        <f>IFERROR(__xludf.DUMMYFUNCTION("""COMPUTED_VALUE"""),0.0)</f>
        <v>0</v>
      </c>
      <c r="E715" s="64"/>
      <c r="F715" s="95"/>
      <c r="G715" s="96"/>
      <c r="H715" s="64"/>
      <c r="I715" s="64"/>
      <c r="J715" s="64"/>
      <c r="K715" s="64"/>
      <c r="L715" s="64"/>
    </row>
    <row r="716" ht="16.5" customHeight="1">
      <c r="A716" s="64"/>
      <c r="B716" s="80" t="s">
        <v>18249</v>
      </c>
      <c r="C716" s="81" t="str">
        <f>IFERROR(__xludf.DUMMYFUNCTION("""COMPUTED_VALUE"""),"LochlainnNic")</f>
        <v>LochlainnNic</v>
      </c>
      <c r="D716" s="75">
        <f>IFERROR(__xludf.DUMMYFUNCTION("""COMPUTED_VALUE"""),0.0)</f>
        <v>0</v>
      </c>
      <c r="E716" s="64"/>
      <c r="F716" s="95"/>
      <c r="G716" s="96"/>
      <c r="H716" s="64"/>
      <c r="I716" s="64"/>
      <c r="J716" s="64"/>
      <c r="K716" s="64"/>
      <c r="L716" s="64"/>
    </row>
    <row r="717" ht="16.5" customHeight="1">
      <c r="A717" s="64"/>
      <c r="B717" s="80" t="s">
        <v>18249</v>
      </c>
      <c r="C717" s="81" t="str">
        <f>IFERROR(__xludf.DUMMYFUNCTION("""COMPUTED_VALUE"""),"LolaGilray")</f>
        <v>LolaGilray</v>
      </c>
      <c r="D717" s="75">
        <f>IFERROR(__xludf.DUMMYFUNCTION("""COMPUTED_VALUE"""),0.0)</f>
        <v>0</v>
      </c>
      <c r="E717" s="64"/>
      <c r="F717" s="95"/>
      <c r="G717" s="96"/>
      <c r="H717" s="64"/>
      <c r="I717" s="64"/>
      <c r="J717" s="64"/>
      <c r="K717" s="64"/>
      <c r="L717" s="64"/>
    </row>
    <row r="718" ht="16.5" customHeight="1">
      <c r="A718" s="64"/>
      <c r="B718" s="80" t="s">
        <v>18249</v>
      </c>
      <c r="C718" s="81" t="str">
        <f>IFERROR(__xludf.DUMMYFUNCTION("""COMPUTED_VALUE"""),"LondonEconomic")</f>
        <v>LondonEconomic</v>
      </c>
      <c r="D718" s="75">
        <f>IFERROR(__xludf.DUMMYFUNCTION("""COMPUTED_VALUE"""),0.0)</f>
        <v>0</v>
      </c>
      <c r="E718" s="64"/>
      <c r="F718" s="95"/>
      <c r="G718" s="96"/>
      <c r="H718" s="64"/>
      <c r="I718" s="64"/>
      <c r="J718" s="64"/>
      <c r="K718" s="64"/>
      <c r="L718" s="64"/>
    </row>
    <row r="719" ht="16.5" customHeight="1">
      <c r="A719" s="64"/>
      <c r="B719" s="80" t="s">
        <v>18249</v>
      </c>
      <c r="C719" s="81" t="str">
        <f>IFERROR(__xludf.DUMMYFUNCTION("""COMPUTED_VALUE"""),"Loofah57060")</f>
        <v>Loofah57060</v>
      </c>
      <c r="D719" s="75">
        <f>IFERROR(__xludf.DUMMYFUNCTION("""COMPUTED_VALUE"""),0.0)</f>
        <v>0</v>
      </c>
      <c r="E719" s="64"/>
      <c r="F719" s="95"/>
      <c r="G719" s="96"/>
      <c r="H719" s="64"/>
      <c r="I719" s="64"/>
      <c r="J719" s="64"/>
      <c r="K719" s="64"/>
      <c r="L719" s="64"/>
    </row>
    <row r="720" ht="16.5" customHeight="1">
      <c r="A720" s="64"/>
      <c r="B720" s="80" t="s">
        <v>18249</v>
      </c>
      <c r="C720" s="81" t="str">
        <f>IFERROR(__xludf.DUMMYFUNCTION("""COMPUTED_VALUE"""),"LordFluffon")</f>
        <v>LordFluffon</v>
      </c>
      <c r="D720" s="75">
        <f>IFERROR(__xludf.DUMMYFUNCTION("""COMPUTED_VALUE"""),0.0)</f>
        <v>0</v>
      </c>
      <c r="E720" s="64"/>
      <c r="F720" s="95"/>
      <c r="G720" s="96"/>
      <c r="H720" s="64"/>
      <c r="I720" s="64"/>
      <c r="J720" s="64"/>
      <c r="K720" s="64"/>
      <c r="L720" s="64"/>
    </row>
    <row r="721" ht="16.5" customHeight="1">
      <c r="A721" s="64"/>
      <c r="B721" s="80" t="s">
        <v>18249</v>
      </c>
      <c r="C721" s="81" t="str">
        <f>IFERROR(__xludf.DUMMYFUNCTION("""COMPUTED_VALUE"""),"LordOfTheNacho")</f>
        <v>LordOfTheNacho</v>
      </c>
      <c r="D721" s="75">
        <f>IFERROR(__xludf.DUMMYFUNCTION("""COMPUTED_VALUE"""),0.0)</f>
        <v>0</v>
      </c>
      <c r="E721" s="64"/>
      <c r="F721" s="95"/>
      <c r="G721" s="96"/>
      <c r="H721" s="64"/>
      <c r="I721" s="64"/>
      <c r="J721" s="64"/>
      <c r="K721" s="64"/>
      <c r="L721" s="64"/>
    </row>
    <row r="722" ht="16.5" customHeight="1">
      <c r="A722" s="64"/>
      <c r="B722" s="80" t="s">
        <v>18249</v>
      </c>
      <c r="C722" s="81" t="str">
        <f>IFERROR(__xludf.DUMMYFUNCTION("""COMPUTED_VALUE"""),"Lordwessenden12")</f>
        <v>Lordwessenden12</v>
      </c>
      <c r="D722" s="75">
        <f>IFERROR(__xludf.DUMMYFUNCTION("""COMPUTED_VALUE"""),0.0)</f>
        <v>0</v>
      </c>
      <c r="E722" s="64"/>
      <c r="F722" s="95"/>
      <c r="G722" s="96"/>
      <c r="H722" s="64"/>
      <c r="I722" s="64"/>
      <c r="J722" s="64"/>
      <c r="K722" s="64"/>
      <c r="L722" s="64"/>
    </row>
    <row r="723" ht="16.5" customHeight="1">
      <c r="A723" s="64"/>
      <c r="B723" s="80" t="s">
        <v>18249</v>
      </c>
      <c r="C723" s="81" t="str">
        <f>IFERROR(__xludf.DUMMYFUNCTION("""COMPUTED_VALUE"""),"Lorelei3113")</f>
        <v>Lorelei3113</v>
      </c>
      <c r="D723" s="75">
        <f>IFERROR(__xludf.DUMMYFUNCTION("""COMPUTED_VALUE"""),0.0)</f>
        <v>0</v>
      </c>
      <c r="E723" s="64"/>
      <c r="F723" s="95"/>
      <c r="G723" s="96"/>
      <c r="H723" s="64"/>
      <c r="I723" s="64"/>
      <c r="J723" s="64"/>
      <c r="K723" s="64"/>
      <c r="L723" s="64"/>
    </row>
    <row r="724" ht="16.5" customHeight="1">
      <c r="A724" s="64"/>
      <c r="B724" s="80" t="s">
        <v>18249</v>
      </c>
      <c r="C724" s="81" t="str">
        <f>IFERROR(__xludf.DUMMYFUNCTION("""COMPUTED_VALUE"""),"LorraineRogerso")</f>
        <v>LorraineRogerso</v>
      </c>
      <c r="D724" s="75">
        <f>IFERROR(__xludf.DUMMYFUNCTION("""COMPUTED_VALUE"""),0.0)</f>
        <v>0</v>
      </c>
      <c r="E724" s="64"/>
      <c r="F724" s="95"/>
      <c r="G724" s="96"/>
      <c r="H724" s="64"/>
      <c r="I724" s="64"/>
      <c r="J724" s="64"/>
      <c r="K724" s="64"/>
      <c r="L724" s="64"/>
    </row>
    <row r="725" ht="16.5" customHeight="1">
      <c r="A725" s="64"/>
      <c r="B725" s="80" t="s">
        <v>18249</v>
      </c>
      <c r="C725" s="81" t="str">
        <f>IFERROR(__xludf.DUMMYFUNCTION("""COMPUTED_VALUE"""),"Lorrainemorich2")</f>
        <v>Lorrainemorich2</v>
      </c>
      <c r="D725" s="75">
        <f>IFERROR(__xludf.DUMMYFUNCTION("""COMPUTED_VALUE"""),0.0)</f>
        <v>0</v>
      </c>
      <c r="E725" s="64"/>
      <c r="F725" s="95"/>
      <c r="G725" s="96"/>
      <c r="H725" s="64"/>
      <c r="I725" s="64"/>
      <c r="J725" s="64"/>
      <c r="K725" s="64"/>
      <c r="L725" s="64"/>
    </row>
    <row r="726" ht="16.5" customHeight="1">
      <c r="A726" s="64"/>
      <c r="B726" s="80" t="s">
        <v>18249</v>
      </c>
      <c r="C726" s="81" t="str">
        <f>IFERROR(__xludf.DUMMYFUNCTION("""COMPUTED_VALUE"""),"Losing_Streak42")</f>
        <v>Losing_Streak42</v>
      </c>
      <c r="D726" s="75">
        <f>IFERROR(__xludf.DUMMYFUNCTION("""COMPUTED_VALUE"""),0.0)</f>
        <v>0</v>
      </c>
      <c r="E726" s="64"/>
      <c r="F726" s="95"/>
      <c r="G726" s="96"/>
      <c r="H726" s="64"/>
      <c r="I726" s="64"/>
      <c r="J726" s="64"/>
      <c r="K726" s="64"/>
      <c r="L726" s="64"/>
    </row>
    <row r="727" ht="16.5" customHeight="1">
      <c r="A727" s="64"/>
      <c r="B727" s="80" t="s">
        <v>18249</v>
      </c>
      <c r="C727" s="81" t="str">
        <f>IFERROR(__xludf.DUMMYFUNCTION("""COMPUTED_VALUE"""),"Lost_Tribe")</f>
        <v>Lost_Tribe</v>
      </c>
      <c r="D727" s="75">
        <f>IFERROR(__xludf.DUMMYFUNCTION("""COMPUTED_VALUE"""),0.0)</f>
        <v>0</v>
      </c>
      <c r="E727" s="64"/>
      <c r="F727" s="95"/>
      <c r="G727" s="96"/>
      <c r="H727" s="64"/>
      <c r="I727" s="64"/>
      <c r="J727" s="64"/>
      <c r="K727" s="64"/>
      <c r="L727" s="64"/>
    </row>
    <row r="728" ht="16.5" customHeight="1">
      <c r="A728" s="64"/>
      <c r="B728" s="80" t="s">
        <v>18249</v>
      </c>
      <c r="C728" s="81" t="str">
        <f>IFERROR(__xludf.DUMMYFUNCTION("""COMPUTED_VALUE"""),"LostinLauzerte")</f>
        <v>LostinLauzerte</v>
      </c>
      <c r="D728" s="75">
        <f>IFERROR(__xludf.DUMMYFUNCTION("""COMPUTED_VALUE"""),0.0)</f>
        <v>0</v>
      </c>
      <c r="E728" s="64"/>
      <c r="F728" s="95"/>
      <c r="G728" s="96"/>
      <c r="H728" s="64"/>
      <c r="I728" s="64"/>
      <c r="J728" s="64"/>
      <c r="K728" s="64"/>
      <c r="L728" s="64"/>
    </row>
    <row r="729" ht="16.5" customHeight="1">
      <c r="A729" s="64"/>
      <c r="B729" s="80" t="s">
        <v>18249</v>
      </c>
      <c r="C729" s="81" t="str">
        <f>IFERROR(__xludf.DUMMYFUNCTION("""COMPUTED_VALUE"""),"Louisamcdonal12")</f>
        <v>Louisamcdonal12</v>
      </c>
      <c r="D729" s="75">
        <f>IFERROR(__xludf.DUMMYFUNCTION("""COMPUTED_VALUE"""),0.0)</f>
        <v>0</v>
      </c>
      <c r="E729" s="64"/>
      <c r="F729" s="95"/>
      <c r="G729" s="96"/>
      <c r="H729" s="64"/>
      <c r="I729" s="64"/>
      <c r="J729" s="64"/>
      <c r="K729" s="64"/>
      <c r="L729" s="64"/>
    </row>
    <row r="730" ht="16.5" customHeight="1">
      <c r="A730" s="64"/>
      <c r="B730" s="80" t="s">
        <v>18249</v>
      </c>
      <c r="C730" s="81" t="str">
        <f>IFERROR(__xludf.DUMMYFUNCTION("""COMPUTED_VALUE"""),"LoveLife_UK")</f>
        <v>LoveLife_UK</v>
      </c>
      <c r="D730" s="75">
        <f>IFERROR(__xludf.DUMMYFUNCTION("""COMPUTED_VALUE"""),0.0)</f>
        <v>0</v>
      </c>
      <c r="E730" s="64"/>
      <c r="F730" s="95"/>
      <c r="G730" s="96"/>
      <c r="H730" s="64"/>
      <c r="I730" s="64"/>
      <c r="J730" s="64"/>
      <c r="K730" s="64"/>
      <c r="L730" s="64"/>
    </row>
    <row r="731" ht="16.5" customHeight="1">
      <c r="A731" s="64"/>
      <c r="B731" s="80" t="s">
        <v>18249</v>
      </c>
      <c r="C731" s="81" t="str">
        <f>IFERROR(__xludf.DUMMYFUNCTION("""COMPUTED_VALUE"""),"LoziCamp")</f>
        <v>LoziCamp</v>
      </c>
      <c r="D731" s="75">
        <f>IFERROR(__xludf.DUMMYFUNCTION("""COMPUTED_VALUE"""),0.0)</f>
        <v>0</v>
      </c>
      <c r="E731" s="64"/>
      <c r="F731" s="95"/>
      <c r="G731" s="96"/>
      <c r="H731" s="64"/>
      <c r="I731" s="64"/>
      <c r="J731" s="64"/>
      <c r="K731" s="64"/>
      <c r="L731" s="64"/>
    </row>
    <row r="732" ht="16.5" customHeight="1">
      <c r="A732" s="64"/>
      <c r="B732" s="80" t="s">
        <v>18249</v>
      </c>
      <c r="C732" s="81" t="str">
        <f>IFERROR(__xludf.DUMMYFUNCTION("""COMPUTED_VALUE"""),"LozzB59")</f>
        <v>LozzB59</v>
      </c>
      <c r="D732" s="75">
        <f>IFERROR(__xludf.DUMMYFUNCTION("""COMPUTED_VALUE"""),0.0)</f>
        <v>0</v>
      </c>
      <c r="E732" s="64"/>
      <c r="F732" s="95"/>
      <c r="G732" s="96"/>
      <c r="H732" s="64"/>
      <c r="I732" s="64"/>
      <c r="J732" s="64"/>
      <c r="K732" s="64"/>
      <c r="L732" s="64"/>
    </row>
    <row r="733" ht="16.5" customHeight="1">
      <c r="A733" s="64"/>
      <c r="B733" s="80" t="s">
        <v>18249</v>
      </c>
      <c r="C733" s="81" t="str">
        <f>IFERROR(__xludf.DUMMYFUNCTION("""COMPUTED_VALUE"""),"LucaTon42167012")</f>
        <v>LucaTon42167012</v>
      </c>
      <c r="D733" s="75">
        <f>IFERROR(__xludf.DUMMYFUNCTION("""COMPUTED_VALUE"""),0.0)</f>
        <v>0</v>
      </c>
      <c r="E733" s="64"/>
      <c r="F733" s="95"/>
      <c r="G733" s="96"/>
      <c r="H733" s="64"/>
      <c r="I733" s="64"/>
      <c r="J733" s="64"/>
      <c r="K733" s="64"/>
      <c r="L733" s="64"/>
    </row>
    <row r="734" ht="16.5" customHeight="1">
      <c r="A734" s="64"/>
      <c r="B734" s="80" t="s">
        <v>18249</v>
      </c>
      <c r="C734" s="81" t="str">
        <f>IFERROR(__xludf.DUMMYFUNCTION("""COMPUTED_VALUE"""),"LucyBauduin")</f>
        <v>LucyBauduin</v>
      </c>
      <c r="D734" s="75">
        <f>IFERROR(__xludf.DUMMYFUNCTION("""COMPUTED_VALUE"""),0.0)</f>
        <v>0</v>
      </c>
      <c r="E734" s="64"/>
      <c r="F734" s="95"/>
      <c r="G734" s="96"/>
      <c r="H734" s="64"/>
      <c r="I734" s="64"/>
      <c r="J734" s="64"/>
      <c r="K734" s="64"/>
      <c r="L734" s="64"/>
    </row>
    <row r="735" ht="16.5" customHeight="1">
      <c r="A735" s="64"/>
      <c r="B735" s="80" t="s">
        <v>18249</v>
      </c>
      <c r="C735" s="81" t="str">
        <f>IFERROR(__xludf.DUMMYFUNCTION("""COMPUTED_VALUE"""),"LucyW67")</f>
        <v>LucyW67</v>
      </c>
      <c r="D735" s="75">
        <f>IFERROR(__xludf.DUMMYFUNCTION("""COMPUTED_VALUE"""),0.0)</f>
        <v>0</v>
      </c>
      <c r="E735" s="64"/>
      <c r="F735" s="95"/>
      <c r="G735" s="96"/>
      <c r="H735" s="64"/>
      <c r="I735" s="64"/>
      <c r="J735" s="64"/>
      <c r="K735" s="64"/>
      <c r="L735" s="64"/>
    </row>
    <row r="736" ht="16.5" customHeight="1">
      <c r="A736" s="64"/>
      <c r="B736" s="80" t="s">
        <v>18249</v>
      </c>
      <c r="C736" s="81" t="str">
        <f>IFERROR(__xludf.DUMMYFUNCTION("""COMPUTED_VALUE"""),"LukeWar73493682")</f>
        <v>LukeWar73493682</v>
      </c>
      <c r="D736" s="75">
        <f>IFERROR(__xludf.DUMMYFUNCTION("""COMPUTED_VALUE"""),0.0)</f>
        <v>0</v>
      </c>
      <c r="E736" s="64"/>
      <c r="F736" s="95"/>
      <c r="G736" s="96"/>
      <c r="H736" s="64"/>
      <c r="I736" s="64"/>
      <c r="J736" s="64"/>
      <c r="K736" s="64"/>
      <c r="L736" s="64"/>
    </row>
    <row r="737" ht="16.5" customHeight="1">
      <c r="A737" s="64"/>
      <c r="B737" s="80" t="s">
        <v>18249</v>
      </c>
      <c r="C737" s="81" t="str">
        <f>IFERROR(__xludf.DUMMYFUNCTION("""COMPUTED_VALUE"""),"Lukecm68")</f>
        <v>Lukecm68</v>
      </c>
      <c r="D737" s="75">
        <f>IFERROR(__xludf.DUMMYFUNCTION("""COMPUTED_VALUE"""),0.0)</f>
        <v>0</v>
      </c>
      <c r="E737" s="64"/>
      <c r="F737" s="95"/>
      <c r="G737" s="96"/>
      <c r="H737" s="64"/>
      <c r="I737" s="64"/>
      <c r="J737" s="64"/>
      <c r="K737" s="64"/>
      <c r="L737" s="64"/>
    </row>
    <row r="738" ht="16.5" customHeight="1">
      <c r="A738" s="64"/>
      <c r="B738" s="80" t="s">
        <v>18249</v>
      </c>
      <c r="C738" s="81" t="str">
        <f>IFERROR(__xludf.DUMMYFUNCTION("""COMPUTED_VALUE"""),"LupacchiottoDog")</f>
        <v>LupacchiottoDog</v>
      </c>
      <c r="D738" s="75">
        <f>IFERROR(__xludf.DUMMYFUNCTION("""COMPUTED_VALUE"""),0.0)</f>
        <v>0</v>
      </c>
      <c r="E738" s="64"/>
      <c r="F738" s="95"/>
      <c r="G738" s="96"/>
      <c r="H738" s="64"/>
      <c r="I738" s="64"/>
      <c r="J738" s="64"/>
      <c r="K738" s="64"/>
      <c r="L738" s="64"/>
    </row>
    <row r="739" ht="16.5" customHeight="1">
      <c r="A739" s="64"/>
      <c r="B739" s="80" t="s">
        <v>18249</v>
      </c>
      <c r="C739" s="81" t="str">
        <f>IFERROR(__xludf.DUMMYFUNCTION("""COMPUTED_VALUE"""),"M1JSS")</f>
        <v>M1JSS</v>
      </c>
      <c r="D739" s="75">
        <f>IFERROR(__xludf.DUMMYFUNCTION("""COMPUTED_VALUE"""),0.0)</f>
        <v>0</v>
      </c>
      <c r="E739" s="64"/>
      <c r="F739" s="95"/>
      <c r="G739" s="96"/>
      <c r="H739" s="64"/>
      <c r="I739" s="64"/>
      <c r="J739" s="64"/>
      <c r="K739" s="64"/>
      <c r="L739" s="64"/>
    </row>
    <row r="740" ht="16.5" customHeight="1">
      <c r="A740" s="64"/>
      <c r="B740" s="80" t="s">
        <v>18249</v>
      </c>
      <c r="C740" s="81" t="str">
        <f>IFERROR(__xludf.DUMMYFUNCTION("""COMPUTED_VALUE"""),"MEHMiller2")</f>
        <v>MEHMiller2</v>
      </c>
      <c r="D740" s="75">
        <f>IFERROR(__xludf.DUMMYFUNCTION("""COMPUTED_VALUE"""),0.0)</f>
        <v>0</v>
      </c>
      <c r="E740" s="64"/>
      <c r="F740" s="95"/>
      <c r="G740" s="96"/>
      <c r="H740" s="64"/>
      <c r="I740" s="64"/>
      <c r="J740" s="64"/>
      <c r="K740" s="64"/>
      <c r="L740" s="64"/>
    </row>
    <row r="741" ht="16.5" customHeight="1">
      <c r="A741" s="64"/>
      <c r="B741" s="80" t="s">
        <v>18249</v>
      </c>
      <c r="C741" s="81" t="str">
        <f>IFERROR(__xludf.DUMMYFUNCTION("""COMPUTED_VALUE"""),"MHartleyJones")</f>
        <v>MHartleyJones</v>
      </c>
      <c r="D741" s="75">
        <f>IFERROR(__xludf.DUMMYFUNCTION("""COMPUTED_VALUE"""),0.0)</f>
        <v>0</v>
      </c>
      <c r="E741" s="64"/>
      <c r="F741" s="95"/>
      <c r="G741" s="96"/>
      <c r="H741" s="64"/>
      <c r="I741" s="64"/>
      <c r="J741" s="64"/>
      <c r="K741" s="64"/>
      <c r="L741" s="64"/>
    </row>
    <row r="742" ht="16.5" customHeight="1">
      <c r="A742" s="64"/>
      <c r="B742" s="80" t="s">
        <v>18249</v>
      </c>
      <c r="C742" s="81" t="str">
        <f>IFERROR(__xludf.DUMMYFUNCTION("""COMPUTED_VALUE"""),"MJBr00ks58")</f>
        <v>MJBr00ks58</v>
      </c>
      <c r="D742" s="75">
        <f>IFERROR(__xludf.DUMMYFUNCTION("""COMPUTED_VALUE"""),0.0)</f>
        <v>0</v>
      </c>
      <c r="E742" s="64"/>
      <c r="F742" s="95"/>
      <c r="G742" s="96"/>
      <c r="H742" s="64"/>
      <c r="I742" s="64"/>
      <c r="J742" s="64"/>
      <c r="K742" s="64"/>
      <c r="L742" s="64"/>
    </row>
    <row r="743" ht="16.5" customHeight="1">
      <c r="A743" s="64"/>
      <c r="B743" s="80" t="s">
        <v>18249</v>
      </c>
      <c r="C743" s="81" t="str">
        <f>IFERROR(__xludf.DUMMYFUNCTION("""COMPUTED_VALUE"""),"MJJSeagull")</f>
        <v>MJJSeagull</v>
      </c>
      <c r="D743" s="75">
        <f>IFERROR(__xludf.DUMMYFUNCTION("""COMPUTED_VALUE"""),0.0)</f>
        <v>0</v>
      </c>
      <c r="E743" s="64"/>
      <c r="F743" s="95"/>
      <c r="G743" s="96"/>
      <c r="H743" s="64"/>
      <c r="I743" s="64"/>
      <c r="J743" s="64"/>
      <c r="K743" s="64"/>
      <c r="L743" s="64"/>
    </row>
    <row r="744" ht="16.5" customHeight="1">
      <c r="A744" s="64"/>
      <c r="B744" s="80" t="s">
        <v>18249</v>
      </c>
      <c r="C744" s="81" t="str">
        <f>IFERROR(__xludf.DUMMYFUNCTION("""COMPUTED_VALUE"""),"MMRBoyce")</f>
        <v>MMRBoyce</v>
      </c>
      <c r="D744" s="75">
        <f>IFERROR(__xludf.DUMMYFUNCTION("""COMPUTED_VALUE"""),0.0)</f>
        <v>0</v>
      </c>
      <c r="E744" s="64"/>
      <c r="F744" s="95"/>
      <c r="G744" s="96"/>
      <c r="H744" s="64"/>
      <c r="I744" s="64"/>
      <c r="J744" s="64"/>
      <c r="K744" s="64"/>
      <c r="L744" s="64"/>
    </row>
    <row r="745" ht="16.5" customHeight="1">
      <c r="A745" s="64"/>
      <c r="B745" s="80" t="s">
        <v>18249</v>
      </c>
      <c r="C745" s="81" t="str">
        <f>IFERROR(__xludf.DUMMYFUNCTION("""COMPUTED_VALUE"""),"MTG_Illustrates")</f>
        <v>MTG_Illustrates</v>
      </c>
      <c r="D745" s="75">
        <f>IFERROR(__xludf.DUMMYFUNCTION("""COMPUTED_VALUE"""),0.0)</f>
        <v>0</v>
      </c>
      <c r="E745" s="64"/>
      <c r="F745" s="95"/>
      <c r="G745" s="96"/>
      <c r="H745" s="64"/>
      <c r="I745" s="64"/>
      <c r="J745" s="64"/>
      <c r="K745" s="64"/>
      <c r="L745" s="64"/>
    </row>
    <row r="746" ht="16.5" customHeight="1">
      <c r="A746" s="64"/>
      <c r="B746" s="80" t="s">
        <v>18249</v>
      </c>
      <c r="C746" s="81" t="str">
        <f>IFERROR(__xludf.DUMMYFUNCTION("""COMPUTED_VALUE"""),"MUvonBulow")</f>
        <v>MUvonBulow</v>
      </c>
      <c r="D746" s="75">
        <f>IFERROR(__xludf.DUMMYFUNCTION("""COMPUTED_VALUE"""),0.0)</f>
        <v>0</v>
      </c>
      <c r="E746" s="64"/>
      <c r="F746" s="95"/>
      <c r="G746" s="96"/>
      <c r="H746" s="64"/>
      <c r="I746" s="64"/>
      <c r="J746" s="64"/>
      <c r="K746" s="64"/>
      <c r="L746" s="64"/>
    </row>
    <row r="747" ht="16.5" customHeight="1">
      <c r="A747" s="64"/>
      <c r="B747" s="80" t="s">
        <v>18249</v>
      </c>
      <c r="C747" s="81" t="str">
        <f>IFERROR(__xludf.DUMMYFUNCTION("""COMPUTED_VALUE"""),"MWFertileMinds")</f>
        <v>MWFertileMinds</v>
      </c>
      <c r="D747" s="75">
        <f>IFERROR(__xludf.DUMMYFUNCTION("""COMPUTED_VALUE"""),0.0)</f>
        <v>0</v>
      </c>
      <c r="E747" s="64"/>
      <c r="F747" s="95"/>
      <c r="G747" s="96"/>
      <c r="H747" s="64"/>
      <c r="I747" s="64"/>
      <c r="J747" s="64"/>
      <c r="K747" s="64"/>
      <c r="L747" s="64"/>
    </row>
    <row r="748" ht="16.5" customHeight="1">
      <c r="A748" s="64"/>
      <c r="B748" s="80" t="s">
        <v>18249</v>
      </c>
      <c r="C748" s="81" t="str">
        <f>IFERROR(__xludf.DUMMYFUNCTION("""COMPUTED_VALUE"""),"M_Tibbles")</f>
        <v>M_Tibbles</v>
      </c>
      <c r="D748" s="75">
        <f>IFERROR(__xludf.DUMMYFUNCTION("""COMPUTED_VALUE"""),0.0)</f>
        <v>0</v>
      </c>
      <c r="E748" s="64"/>
      <c r="F748" s="95"/>
      <c r="G748" s="96"/>
      <c r="H748" s="64"/>
      <c r="I748" s="64"/>
      <c r="J748" s="64"/>
      <c r="K748" s="64"/>
      <c r="L748" s="64"/>
    </row>
    <row r="749" ht="16.5" customHeight="1">
      <c r="A749" s="64"/>
      <c r="B749" s="80" t="s">
        <v>18249</v>
      </c>
      <c r="C749" s="81" t="str">
        <f>IFERROR(__xludf.DUMMYFUNCTION("""COMPUTED_VALUE"""),"Macheath1")</f>
        <v>Macheath1</v>
      </c>
      <c r="D749" s="75">
        <f>IFERROR(__xludf.DUMMYFUNCTION("""COMPUTED_VALUE"""),0.0)</f>
        <v>0</v>
      </c>
      <c r="E749" s="64"/>
      <c r="F749" s="95"/>
      <c r="G749" s="96"/>
      <c r="H749" s="64"/>
      <c r="I749" s="64"/>
      <c r="J749" s="64"/>
      <c r="K749" s="64"/>
      <c r="L749" s="64"/>
    </row>
    <row r="750" ht="16.5" customHeight="1">
      <c r="A750" s="64"/>
      <c r="B750" s="80" t="s">
        <v>18249</v>
      </c>
      <c r="C750" s="81" t="str">
        <f>IFERROR(__xludf.DUMMYFUNCTION("""COMPUTED_VALUE"""),"MaddestMa")</f>
        <v>MaddestMa</v>
      </c>
      <c r="D750" s="75">
        <f>IFERROR(__xludf.DUMMYFUNCTION("""COMPUTED_VALUE"""),0.0)</f>
        <v>0</v>
      </c>
      <c r="E750" s="64"/>
      <c r="F750" s="95"/>
      <c r="G750" s="96"/>
      <c r="H750" s="64"/>
      <c r="I750" s="64"/>
      <c r="J750" s="64"/>
      <c r="K750" s="64"/>
      <c r="L750" s="64"/>
    </row>
    <row r="751" ht="16.5" customHeight="1">
      <c r="A751" s="64"/>
      <c r="B751" s="80" t="s">
        <v>18249</v>
      </c>
      <c r="C751" s="81" t="str">
        <f>IFERROR(__xludf.DUMMYFUNCTION("""COMPUTED_VALUE"""),"Maerdydd")</f>
        <v>Maerdydd</v>
      </c>
      <c r="D751" s="75">
        <f>IFERROR(__xludf.DUMMYFUNCTION("""COMPUTED_VALUE"""),0.0)</f>
        <v>0</v>
      </c>
      <c r="E751" s="64"/>
      <c r="F751" s="95"/>
      <c r="G751" s="96"/>
      <c r="H751" s="64"/>
      <c r="I751" s="64"/>
      <c r="J751" s="64"/>
      <c r="K751" s="64"/>
      <c r="L751" s="64"/>
    </row>
    <row r="752" ht="16.5" customHeight="1">
      <c r="A752" s="64"/>
      <c r="B752" s="80" t="s">
        <v>18249</v>
      </c>
      <c r="C752" s="81" t="str">
        <f>IFERROR(__xludf.DUMMYFUNCTION("""COMPUTED_VALUE"""),"MagicSybille")</f>
        <v>MagicSybille</v>
      </c>
      <c r="D752" s="75">
        <f>IFERROR(__xludf.DUMMYFUNCTION("""COMPUTED_VALUE"""),0.0)</f>
        <v>0</v>
      </c>
      <c r="E752" s="64"/>
      <c r="F752" s="95"/>
      <c r="G752" s="96"/>
      <c r="H752" s="64"/>
      <c r="I752" s="64"/>
      <c r="J752" s="64"/>
      <c r="K752" s="64"/>
      <c r="L752" s="64"/>
    </row>
    <row r="753" ht="16.5" customHeight="1">
      <c r="A753" s="64"/>
      <c r="B753" s="80" t="s">
        <v>18249</v>
      </c>
      <c r="C753" s="81" t="str">
        <f>IFERROR(__xludf.DUMMYFUNCTION("""COMPUTED_VALUE"""),"Mags12180076")</f>
        <v>Mags12180076</v>
      </c>
      <c r="D753" s="75">
        <f>IFERROR(__xludf.DUMMYFUNCTION("""COMPUTED_VALUE"""),0.0)</f>
        <v>0</v>
      </c>
      <c r="E753" s="64"/>
      <c r="F753" s="95"/>
      <c r="G753" s="96"/>
      <c r="H753" s="64"/>
      <c r="I753" s="64"/>
      <c r="J753" s="64"/>
      <c r="K753" s="64"/>
      <c r="L753" s="64"/>
    </row>
    <row r="754" ht="16.5" customHeight="1">
      <c r="A754" s="64"/>
      <c r="B754" s="80" t="s">
        <v>18249</v>
      </c>
      <c r="C754" s="81" t="str">
        <f>IFERROR(__xludf.DUMMYFUNCTION("""COMPUTED_VALUE"""),"MaiOpine")</f>
        <v>MaiOpine</v>
      </c>
      <c r="D754" s="75">
        <f>IFERROR(__xludf.DUMMYFUNCTION("""COMPUTED_VALUE"""),0.0)</f>
        <v>0</v>
      </c>
      <c r="E754" s="64"/>
      <c r="F754" s="95"/>
      <c r="G754" s="96"/>
      <c r="H754" s="64"/>
      <c r="I754" s="64"/>
      <c r="J754" s="64"/>
      <c r="K754" s="64"/>
      <c r="L754" s="64"/>
    </row>
    <row r="755" ht="16.5" customHeight="1">
      <c r="A755" s="64"/>
      <c r="B755" s="80" t="s">
        <v>18249</v>
      </c>
      <c r="C755" s="81" t="str">
        <f>IFERROR(__xludf.DUMMYFUNCTION("""COMPUTED_VALUE"""),"MalkyC01")</f>
        <v>MalkyC01</v>
      </c>
      <c r="D755" s="75">
        <f>IFERROR(__xludf.DUMMYFUNCTION("""COMPUTED_VALUE"""),0.0)</f>
        <v>0</v>
      </c>
      <c r="E755" s="64"/>
      <c r="F755" s="95"/>
      <c r="G755" s="96"/>
      <c r="H755" s="64"/>
      <c r="I755" s="64"/>
      <c r="J755" s="64"/>
      <c r="K755" s="64"/>
      <c r="L755" s="64"/>
    </row>
    <row r="756" ht="16.5" customHeight="1">
      <c r="A756" s="64"/>
      <c r="B756" s="80" t="s">
        <v>18249</v>
      </c>
      <c r="C756" s="81" t="str">
        <f>IFERROR(__xludf.DUMMYFUNCTION("""COMPUTED_VALUE"""),"MancCoin")</f>
        <v>MancCoin</v>
      </c>
      <c r="D756" s="75">
        <f>IFERROR(__xludf.DUMMYFUNCTION("""COMPUTED_VALUE"""),0.0)</f>
        <v>0</v>
      </c>
      <c r="E756" s="64"/>
      <c r="F756" s="95"/>
      <c r="G756" s="96"/>
      <c r="H756" s="64"/>
      <c r="I756" s="64"/>
      <c r="J756" s="64"/>
      <c r="K756" s="64"/>
      <c r="L756" s="64"/>
    </row>
    <row r="757" ht="16.5" customHeight="1">
      <c r="A757" s="64"/>
      <c r="B757" s="80" t="s">
        <v>18249</v>
      </c>
      <c r="C757" s="81" t="str">
        <f>IFERROR(__xludf.DUMMYFUNCTION("""COMPUTED_VALUE"""),"Mand80434891")</f>
        <v>Mand80434891</v>
      </c>
      <c r="D757" s="75">
        <f>IFERROR(__xludf.DUMMYFUNCTION("""COMPUTED_VALUE"""),0.0)</f>
        <v>0</v>
      </c>
      <c r="E757" s="64"/>
      <c r="F757" s="95"/>
      <c r="G757" s="96"/>
      <c r="H757" s="64"/>
      <c r="I757" s="64"/>
      <c r="J757" s="64"/>
      <c r="K757" s="64"/>
      <c r="L757" s="64"/>
    </row>
    <row r="758" ht="16.5" customHeight="1">
      <c r="A758" s="64"/>
      <c r="B758" s="80" t="s">
        <v>18249</v>
      </c>
      <c r="C758" s="81" t="str">
        <f>IFERROR(__xludf.DUMMYFUNCTION("""COMPUTED_VALUE"""),"ManleyAjmanley")</f>
        <v>ManleyAjmanley</v>
      </c>
      <c r="D758" s="75">
        <f>IFERROR(__xludf.DUMMYFUNCTION("""COMPUTED_VALUE"""),0.0)</f>
        <v>0</v>
      </c>
      <c r="E758" s="64"/>
      <c r="F758" s="95"/>
      <c r="G758" s="96"/>
      <c r="H758" s="64"/>
      <c r="I758" s="64"/>
      <c r="J758" s="64"/>
      <c r="K758" s="64"/>
      <c r="L758" s="64"/>
    </row>
    <row r="759" ht="16.5" customHeight="1">
      <c r="A759" s="64"/>
      <c r="B759" s="80" t="s">
        <v>18249</v>
      </c>
      <c r="C759" s="81" t="str">
        <f>IFERROR(__xludf.DUMMYFUNCTION("""COMPUTED_VALUE"""),"Mapdisk")</f>
        <v>Mapdisk</v>
      </c>
      <c r="D759" s="75">
        <f>IFERROR(__xludf.DUMMYFUNCTION("""COMPUTED_VALUE"""),0.0)</f>
        <v>0</v>
      </c>
      <c r="E759" s="64"/>
      <c r="F759" s="95"/>
      <c r="G759" s="96"/>
      <c r="H759" s="64"/>
      <c r="I759" s="64"/>
      <c r="J759" s="64"/>
      <c r="K759" s="64"/>
      <c r="L759" s="64"/>
    </row>
    <row r="760" ht="16.5" customHeight="1">
      <c r="A760" s="64"/>
      <c r="B760" s="80" t="s">
        <v>18249</v>
      </c>
      <c r="C760" s="81" t="str">
        <f>IFERROR(__xludf.DUMMYFUNCTION("""COMPUTED_VALUE"""),"Marcho451")</f>
        <v>Marcho451</v>
      </c>
      <c r="D760" s="75">
        <f>IFERROR(__xludf.DUMMYFUNCTION("""COMPUTED_VALUE"""),0.0)</f>
        <v>0</v>
      </c>
      <c r="E760" s="64"/>
      <c r="F760" s="95"/>
      <c r="G760" s="96"/>
      <c r="H760" s="64"/>
      <c r="I760" s="64"/>
      <c r="J760" s="64"/>
      <c r="K760" s="64"/>
      <c r="L760" s="64"/>
    </row>
    <row r="761" ht="16.5" customHeight="1">
      <c r="A761" s="64"/>
      <c r="B761" s="80" t="s">
        <v>18249</v>
      </c>
      <c r="C761" s="81" t="str">
        <f>IFERROR(__xludf.DUMMYFUNCTION("""COMPUTED_VALUE"""),"Margare27402360")</f>
        <v>Margare27402360</v>
      </c>
      <c r="D761" s="75">
        <f>IFERROR(__xludf.DUMMYFUNCTION("""COMPUTED_VALUE"""),0.0)</f>
        <v>0</v>
      </c>
      <c r="E761" s="64"/>
      <c r="F761" s="95"/>
      <c r="G761" s="96"/>
      <c r="H761" s="64"/>
      <c r="I761" s="64"/>
      <c r="J761" s="64"/>
      <c r="K761" s="64"/>
      <c r="L761" s="64"/>
    </row>
    <row r="762" ht="16.5" customHeight="1">
      <c r="A762" s="64"/>
      <c r="B762" s="80" t="s">
        <v>18249</v>
      </c>
      <c r="C762" s="81" t="str">
        <f>IFERROR(__xludf.DUMMYFUNCTION("""COMPUTED_VALUE"""),"Margare55035539")</f>
        <v>Margare55035539</v>
      </c>
      <c r="D762" s="75">
        <f>IFERROR(__xludf.DUMMYFUNCTION("""COMPUTED_VALUE"""),0.0)</f>
        <v>0</v>
      </c>
      <c r="E762" s="64"/>
      <c r="F762" s="95"/>
      <c r="G762" s="96"/>
      <c r="H762" s="64"/>
      <c r="I762" s="64"/>
      <c r="J762" s="64"/>
      <c r="K762" s="64"/>
      <c r="L762" s="64"/>
    </row>
    <row r="763" ht="16.5" customHeight="1">
      <c r="A763" s="64"/>
      <c r="B763" s="80" t="s">
        <v>18249</v>
      </c>
      <c r="C763" s="81" t="str">
        <f>IFERROR(__xludf.DUMMYFUNCTION("""COMPUTED_VALUE"""),"MargaretCarman1")</f>
        <v>MargaretCarman1</v>
      </c>
      <c r="D763" s="75">
        <f>IFERROR(__xludf.DUMMYFUNCTION("""COMPUTED_VALUE"""),0.0)</f>
        <v>0</v>
      </c>
      <c r="E763" s="64"/>
      <c r="F763" s="95"/>
      <c r="G763" s="96"/>
      <c r="H763" s="64"/>
      <c r="I763" s="64"/>
      <c r="J763" s="64"/>
      <c r="K763" s="64"/>
      <c r="L763" s="64"/>
    </row>
    <row r="764" ht="16.5" customHeight="1">
      <c r="A764" s="64"/>
      <c r="B764" s="80" t="s">
        <v>18249</v>
      </c>
      <c r="C764" s="81" t="str">
        <f>IFERROR(__xludf.DUMMYFUNCTION("""COMPUTED_VALUE"""),"MariaDelGreco1")</f>
        <v>MariaDelGreco1</v>
      </c>
      <c r="D764" s="75">
        <f>IFERROR(__xludf.DUMMYFUNCTION("""COMPUTED_VALUE"""),0.0)</f>
        <v>0</v>
      </c>
      <c r="E764" s="64"/>
      <c r="F764" s="95"/>
      <c r="G764" s="96"/>
      <c r="H764" s="64"/>
      <c r="I764" s="64"/>
      <c r="J764" s="64"/>
      <c r="K764" s="64"/>
      <c r="L764" s="64"/>
    </row>
    <row r="765" ht="16.5" customHeight="1">
      <c r="A765" s="64"/>
      <c r="B765" s="80" t="s">
        <v>18249</v>
      </c>
      <c r="C765" s="81" t="str">
        <f>IFERROR(__xludf.DUMMYFUNCTION("""COMPUTED_VALUE"""),"MariaMo32975161")</f>
        <v>MariaMo32975161</v>
      </c>
      <c r="D765" s="75">
        <f>IFERROR(__xludf.DUMMYFUNCTION("""COMPUTED_VALUE"""),0.0)</f>
        <v>0</v>
      </c>
      <c r="E765" s="64"/>
      <c r="F765" s="95"/>
      <c r="G765" s="96"/>
      <c r="H765" s="64"/>
      <c r="I765" s="64"/>
      <c r="J765" s="64"/>
      <c r="K765" s="64"/>
      <c r="L765" s="64"/>
    </row>
    <row r="766" ht="16.5" customHeight="1">
      <c r="A766" s="64"/>
      <c r="B766" s="80" t="s">
        <v>18249</v>
      </c>
      <c r="C766" s="81" t="str">
        <f>IFERROR(__xludf.DUMMYFUNCTION("""COMPUTED_VALUE"""),"Marianna___S")</f>
        <v>Marianna___S</v>
      </c>
      <c r="D766" s="75">
        <f>IFERROR(__xludf.DUMMYFUNCTION("""COMPUTED_VALUE"""),0.0)</f>
        <v>0</v>
      </c>
      <c r="E766" s="64"/>
      <c r="F766" s="95"/>
      <c r="G766" s="96"/>
      <c r="H766" s="64"/>
      <c r="I766" s="64"/>
      <c r="J766" s="64"/>
      <c r="K766" s="64"/>
      <c r="L766" s="64"/>
    </row>
    <row r="767" ht="16.5" customHeight="1">
      <c r="A767" s="64"/>
      <c r="B767" s="80" t="s">
        <v>18249</v>
      </c>
      <c r="C767" s="81" t="str">
        <f>IFERROR(__xludf.DUMMYFUNCTION("""COMPUTED_VALUE"""),"Mariannebuzz")</f>
        <v>Mariannebuzz</v>
      </c>
      <c r="D767" s="75">
        <f>IFERROR(__xludf.DUMMYFUNCTION("""COMPUTED_VALUE"""),0.0)</f>
        <v>0</v>
      </c>
      <c r="E767" s="64"/>
      <c r="F767" s="95"/>
      <c r="G767" s="96"/>
      <c r="H767" s="64"/>
      <c r="I767" s="64"/>
      <c r="J767" s="64"/>
      <c r="K767" s="64"/>
      <c r="L767" s="64"/>
    </row>
    <row r="768" ht="16.5" customHeight="1">
      <c r="A768" s="64"/>
      <c r="B768" s="80" t="s">
        <v>18249</v>
      </c>
      <c r="C768" s="81" t="str">
        <f>IFERROR(__xludf.DUMMYFUNCTION("""COMPUTED_VALUE"""),"Mariebe10098426")</f>
        <v>Mariebe10098426</v>
      </c>
      <c r="D768" s="75">
        <f>IFERROR(__xludf.DUMMYFUNCTION("""COMPUTED_VALUE"""),0.0)</f>
        <v>0</v>
      </c>
      <c r="E768" s="64"/>
      <c r="F768" s="95"/>
      <c r="G768" s="96"/>
      <c r="H768" s="64"/>
      <c r="I768" s="64"/>
      <c r="J768" s="64"/>
      <c r="K768" s="64"/>
      <c r="L768" s="64"/>
    </row>
    <row r="769" ht="16.5" customHeight="1">
      <c r="A769" s="64"/>
      <c r="B769" s="80" t="s">
        <v>18249</v>
      </c>
      <c r="C769" s="81" t="str">
        <f>IFERROR(__xludf.DUMMYFUNCTION("""COMPUTED_VALUE"""),"MarkC33548991")</f>
        <v>MarkC33548991</v>
      </c>
      <c r="D769" s="75">
        <f>IFERROR(__xludf.DUMMYFUNCTION("""COMPUTED_VALUE"""),0.0)</f>
        <v>0</v>
      </c>
      <c r="E769" s="64"/>
      <c r="F769" s="95"/>
      <c r="G769" s="96"/>
      <c r="H769" s="64"/>
      <c r="I769" s="64"/>
      <c r="J769" s="64"/>
      <c r="K769" s="64"/>
      <c r="L769" s="64"/>
    </row>
    <row r="770" ht="16.5" customHeight="1">
      <c r="A770" s="64"/>
      <c r="B770" s="80" t="s">
        <v>18249</v>
      </c>
      <c r="C770" s="81" t="str">
        <f>IFERROR(__xludf.DUMMYFUNCTION("""COMPUTED_VALUE"""),"MarkDSimmons")</f>
        <v>MarkDSimmons</v>
      </c>
      <c r="D770" s="75">
        <f>IFERROR(__xludf.DUMMYFUNCTION("""COMPUTED_VALUE"""),0.0)</f>
        <v>0</v>
      </c>
      <c r="E770" s="64"/>
      <c r="F770" s="95"/>
      <c r="G770" s="96"/>
      <c r="H770" s="64"/>
      <c r="I770" s="64"/>
      <c r="J770" s="64"/>
      <c r="K770" s="64"/>
      <c r="L770" s="64"/>
    </row>
    <row r="771" ht="16.5" customHeight="1">
      <c r="A771" s="64"/>
      <c r="B771" s="80" t="s">
        <v>18249</v>
      </c>
      <c r="C771" s="81" t="str">
        <f>IFERROR(__xludf.DUMMYFUNCTION("""COMPUTED_VALUE"""),"MarkHazard2020")</f>
        <v>MarkHazard2020</v>
      </c>
      <c r="D771" s="75">
        <f>IFERROR(__xludf.DUMMYFUNCTION("""COMPUTED_VALUE"""),0.0)</f>
        <v>0</v>
      </c>
      <c r="E771" s="64"/>
      <c r="F771" s="95"/>
      <c r="G771" s="96"/>
      <c r="H771" s="64"/>
      <c r="I771" s="64"/>
      <c r="J771" s="64"/>
      <c r="K771" s="64"/>
      <c r="L771" s="64"/>
    </row>
    <row r="772" ht="16.5" customHeight="1">
      <c r="A772" s="64"/>
      <c r="B772" s="80" t="s">
        <v>18249</v>
      </c>
      <c r="C772" s="81" t="str">
        <f>IFERROR(__xludf.DUMMYFUNCTION("""COMPUTED_VALUE"""),"MarkInNorthWest")</f>
        <v>MarkInNorthWest</v>
      </c>
      <c r="D772" s="75">
        <f>IFERROR(__xludf.DUMMYFUNCTION("""COMPUTED_VALUE"""),0.0)</f>
        <v>0</v>
      </c>
      <c r="E772" s="64"/>
      <c r="F772" s="95"/>
      <c r="G772" s="96"/>
      <c r="H772" s="64"/>
      <c r="I772" s="64"/>
      <c r="J772" s="64"/>
      <c r="K772" s="64"/>
      <c r="L772" s="64"/>
    </row>
    <row r="773" ht="16.5" customHeight="1">
      <c r="A773" s="64"/>
      <c r="B773" s="80" t="s">
        <v>18249</v>
      </c>
      <c r="C773" s="81" t="str">
        <f>IFERROR(__xludf.DUMMYFUNCTION("""COMPUTED_VALUE"""),"Mark_Bloomfield")</f>
        <v>Mark_Bloomfield</v>
      </c>
      <c r="D773" s="75">
        <f>IFERROR(__xludf.DUMMYFUNCTION("""COMPUTED_VALUE"""),0.0)</f>
        <v>0</v>
      </c>
      <c r="E773" s="64"/>
      <c r="F773" s="95"/>
      <c r="G773" s="96"/>
      <c r="H773" s="64"/>
      <c r="I773" s="64"/>
      <c r="J773" s="64"/>
      <c r="K773" s="64"/>
      <c r="L773" s="64"/>
    </row>
    <row r="774" ht="16.5" customHeight="1">
      <c r="A774" s="64"/>
      <c r="B774" s="80" t="s">
        <v>18249</v>
      </c>
      <c r="C774" s="81" t="str">
        <f>IFERROR(__xludf.DUMMYFUNCTION("""COMPUTED_VALUE"""),"Markkocpfc")</f>
        <v>Markkocpfc</v>
      </c>
      <c r="D774" s="75">
        <f>IFERROR(__xludf.DUMMYFUNCTION("""COMPUTED_VALUE"""),0.0)</f>
        <v>0</v>
      </c>
      <c r="E774" s="64"/>
      <c r="F774" s="95"/>
      <c r="G774" s="96"/>
      <c r="H774" s="64"/>
      <c r="I774" s="64"/>
      <c r="J774" s="64"/>
      <c r="K774" s="64"/>
      <c r="L774" s="64"/>
    </row>
    <row r="775" ht="16.5" customHeight="1">
      <c r="A775" s="64"/>
      <c r="B775" s="80" t="s">
        <v>18249</v>
      </c>
      <c r="C775" s="81" t="str">
        <f>IFERROR(__xludf.DUMMYFUNCTION("""COMPUTED_VALUE"""),"Markll_revive")</f>
        <v>Markll_revive</v>
      </c>
      <c r="D775" s="75">
        <f>IFERROR(__xludf.DUMMYFUNCTION("""COMPUTED_VALUE"""),0.0)</f>
        <v>0</v>
      </c>
      <c r="E775" s="64"/>
      <c r="F775" s="95"/>
      <c r="G775" s="96"/>
      <c r="H775" s="64"/>
      <c r="I775" s="64"/>
      <c r="J775" s="64"/>
      <c r="K775" s="64"/>
      <c r="L775" s="64"/>
    </row>
    <row r="776" ht="16.5" customHeight="1">
      <c r="A776" s="64"/>
      <c r="B776" s="80" t="s">
        <v>18249</v>
      </c>
      <c r="C776" s="81" t="str">
        <f>IFERROR(__xludf.DUMMYFUNCTION("""COMPUTED_VALUE"""),"MartinDochert12")</f>
        <v>MartinDochert12</v>
      </c>
      <c r="D776" s="75">
        <f>IFERROR(__xludf.DUMMYFUNCTION("""COMPUTED_VALUE"""),0.0)</f>
        <v>0</v>
      </c>
      <c r="E776" s="64"/>
      <c r="F776" s="95"/>
      <c r="G776" s="96"/>
      <c r="H776" s="64"/>
      <c r="I776" s="64"/>
      <c r="J776" s="64"/>
      <c r="K776" s="64"/>
      <c r="L776" s="64"/>
    </row>
    <row r="777" ht="16.5" customHeight="1">
      <c r="A777" s="64"/>
      <c r="B777" s="80" t="s">
        <v>18249</v>
      </c>
      <c r="C777" s="81" t="str">
        <f>IFERROR(__xludf.DUMMYFUNCTION("""COMPUTED_VALUE"""),"MartinHarper62")</f>
        <v>MartinHarper62</v>
      </c>
      <c r="D777" s="75">
        <f>IFERROR(__xludf.DUMMYFUNCTION("""COMPUTED_VALUE"""),0.0)</f>
        <v>0</v>
      </c>
      <c r="E777" s="64"/>
      <c r="F777" s="95"/>
      <c r="G777" s="96"/>
      <c r="H777" s="64"/>
      <c r="I777" s="64"/>
      <c r="J777" s="64"/>
      <c r="K777" s="64"/>
      <c r="L777" s="64"/>
    </row>
    <row r="778" ht="16.5" customHeight="1">
      <c r="A778" s="64"/>
      <c r="B778" s="80" t="s">
        <v>18249</v>
      </c>
      <c r="C778" s="81" t="str">
        <f>IFERROR(__xludf.DUMMYFUNCTION("""COMPUTED_VALUE"""),"Martynmartynjf")</f>
        <v>Martynmartynjf</v>
      </c>
      <c r="D778" s="75">
        <f>IFERROR(__xludf.DUMMYFUNCTION("""COMPUTED_VALUE"""),0.0)</f>
        <v>0</v>
      </c>
      <c r="E778" s="64"/>
      <c r="F778" s="95"/>
      <c r="G778" s="96"/>
      <c r="H778" s="64"/>
      <c r="I778" s="64"/>
      <c r="J778" s="64"/>
      <c r="K778" s="64"/>
      <c r="L778" s="64"/>
    </row>
    <row r="779" ht="16.5" customHeight="1">
      <c r="A779" s="64"/>
      <c r="B779" s="80" t="s">
        <v>18249</v>
      </c>
      <c r="C779" s="81" t="str">
        <f>IFERROR(__xludf.DUMMYFUNCTION("""COMPUTED_VALUE"""),"MaryDoo12255144")</f>
        <v>MaryDoo12255144</v>
      </c>
      <c r="D779" s="75">
        <f>IFERROR(__xludf.DUMMYFUNCTION("""COMPUTED_VALUE"""),0.0)</f>
        <v>0</v>
      </c>
      <c r="E779" s="64"/>
      <c r="F779" s="95"/>
      <c r="G779" s="96"/>
      <c r="H779" s="64"/>
      <c r="I779" s="64"/>
      <c r="J779" s="64"/>
      <c r="K779" s="64"/>
      <c r="L779" s="64"/>
    </row>
    <row r="780" ht="16.5" customHeight="1">
      <c r="A780" s="64"/>
      <c r="B780" s="80" t="s">
        <v>18249</v>
      </c>
      <c r="C780" s="81" t="str">
        <f>IFERROR(__xludf.DUMMYFUNCTION("""COMPUTED_VALUE"""),"MaryKHarringto2")</f>
        <v>MaryKHarringto2</v>
      </c>
      <c r="D780" s="75">
        <f>IFERROR(__xludf.DUMMYFUNCTION("""COMPUTED_VALUE"""),0.0)</f>
        <v>0</v>
      </c>
      <c r="E780" s="64"/>
      <c r="F780" s="95"/>
      <c r="G780" s="96"/>
      <c r="H780" s="64"/>
      <c r="I780" s="64"/>
      <c r="J780" s="64"/>
      <c r="K780" s="64"/>
      <c r="L780" s="64"/>
    </row>
    <row r="781" ht="16.5" customHeight="1">
      <c r="A781" s="64"/>
      <c r="B781" s="80" t="s">
        <v>18249</v>
      </c>
      <c r="C781" s="81" t="str">
        <f>IFERROR(__xludf.DUMMYFUNCTION("""COMPUTED_VALUE"""),"MattProops")</f>
        <v>MattProops</v>
      </c>
      <c r="D781" s="75">
        <f>IFERROR(__xludf.DUMMYFUNCTION("""COMPUTED_VALUE"""),0.0)</f>
        <v>0</v>
      </c>
      <c r="E781" s="64"/>
      <c r="F781" s="95"/>
      <c r="G781" s="96"/>
      <c r="H781" s="64"/>
      <c r="I781" s="64"/>
      <c r="J781" s="64"/>
      <c r="K781" s="64"/>
      <c r="L781" s="64"/>
    </row>
    <row r="782" ht="16.5" customHeight="1">
      <c r="A782" s="64"/>
      <c r="B782" s="80" t="s">
        <v>18249</v>
      </c>
      <c r="C782" s="81" t="str">
        <f>IFERROR(__xludf.DUMMYFUNCTION("""COMPUTED_VALUE"""),"MatthewBaker8")</f>
        <v>MatthewBaker8</v>
      </c>
      <c r="D782" s="75">
        <f>IFERROR(__xludf.DUMMYFUNCTION("""COMPUTED_VALUE"""),0.0)</f>
        <v>0</v>
      </c>
      <c r="E782" s="64"/>
      <c r="F782" s="95"/>
      <c r="G782" s="96"/>
      <c r="H782" s="64"/>
      <c r="I782" s="64"/>
      <c r="J782" s="64"/>
      <c r="K782" s="64"/>
      <c r="L782" s="64"/>
    </row>
    <row r="783" ht="16.5" customHeight="1">
      <c r="A783" s="64"/>
      <c r="B783" s="80" t="s">
        <v>18249</v>
      </c>
      <c r="C783" s="81" t="str">
        <f>IFERROR(__xludf.DUMMYFUNCTION("""COMPUTED_VALUE"""),"MatthewJJenkins")</f>
        <v>MatthewJJenkins</v>
      </c>
      <c r="D783" s="75">
        <f>IFERROR(__xludf.DUMMYFUNCTION("""COMPUTED_VALUE"""),0.0)</f>
        <v>0</v>
      </c>
      <c r="E783" s="64"/>
      <c r="F783" s="95"/>
      <c r="G783" s="96"/>
      <c r="H783" s="64"/>
      <c r="I783" s="64"/>
      <c r="J783" s="64"/>
      <c r="K783" s="64"/>
      <c r="L783" s="64"/>
    </row>
    <row r="784" ht="16.5" customHeight="1">
      <c r="A784" s="64"/>
      <c r="B784" s="80" t="s">
        <v>18249</v>
      </c>
      <c r="C784" s="81" t="str">
        <f>IFERROR(__xludf.DUMMYFUNCTION("""COMPUTED_VALUE"""),"MatthewLBishop")</f>
        <v>MatthewLBishop</v>
      </c>
      <c r="D784" s="75">
        <f>IFERROR(__xludf.DUMMYFUNCTION("""COMPUTED_VALUE"""),0.0)</f>
        <v>0</v>
      </c>
      <c r="E784" s="64"/>
      <c r="F784" s="95"/>
      <c r="G784" s="96"/>
      <c r="H784" s="64"/>
      <c r="I784" s="64"/>
      <c r="J784" s="64"/>
      <c r="K784" s="64"/>
      <c r="L784" s="64"/>
    </row>
    <row r="785" ht="16.5" customHeight="1">
      <c r="A785" s="64"/>
      <c r="B785" s="80" t="s">
        <v>18249</v>
      </c>
      <c r="C785" s="81" t="str">
        <f>IFERROR(__xludf.DUMMYFUNCTION("""COMPUTED_VALUE"""),"MatthewWimpenny")</f>
        <v>MatthewWimpenny</v>
      </c>
      <c r="D785" s="75">
        <f>IFERROR(__xludf.DUMMYFUNCTION("""COMPUTED_VALUE"""),0.0)</f>
        <v>0</v>
      </c>
      <c r="E785" s="64"/>
      <c r="F785" s="95"/>
      <c r="G785" s="96"/>
      <c r="H785" s="64"/>
      <c r="I785" s="64"/>
      <c r="J785" s="64"/>
      <c r="K785" s="64"/>
      <c r="L785" s="64"/>
    </row>
    <row r="786" ht="16.5" customHeight="1">
      <c r="A786" s="64"/>
      <c r="B786" s="80" t="s">
        <v>18249</v>
      </c>
      <c r="C786" s="81" t="str">
        <f>IFERROR(__xludf.DUMMYFUNCTION("""COMPUTED_VALUE"""),"McCallum_Smith")</f>
        <v>McCallum_Smith</v>
      </c>
      <c r="D786" s="75">
        <f>IFERROR(__xludf.DUMMYFUNCTION("""COMPUTED_VALUE"""),0.0)</f>
        <v>0</v>
      </c>
      <c r="E786" s="64"/>
      <c r="F786" s="95"/>
      <c r="G786" s="96"/>
      <c r="H786" s="64"/>
      <c r="I786" s="64"/>
      <c r="J786" s="64"/>
      <c r="K786" s="64"/>
      <c r="L786" s="64"/>
    </row>
    <row r="787" ht="16.5" customHeight="1">
      <c r="A787" s="64"/>
      <c r="B787" s="80" t="s">
        <v>18249</v>
      </c>
      <c r="C787" s="81" t="str">
        <f>IFERROR(__xludf.DUMMYFUNCTION("""COMPUTED_VALUE"""),"McParlinStephen")</f>
        <v>McParlinStephen</v>
      </c>
      <c r="D787" s="75">
        <f>IFERROR(__xludf.DUMMYFUNCTION("""COMPUTED_VALUE"""),0.0)</f>
        <v>0</v>
      </c>
      <c r="E787" s="64"/>
      <c r="F787" s="95"/>
      <c r="G787" s="96"/>
      <c r="H787" s="64"/>
      <c r="I787" s="64"/>
      <c r="J787" s="64"/>
      <c r="K787" s="64"/>
      <c r="L787" s="64"/>
    </row>
    <row r="788" ht="16.5" customHeight="1">
      <c r="A788" s="64"/>
      <c r="B788" s="80" t="s">
        <v>18249</v>
      </c>
      <c r="C788" s="81" t="str">
        <f>IFERROR(__xludf.DUMMYFUNCTION("""COMPUTED_VALUE"""),"Mehdi_sh2020")</f>
        <v>Mehdi_sh2020</v>
      </c>
      <c r="D788" s="75">
        <f>IFERROR(__xludf.DUMMYFUNCTION("""COMPUTED_VALUE"""),0.0)</f>
        <v>0</v>
      </c>
      <c r="E788" s="64"/>
      <c r="F788" s="95"/>
      <c r="G788" s="96"/>
      <c r="H788" s="64"/>
      <c r="I788" s="64"/>
      <c r="J788" s="64"/>
      <c r="K788" s="64"/>
      <c r="L788" s="64"/>
    </row>
    <row r="789" ht="16.5" customHeight="1">
      <c r="A789" s="64"/>
      <c r="B789" s="80" t="s">
        <v>18249</v>
      </c>
      <c r="C789" s="81" t="str">
        <f>IFERROR(__xludf.DUMMYFUNCTION("""COMPUTED_VALUE"""),"Meltarps75Mel")</f>
        <v>Meltarps75Mel</v>
      </c>
      <c r="D789" s="75">
        <f>IFERROR(__xludf.DUMMYFUNCTION("""COMPUTED_VALUE"""),0.0)</f>
        <v>0</v>
      </c>
      <c r="E789" s="64"/>
      <c r="F789" s="95"/>
      <c r="G789" s="96"/>
      <c r="H789" s="64"/>
      <c r="I789" s="64"/>
      <c r="J789" s="64"/>
      <c r="K789" s="64"/>
      <c r="L789" s="64"/>
    </row>
    <row r="790" ht="16.5" customHeight="1">
      <c r="A790" s="64"/>
      <c r="B790" s="80" t="s">
        <v>18249</v>
      </c>
      <c r="C790" s="81" t="str">
        <f>IFERROR(__xludf.DUMMYFUNCTION("""COMPUTED_VALUE"""),"Merlin54977538")</f>
        <v>Merlin54977538</v>
      </c>
      <c r="D790" s="75">
        <f>IFERROR(__xludf.DUMMYFUNCTION("""COMPUTED_VALUE"""),0.0)</f>
        <v>0</v>
      </c>
      <c r="E790" s="64"/>
      <c r="F790" s="95"/>
      <c r="G790" s="96"/>
      <c r="H790" s="64"/>
      <c r="I790" s="64"/>
      <c r="J790" s="64"/>
      <c r="K790" s="64"/>
      <c r="L790" s="64"/>
    </row>
    <row r="791" ht="16.5" customHeight="1">
      <c r="A791" s="64"/>
      <c r="B791" s="80" t="s">
        <v>18249</v>
      </c>
      <c r="C791" s="81" t="str">
        <f>IFERROR(__xludf.DUMMYFUNCTION("""COMPUTED_VALUE"""),"MhlopheP")</f>
        <v>MhlopheP</v>
      </c>
      <c r="D791" s="75">
        <f>IFERROR(__xludf.DUMMYFUNCTION("""COMPUTED_VALUE"""),0.0)</f>
        <v>0</v>
      </c>
      <c r="E791" s="64"/>
      <c r="F791" s="95"/>
      <c r="G791" s="96"/>
      <c r="H791" s="64"/>
      <c r="I791" s="64"/>
      <c r="J791" s="64"/>
      <c r="K791" s="64"/>
      <c r="L791" s="64"/>
    </row>
    <row r="792" ht="16.5" customHeight="1">
      <c r="A792" s="64"/>
      <c r="B792" s="80" t="s">
        <v>18249</v>
      </c>
      <c r="C792" s="81" t="str">
        <f>IFERROR(__xludf.DUMMYFUNCTION("""COMPUTED_VALUE"""),"Michael81202656")</f>
        <v>Michael81202656</v>
      </c>
      <c r="D792" s="75">
        <f>IFERROR(__xludf.DUMMYFUNCTION("""COMPUTED_VALUE"""),0.0)</f>
        <v>0</v>
      </c>
      <c r="E792" s="64"/>
      <c r="F792" s="95"/>
      <c r="G792" s="96"/>
      <c r="H792" s="64"/>
      <c r="I792" s="64"/>
      <c r="J792" s="64"/>
      <c r="K792" s="64"/>
      <c r="L792" s="64"/>
    </row>
    <row r="793" ht="16.5" customHeight="1">
      <c r="A793" s="64"/>
      <c r="B793" s="80" t="s">
        <v>18249</v>
      </c>
      <c r="C793" s="81" t="str">
        <f>IFERROR(__xludf.DUMMYFUNCTION("""COMPUTED_VALUE"""),"MichaelJGollop")</f>
        <v>MichaelJGollop</v>
      </c>
      <c r="D793" s="75">
        <f>IFERROR(__xludf.DUMMYFUNCTION("""COMPUTED_VALUE"""),0.0)</f>
        <v>0</v>
      </c>
      <c r="E793" s="64"/>
      <c r="F793" s="95"/>
      <c r="G793" s="96"/>
      <c r="H793" s="64"/>
      <c r="I793" s="64"/>
      <c r="J793" s="64"/>
      <c r="K793" s="64"/>
      <c r="L793" s="64"/>
    </row>
    <row r="794" ht="16.5" customHeight="1">
      <c r="A794" s="64"/>
      <c r="B794" s="80" t="s">
        <v>18249</v>
      </c>
      <c r="C794" s="81" t="str">
        <f>IFERROR(__xludf.DUMMYFUNCTION("""COMPUTED_VALUE"""),"MichaelsMoss")</f>
        <v>MichaelsMoss</v>
      </c>
      <c r="D794" s="75">
        <f>IFERROR(__xludf.DUMMYFUNCTION("""COMPUTED_VALUE"""),0.0)</f>
        <v>0</v>
      </c>
      <c r="E794" s="64"/>
      <c r="F794" s="95"/>
      <c r="G794" s="96"/>
      <c r="H794" s="64"/>
      <c r="I794" s="64"/>
      <c r="J794" s="64"/>
      <c r="K794" s="64"/>
      <c r="L794" s="64"/>
    </row>
    <row r="795" ht="16.5" customHeight="1">
      <c r="A795" s="64"/>
      <c r="B795" s="80" t="s">
        <v>18249</v>
      </c>
      <c r="C795" s="81" t="str">
        <f>IFERROR(__xludf.DUMMYFUNCTION("""COMPUTED_VALUE"""),"Michell37191856")</f>
        <v>Michell37191856</v>
      </c>
      <c r="D795" s="75">
        <f>IFERROR(__xludf.DUMMYFUNCTION("""COMPUTED_VALUE"""),0.0)</f>
        <v>0</v>
      </c>
      <c r="E795" s="64"/>
      <c r="F795" s="95"/>
      <c r="G795" s="96"/>
      <c r="H795" s="64"/>
      <c r="I795" s="64"/>
      <c r="J795" s="64"/>
      <c r="K795" s="64"/>
      <c r="L795" s="64"/>
    </row>
    <row r="796" ht="16.5" customHeight="1">
      <c r="A796" s="64"/>
      <c r="B796" s="80" t="s">
        <v>18249</v>
      </c>
      <c r="C796" s="81" t="str">
        <f>IFERROR(__xludf.DUMMYFUNCTION("""COMPUTED_VALUE"""),"MickGreenhough")</f>
        <v>MickGreenhough</v>
      </c>
      <c r="D796" s="75">
        <f>IFERROR(__xludf.DUMMYFUNCTION("""COMPUTED_VALUE"""),0.0)</f>
        <v>0</v>
      </c>
      <c r="E796" s="64"/>
      <c r="F796" s="95"/>
      <c r="G796" s="96"/>
      <c r="H796" s="64"/>
      <c r="I796" s="64"/>
      <c r="J796" s="64"/>
      <c r="K796" s="64"/>
      <c r="L796" s="64"/>
    </row>
    <row r="797" ht="16.5" customHeight="1">
      <c r="A797" s="64"/>
      <c r="B797" s="80" t="s">
        <v>18249</v>
      </c>
      <c r="C797" s="81" t="str">
        <f>IFERROR(__xludf.DUMMYFUNCTION("""COMPUTED_VALUE"""),"Mike_Fernandes_")</f>
        <v>Mike_Fernandes_</v>
      </c>
      <c r="D797" s="75">
        <f>IFERROR(__xludf.DUMMYFUNCTION("""COMPUTED_VALUE"""),0.0)</f>
        <v>0</v>
      </c>
      <c r="E797" s="64"/>
      <c r="F797" s="95"/>
      <c r="G797" s="96"/>
      <c r="H797" s="64"/>
      <c r="I797" s="64"/>
      <c r="J797" s="64"/>
      <c r="K797" s="64"/>
      <c r="L797" s="64"/>
    </row>
    <row r="798" ht="16.5" customHeight="1">
      <c r="A798" s="64"/>
      <c r="B798" s="80" t="s">
        <v>18249</v>
      </c>
      <c r="C798" s="81" t="str">
        <f>IFERROR(__xludf.DUMMYFUNCTION("""COMPUTED_VALUE"""),"Mike_NE25")</f>
        <v>Mike_NE25</v>
      </c>
      <c r="D798" s="75">
        <f>IFERROR(__xludf.DUMMYFUNCTION("""COMPUTED_VALUE"""),0.0)</f>
        <v>0</v>
      </c>
      <c r="E798" s="64"/>
      <c r="F798" s="95"/>
      <c r="G798" s="96"/>
      <c r="H798" s="64"/>
      <c r="I798" s="64"/>
      <c r="J798" s="64"/>
      <c r="K798" s="64"/>
      <c r="L798" s="64"/>
    </row>
    <row r="799" ht="16.5" customHeight="1">
      <c r="A799" s="64"/>
      <c r="B799" s="80" t="s">
        <v>18249</v>
      </c>
      <c r="C799" s="81" t="str">
        <f>IFERROR(__xludf.DUMMYFUNCTION("""COMPUTED_VALUE"""),"Mike_k_Haden")</f>
        <v>Mike_k_Haden</v>
      </c>
      <c r="D799" s="75">
        <f>IFERROR(__xludf.DUMMYFUNCTION("""COMPUTED_VALUE"""),0.0)</f>
        <v>0</v>
      </c>
      <c r="E799" s="64"/>
      <c r="F799" s="95"/>
      <c r="G799" s="96"/>
      <c r="H799" s="64"/>
      <c r="I799" s="64"/>
      <c r="J799" s="64"/>
      <c r="K799" s="64"/>
      <c r="L799" s="64"/>
    </row>
    <row r="800" ht="16.5" customHeight="1">
      <c r="A800" s="64"/>
      <c r="B800" s="80" t="s">
        <v>18249</v>
      </c>
      <c r="C800" s="81" t="str">
        <f>IFERROR(__xludf.DUMMYFUNCTION("""COMPUTED_VALUE"""),"Mikey_T78")</f>
        <v>Mikey_T78</v>
      </c>
      <c r="D800" s="75">
        <f>IFERROR(__xludf.DUMMYFUNCTION("""COMPUTED_VALUE"""),0.0)</f>
        <v>0</v>
      </c>
      <c r="E800" s="64"/>
      <c r="F800" s="95"/>
      <c r="G800" s="96"/>
      <c r="H800" s="64"/>
      <c r="I800" s="64"/>
      <c r="J800" s="64"/>
      <c r="K800" s="64"/>
      <c r="L800" s="64"/>
    </row>
    <row r="801" ht="16.5" customHeight="1">
      <c r="A801" s="64"/>
      <c r="B801" s="80" t="s">
        <v>18249</v>
      </c>
      <c r="C801" s="81" t="str">
        <f>IFERROR(__xludf.DUMMYFUNCTION("""COMPUTED_VALUE"""),"MilsomGillian")</f>
        <v>MilsomGillian</v>
      </c>
      <c r="D801" s="75">
        <f>IFERROR(__xludf.DUMMYFUNCTION("""COMPUTED_VALUE"""),0.0)</f>
        <v>0</v>
      </c>
      <c r="E801" s="64"/>
      <c r="F801" s="95"/>
      <c r="G801" s="96"/>
      <c r="H801" s="64"/>
      <c r="I801" s="64"/>
      <c r="J801" s="64"/>
      <c r="K801" s="64"/>
      <c r="L801" s="64"/>
    </row>
    <row r="802" ht="16.5" customHeight="1">
      <c r="A802" s="64"/>
      <c r="B802" s="80" t="s">
        <v>18249</v>
      </c>
      <c r="C802" s="81" t="str">
        <f>IFERROR(__xludf.DUMMYFUNCTION("""COMPUTED_VALUE"""),"MimiJ9")</f>
        <v>MimiJ9</v>
      </c>
      <c r="D802" s="75">
        <f>IFERROR(__xludf.DUMMYFUNCTION("""COMPUTED_VALUE"""),0.0)</f>
        <v>0</v>
      </c>
      <c r="E802" s="64"/>
      <c r="F802" s="95"/>
      <c r="G802" s="96"/>
      <c r="H802" s="64"/>
      <c r="I802" s="64"/>
      <c r="J802" s="64"/>
      <c r="K802" s="64"/>
      <c r="L802" s="64"/>
    </row>
    <row r="803" ht="16.5" customHeight="1">
      <c r="A803" s="64"/>
      <c r="B803" s="80" t="s">
        <v>18249</v>
      </c>
      <c r="C803" s="81" t="str">
        <f>IFERROR(__xludf.DUMMYFUNCTION("""COMPUTED_VALUE"""),"MinzylikesJazz")</f>
        <v>MinzylikesJazz</v>
      </c>
      <c r="D803" s="75">
        <f>IFERROR(__xludf.DUMMYFUNCTION("""COMPUTED_VALUE"""),0.0)</f>
        <v>0</v>
      </c>
      <c r="E803" s="64"/>
      <c r="F803" s="95"/>
      <c r="G803" s="96"/>
      <c r="H803" s="64"/>
      <c r="I803" s="64"/>
      <c r="J803" s="64"/>
      <c r="K803" s="64"/>
      <c r="L803" s="64"/>
    </row>
    <row r="804" ht="16.5" customHeight="1">
      <c r="A804" s="64"/>
      <c r="B804" s="80" t="s">
        <v>18249</v>
      </c>
      <c r="C804" s="81" t="str">
        <f>IFERROR(__xludf.DUMMYFUNCTION("""COMPUTED_VALUE"""),"MirandaPinch")</f>
        <v>MirandaPinch</v>
      </c>
      <c r="D804" s="75">
        <f>IFERROR(__xludf.DUMMYFUNCTION("""COMPUTED_VALUE"""),0.0)</f>
        <v>0</v>
      </c>
      <c r="E804" s="64"/>
      <c r="F804" s="95"/>
      <c r="G804" s="96"/>
      <c r="H804" s="64"/>
      <c r="I804" s="64"/>
      <c r="J804" s="64"/>
      <c r="K804" s="64"/>
      <c r="L804" s="64"/>
    </row>
    <row r="805" ht="16.5" customHeight="1">
      <c r="A805" s="64"/>
      <c r="B805" s="80" t="s">
        <v>18249</v>
      </c>
      <c r="C805" s="81" t="str">
        <f>IFERROR(__xludf.DUMMYFUNCTION("""COMPUTED_VALUE"""),"MirandaWhiting")</f>
        <v>MirandaWhiting</v>
      </c>
      <c r="D805" s="75">
        <f>IFERROR(__xludf.DUMMYFUNCTION("""COMPUTED_VALUE"""),0.0)</f>
        <v>0</v>
      </c>
      <c r="E805" s="64"/>
      <c r="F805" s="95"/>
      <c r="G805" s="96"/>
      <c r="H805" s="64"/>
      <c r="I805" s="64"/>
      <c r="J805" s="64"/>
      <c r="K805" s="64"/>
      <c r="L805" s="64"/>
    </row>
    <row r="806" ht="16.5" customHeight="1">
      <c r="A806" s="64"/>
      <c r="B806" s="80" t="s">
        <v>18249</v>
      </c>
      <c r="C806" s="81" t="str">
        <f>IFERROR(__xludf.DUMMYFUNCTION("""COMPUTED_VALUE"""),"Mischiefrules")</f>
        <v>Mischiefrules</v>
      </c>
      <c r="D806" s="75">
        <f>IFERROR(__xludf.DUMMYFUNCTION("""COMPUTED_VALUE"""),0.0)</f>
        <v>0</v>
      </c>
      <c r="E806" s="64"/>
      <c r="F806" s="95"/>
      <c r="G806" s="96"/>
      <c r="H806" s="64"/>
      <c r="I806" s="64"/>
      <c r="J806" s="64"/>
      <c r="K806" s="64"/>
      <c r="L806" s="64"/>
    </row>
    <row r="807" ht="16.5" customHeight="1">
      <c r="A807" s="64"/>
      <c r="B807" s="80" t="s">
        <v>18249</v>
      </c>
      <c r="C807" s="81" t="str">
        <f>IFERROR(__xludf.DUMMYFUNCTION("""COMPUTED_VALUE"""),"MissLed20")</f>
        <v>MissLed20</v>
      </c>
      <c r="D807" s="75">
        <f>IFERROR(__xludf.DUMMYFUNCTION("""COMPUTED_VALUE"""),0.0)</f>
        <v>0</v>
      </c>
      <c r="E807" s="64"/>
      <c r="F807" s="95"/>
      <c r="G807" s="96"/>
      <c r="H807" s="64"/>
      <c r="I807" s="64"/>
      <c r="J807" s="64"/>
      <c r="K807" s="64"/>
      <c r="L807" s="64"/>
    </row>
    <row r="808" ht="16.5" customHeight="1">
      <c r="A808" s="64"/>
      <c r="B808" s="80" t="s">
        <v>18249</v>
      </c>
      <c r="C808" s="81" t="str">
        <f>IFERROR(__xludf.DUMMYFUNCTION("""COMPUTED_VALUE"""),"MissPopperama")</f>
        <v>MissPopperama</v>
      </c>
      <c r="D808" s="75">
        <f>IFERROR(__xludf.DUMMYFUNCTION("""COMPUTED_VALUE"""),0.0)</f>
        <v>0</v>
      </c>
      <c r="E808" s="64"/>
      <c r="F808" s="95"/>
      <c r="G808" s="96"/>
      <c r="H808" s="64"/>
      <c r="I808" s="64"/>
      <c r="J808" s="64"/>
      <c r="K808" s="64"/>
      <c r="L808" s="64"/>
    </row>
    <row r="809" ht="16.5" customHeight="1">
      <c r="A809" s="64"/>
      <c r="B809" s="80" t="s">
        <v>18249</v>
      </c>
      <c r="C809" s="81" t="str">
        <f>IFERROR(__xludf.DUMMYFUNCTION("""COMPUTED_VALUE"""),"Mistywoman1")</f>
        <v>Mistywoman1</v>
      </c>
      <c r="D809" s="75">
        <f>IFERROR(__xludf.DUMMYFUNCTION("""COMPUTED_VALUE"""),0.0)</f>
        <v>0</v>
      </c>
      <c r="E809" s="64"/>
      <c r="F809" s="95"/>
      <c r="G809" s="96"/>
      <c r="H809" s="64"/>
      <c r="I809" s="64"/>
      <c r="J809" s="64"/>
      <c r="K809" s="64"/>
      <c r="L809" s="64"/>
    </row>
    <row r="810" ht="16.5" customHeight="1">
      <c r="A810" s="64"/>
      <c r="B810" s="80" t="s">
        <v>18249</v>
      </c>
      <c r="C810" s="81" t="str">
        <f>IFERROR(__xludf.DUMMYFUNCTION("""COMPUTED_VALUE"""),"Mitsawokett_UK")</f>
        <v>Mitsawokett_UK</v>
      </c>
      <c r="D810" s="75">
        <f>IFERROR(__xludf.DUMMYFUNCTION("""COMPUTED_VALUE"""),0.0)</f>
        <v>0</v>
      </c>
      <c r="E810" s="64"/>
      <c r="F810" s="95"/>
      <c r="G810" s="96"/>
      <c r="H810" s="64"/>
      <c r="I810" s="64"/>
      <c r="J810" s="64"/>
      <c r="K810" s="64"/>
      <c r="L810" s="64"/>
    </row>
    <row r="811" ht="16.5" customHeight="1">
      <c r="A811" s="64"/>
      <c r="B811" s="80" t="s">
        <v>18249</v>
      </c>
      <c r="C811" s="81" t="str">
        <f>IFERROR(__xludf.DUMMYFUNCTION("""COMPUTED_VALUE"""),"MiuWasHere")</f>
        <v>MiuWasHere</v>
      </c>
      <c r="D811" s="75">
        <f>IFERROR(__xludf.DUMMYFUNCTION("""COMPUTED_VALUE"""),0.0)</f>
        <v>0</v>
      </c>
      <c r="E811" s="64"/>
      <c r="F811" s="95"/>
      <c r="G811" s="96"/>
      <c r="H811" s="64"/>
      <c r="I811" s="64"/>
      <c r="J811" s="64"/>
      <c r="K811" s="64"/>
      <c r="L811" s="64"/>
    </row>
    <row r="812" ht="16.5" customHeight="1">
      <c r="A812" s="64"/>
      <c r="B812" s="80" t="s">
        <v>18249</v>
      </c>
      <c r="C812" s="81" t="str">
        <f>IFERROR(__xludf.DUMMYFUNCTION("""COMPUTED_VALUE"""),"MobileJustice")</f>
        <v>MobileJustice</v>
      </c>
      <c r="D812" s="75">
        <f>IFERROR(__xludf.DUMMYFUNCTION("""COMPUTED_VALUE"""),0.0)</f>
        <v>0</v>
      </c>
      <c r="E812" s="64"/>
      <c r="F812" s="95"/>
      <c r="G812" s="96"/>
      <c r="H812" s="64"/>
      <c r="I812" s="64"/>
      <c r="J812" s="64"/>
      <c r="K812" s="64"/>
      <c r="L812" s="64"/>
    </row>
    <row r="813" ht="16.5" customHeight="1">
      <c r="A813" s="64"/>
      <c r="B813" s="80" t="s">
        <v>18249</v>
      </c>
      <c r="C813" s="81" t="str">
        <f>IFERROR(__xludf.DUMMYFUNCTION("""COMPUTED_VALUE"""),"MobilityCooper")</f>
        <v>MobilityCooper</v>
      </c>
      <c r="D813" s="75">
        <f>IFERROR(__xludf.DUMMYFUNCTION("""COMPUTED_VALUE"""),0.0)</f>
        <v>0</v>
      </c>
      <c r="E813" s="64"/>
      <c r="F813" s="95"/>
      <c r="G813" s="96"/>
      <c r="H813" s="64"/>
      <c r="I813" s="64"/>
      <c r="J813" s="64"/>
      <c r="K813" s="64"/>
      <c r="L813" s="64"/>
    </row>
    <row r="814" ht="16.5" customHeight="1">
      <c r="A814" s="64"/>
      <c r="B814" s="80" t="s">
        <v>18249</v>
      </c>
      <c r="C814" s="81" t="str">
        <f>IFERROR(__xludf.DUMMYFUNCTION("""COMPUTED_VALUE"""),"Modan121")</f>
        <v>Modan121</v>
      </c>
      <c r="D814" s="75">
        <f>IFERROR(__xludf.DUMMYFUNCTION("""COMPUTED_VALUE"""),0.0)</f>
        <v>0</v>
      </c>
      <c r="E814" s="64"/>
      <c r="F814" s="95"/>
      <c r="G814" s="96"/>
      <c r="H814" s="64"/>
      <c r="I814" s="64"/>
      <c r="J814" s="64"/>
      <c r="K814" s="64"/>
      <c r="L814" s="64"/>
    </row>
    <row r="815" ht="16.5" customHeight="1">
      <c r="A815" s="64"/>
      <c r="B815" s="80" t="s">
        <v>18249</v>
      </c>
      <c r="C815" s="81" t="str">
        <f>IFERROR(__xludf.DUMMYFUNCTION("""COMPUTED_VALUE"""),"Modern_Greenery")</f>
        <v>Modern_Greenery</v>
      </c>
      <c r="D815" s="75">
        <f>IFERROR(__xludf.DUMMYFUNCTION("""COMPUTED_VALUE"""),0.0)</f>
        <v>0</v>
      </c>
      <c r="E815" s="64"/>
      <c r="F815" s="95"/>
      <c r="G815" s="96"/>
      <c r="H815" s="64"/>
      <c r="I815" s="64"/>
      <c r="J815" s="64"/>
      <c r="K815" s="64"/>
      <c r="L815" s="64"/>
    </row>
    <row r="816" ht="16.5" customHeight="1">
      <c r="A816" s="64"/>
      <c r="B816" s="80" t="s">
        <v>18249</v>
      </c>
      <c r="C816" s="81" t="str">
        <f>IFERROR(__xludf.DUMMYFUNCTION("""COMPUTED_VALUE"""),"MomentsTo_2016")</f>
        <v>MomentsTo_2016</v>
      </c>
      <c r="D816" s="75">
        <f>IFERROR(__xludf.DUMMYFUNCTION("""COMPUTED_VALUE"""),0.0)</f>
        <v>0</v>
      </c>
      <c r="E816" s="64"/>
      <c r="F816" s="95"/>
      <c r="G816" s="96"/>
      <c r="H816" s="64"/>
      <c r="I816" s="64"/>
      <c r="J816" s="64"/>
      <c r="K816" s="64"/>
      <c r="L816" s="64"/>
    </row>
    <row r="817" ht="16.5" customHeight="1">
      <c r="A817" s="64"/>
      <c r="B817" s="80" t="s">
        <v>18249</v>
      </c>
      <c r="C817" s="81" t="str">
        <f>IFERROR(__xludf.DUMMYFUNCTION("""COMPUTED_VALUE"""),"Monkiflops")</f>
        <v>Monkiflops</v>
      </c>
      <c r="D817" s="75">
        <f>IFERROR(__xludf.DUMMYFUNCTION("""COMPUTED_VALUE"""),0.0)</f>
        <v>0</v>
      </c>
      <c r="E817" s="64"/>
      <c r="F817" s="95"/>
      <c r="G817" s="96"/>
      <c r="H817" s="64"/>
      <c r="I817" s="64"/>
      <c r="J817" s="64"/>
      <c r="K817" s="64"/>
      <c r="L817" s="64"/>
    </row>
    <row r="818" ht="16.5" customHeight="1">
      <c r="A818" s="64"/>
      <c r="B818" s="80" t="s">
        <v>18249</v>
      </c>
      <c r="C818" s="81" t="str">
        <f>IFERROR(__xludf.DUMMYFUNCTION("""COMPUTED_VALUE"""),"Moonstone1812")</f>
        <v>Moonstone1812</v>
      </c>
      <c r="D818" s="75">
        <f>IFERROR(__xludf.DUMMYFUNCTION("""COMPUTED_VALUE"""),0.0)</f>
        <v>0</v>
      </c>
      <c r="E818" s="64"/>
      <c r="F818" s="95"/>
      <c r="G818" s="96"/>
      <c r="H818" s="64"/>
      <c r="I818" s="64"/>
      <c r="J818" s="64"/>
      <c r="K818" s="64"/>
      <c r="L818" s="64"/>
    </row>
    <row r="819" ht="16.5" customHeight="1">
      <c r="A819" s="64"/>
      <c r="B819" s="80" t="s">
        <v>18249</v>
      </c>
      <c r="C819" s="81" t="str">
        <f>IFERROR(__xludf.DUMMYFUNCTION("""COMPUTED_VALUE"""),"MooreRosemary")</f>
        <v>MooreRosemary</v>
      </c>
      <c r="D819" s="75">
        <f>IFERROR(__xludf.DUMMYFUNCTION("""COMPUTED_VALUE"""),0.0)</f>
        <v>0</v>
      </c>
      <c r="E819" s="64"/>
      <c r="F819" s="95"/>
      <c r="G819" s="96"/>
      <c r="H819" s="64"/>
      <c r="I819" s="64"/>
      <c r="J819" s="64"/>
      <c r="K819" s="64"/>
      <c r="L819" s="64"/>
    </row>
    <row r="820" ht="16.5" customHeight="1">
      <c r="A820" s="64"/>
      <c r="B820" s="80" t="s">
        <v>18249</v>
      </c>
      <c r="C820" s="81" t="str">
        <f>IFERROR(__xludf.DUMMYFUNCTION("""COMPUTED_VALUE"""),"MorganLeahy")</f>
        <v>MorganLeahy</v>
      </c>
      <c r="D820" s="75">
        <f>IFERROR(__xludf.DUMMYFUNCTION("""COMPUTED_VALUE"""),0.0)</f>
        <v>0</v>
      </c>
      <c r="E820" s="64"/>
      <c r="F820" s="95"/>
      <c r="G820" s="96"/>
      <c r="H820" s="64"/>
      <c r="I820" s="64"/>
      <c r="J820" s="64"/>
      <c r="K820" s="64"/>
      <c r="L820" s="64"/>
    </row>
    <row r="821" ht="16.5" customHeight="1">
      <c r="A821" s="64"/>
      <c r="B821" s="80" t="s">
        <v>18249</v>
      </c>
      <c r="C821" s="81" t="str">
        <f>IFERROR(__xludf.DUMMYFUNCTION("""COMPUTED_VALUE"""),"Mountie31")</f>
        <v>Mountie31</v>
      </c>
      <c r="D821" s="75">
        <f>IFERROR(__xludf.DUMMYFUNCTION("""COMPUTED_VALUE"""),0.0)</f>
        <v>0</v>
      </c>
      <c r="E821" s="64"/>
      <c r="F821" s="95"/>
      <c r="G821" s="96"/>
      <c r="H821" s="64"/>
      <c r="I821" s="64"/>
      <c r="J821" s="64"/>
      <c r="K821" s="64"/>
      <c r="L821" s="64"/>
    </row>
    <row r="822" ht="16.5" customHeight="1">
      <c r="A822" s="64"/>
      <c r="B822" s="80" t="s">
        <v>18249</v>
      </c>
      <c r="C822" s="81" t="str">
        <f>IFERROR(__xludf.DUMMYFUNCTION("""COMPUTED_VALUE"""),"MourinCelia")</f>
        <v>MourinCelia</v>
      </c>
      <c r="D822" s="75">
        <f>IFERROR(__xludf.DUMMYFUNCTION("""COMPUTED_VALUE"""),0.0)</f>
        <v>0</v>
      </c>
      <c r="E822" s="64"/>
      <c r="F822" s="95"/>
      <c r="G822" s="96"/>
      <c r="H822" s="64"/>
      <c r="I822" s="64"/>
      <c r="J822" s="64"/>
      <c r="K822" s="64"/>
      <c r="L822" s="64"/>
    </row>
    <row r="823" ht="16.5" customHeight="1">
      <c r="A823" s="64"/>
      <c r="B823" s="80" t="s">
        <v>18249</v>
      </c>
      <c r="C823" s="81" t="str">
        <f>IFERROR(__xludf.DUMMYFUNCTION("""COMPUTED_VALUE"""),"MrCarl_RLFan")</f>
        <v>MrCarl_RLFan</v>
      </c>
      <c r="D823" s="75">
        <f>IFERROR(__xludf.DUMMYFUNCTION("""COMPUTED_VALUE"""),0.0)</f>
        <v>0</v>
      </c>
      <c r="E823" s="64"/>
      <c r="F823" s="95"/>
      <c r="G823" s="96"/>
      <c r="H823" s="64"/>
      <c r="I823" s="64"/>
      <c r="J823" s="64"/>
      <c r="K823" s="64"/>
      <c r="L823" s="64"/>
    </row>
    <row r="824" ht="16.5" customHeight="1">
      <c r="A824" s="64"/>
      <c r="B824" s="80" t="s">
        <v>18249</v>
      </c>
      <c r="C824" s="81" t="str">
        <f>IFERROR(__xludf.DUMMYFUNCTION("""COMPUTED_VALUE"""),"MrChrisBrand")</f>
        <v>MrChrisBrand</v>
      </c>
      <c r="D824" s="75">
        <f>IFERROR(__xludf.DUMMYFUNCTION("""COMPUTED_VALUE"""),0.0)</f>
        <v>0</v>
      </c>
      <c r="E824" s="64"/>
      <c r="F824" s="95"/>
      <c r="G824" s="96"/>
      <c r="H824" s="64"/>
      <c r="I824" s="64"/>
      <c r="J824" s="64"/>
      <c r="K824" s="64"/>
      <c r="L824" s="64"/>
    </row>
    <row r="825" ht="16.5" customHeight="1">
      <c r="A825" s="64"/>
      <c r="B825" s="80" t="s">
        <v>18249</v>
      </c>
      <c r="C825" s="81" t="str">
        <f>IFERROR(__xludf.DUMMYFUNCTION("""COMPUTED_VALUE"""),"MrESGrey")</f>
        <v>MrESGrey</v>
      </c>
      <c r="D825" s="75">
        <f>IFERROR(__xludf.DUMMYFUNCTION("""COMPUTED_VALUE"""),0.0)</f>
        <v>0</v>
      </c>
      <c r="E825" s="64"/>
      <c r="F825" s="95"/>
      <c r="G825" s="96"/>
      <c r="H825" s="64"/>
      <c r="I825" s="64"/>
      <c r="J825" s="64"/>
      <c r="K825" s="64"/>
      <c r="L825" s="64"/>
    </row>
    <row r="826" ht="16.5" customHeight="1">
      <c r="A826" s="64"/>
      <c r="B826" s="80" t="s">
        <v>18249</v>
      </c>
      <c r="C826" s="81" t="str">
        <f>IFERROR(__xludf.DUMMYFUNCTION("""COMPUTED_VALUE"""),"MrN_Cooper")</f>
        <v>MrN_Cooper</v>
      </c>
      <c r="D826" s="75">
        <f>IFERROR(__xludf.DUMMYFUNCTION("""COMPUTED_VALUE"""),0.0)</f>
        <v>0</v>
      </c>
      <c r="E826" s="64"/>
      <c r="F826" s="95"/>
      <c r="G826" s="96"/>
      <c r="H826" s="64"/>
      <c r="I826" s="64"/>
      <c r="J826" s="64"/>
      <c r="K826" s="64"/>
      <c r="L826" s="64"/>
    </row>
    <row r="827" ht="16.5" customHeight="1">
      <c r="A827" s="64"/>
      <c r="B827" s="80" t="s">
        <v>18249</v>
      </c>
      <c r="C827" s="81" t="str">
        <f>IFERROR(__xludf.DUMMYFUNCTION("""COMPUTED_VALUE"""),"MrPJLowe")</f>
        <v>MrPJLowe</v>
      </c>
      <c r="D827" s="75">
        <f>IFERROR(__xludf.DUMMYFUNCTION("""COMPUTED_VALUE"""),0.0)</f>
        <v>0</v>
      </c>
      <c r="E827" s="64"/>
      <c r="F827" s="95"/>
      <c r="G827" s="96"/>
      <c r="H827" s="64"/>
      <c r="I827" s="64"/>
      <c r="J827" s="64"/>
      <c r="K827" s="64"/>
      <c r="L827" s="64"/>
    </row>
    <row r="828" ht="16.5" customHeight="1">
      <c r="A828" s="64"/>
      <c r="B828" s="80" t="s">
        <v>18249</v>
      </c>
      <c r="C828" s="81" t="str">
        <f>IFERROR(__xludf.DUMMYFUNCTION("""COMPUTED_VALUE"""),"MrShodijo")</f>
        <v>MrShodijo</v>
      </c>
      <c r="D828" s="75">
        <f>IFERROR(__xludf.DUMMYFUNCTION("""COMPUTED_VALUE"""),0.0)</f>
        <v>0</v>
      </c>
      <c r="E828" s="64"/>
      <c r="F828" s="95"/>
      <c r="G828" s="96"/>
      <c r="H828" s="64"/>
      <c r="I828" s="64"/>
      <c r="J828" s="64"/>
      <c r="K828" s="64"/>
      <c r="L828" s="64"/>
    </row>
    <row r="829" ht="16.5" customHeight="1">
      <c r="A829" s="64"/>
      <c r="B829" s="80" t="s">
        <v>18249</v>
      </c>
      <c r="C829" s="81" t="str">
        <f>IFERROR(__xludf.DUMMYFUNCTION("""COMPUTED_VALUE"""),"Mrruszka")</f>
        <v>Mrruszka</v>
      </c>
      <c r="D829" s="75">
        <f>IFERROR(__xludf.DUMMYFUNCTION("""COMPUTED_VALUE"""),0.0)</f>
        <v>0</v>
      </c>
      <c r="E829" s="64"/>
      <c r="F829" s="95"/>
      <c r="G829" s="96"/>
      <c r="H829" s="64"/>
      <c r="I829" s="64"/>
      <c r="J829" s="64"/>
      <c r="K829" s="64"/>
      <c r="L829" s="64"/>
    </row>
    <row r="830" ht="16.5" customHeight="1">
      <c r="A830" s="64"/>
      <c r="B830" s="80" t="s">
        <v>18249</v>
      </c>
      <c r="C830" s="81" t="str">
        <f>IFERROR(__xludf.DUMMYFUNCTION("""COMPUTED_VALUE"""),"MrsArcanum")</f>
        <v>MrsArcanum</v>
      </c>
      <c r="D830" s="75">
        <f>IFERROR(__xludf.DUMMYFUNCTION("""COMPUTED_VALUE"""),0.0)</f>
        <v>0</v>
      </c>
      <c r="E830" s="64"/>
      <c r="F830" s="95"/>
      <c r="G830" s="96"/>
      <c r="H830" s="64"/>
      <c r="I830" s="64"/>
      <c r="J830" s="64"/>
      <c r="K830" s="64"/>
      <c r="L830" s="64"/>
    </row>
    <row r="831" ht="16.5" customHeight="1">
      <c r="A831" s="64"/>
      <c r="B831" s="80" t="s">
        <v>18249</v>
      </c>
      <c r="C831" s="81" t="str">
        <f>IFERROR(__xludf.DUMMYFUNCTION("""COMPUTED_VALUE"""),"MrsMoys")</f>
        <v>MrsMoys</v>
      </c>
      <c r="D831" s="75">
        <f>IFERROR(__xludf.DUMMYFUNCTION("""COMPUTED_VALUE"""),0.0)</f>
        <v>0</v>
      </c>
      <c r="E831" s="64"/>
      <c r="F831" s="95"/>
      <c r="G831" s="96"/>
      <c r="H831" s="64"/>
      <c r="I831" s="64"/>
      <c r="J831" s="64"/>
      <c r="K831" s="64"/>
      <c r="L831" s="64"/>
    </row>
    <row r="832" ht="16.5" customHeight="1">
      <c r="A832" s="64"/>
      <c r="B832" s="80" t="s">
        <v>18249</v>
      </c>
      <c r="C832" s="81" t="str">
        <f>IFERROR(__xludf.DUMMYFUNCTION("""COMPUTED_VALUE"""),"MsAlliance")</f>
        <v>MsAlliance</v>
      </c>
      <c r="D832" s="75">
        <f>IFERROR(__xludf.DUMMYFUNCTION("""COMPUTED_VALUE"""),0.0)</f>
        <v>0</v>
      </c>
      <c r="E832" s="64"/>
      <c r="F832" s="95"/>
      <c r="G832" s="96"/>
      <c r="H832" s="64"/>
      <c r="I832" s="64"/>
      <c r="J832" s="64"/>
      <c r="K832" s="64"/>
      <c r="L832" s="64"/>
    </row>
    <row r="833" ht="16.5" customHeight="1">
      <c r="A833" s="64"/>
      <c r="B833" s="80" t="s">
        <v>18249</v>
      </c>
      <c r="C833" s="81" t="str">
        <f>IFERROR(__xludf.DUMMYFUNCTION("""COMPUTED_VALUE"""),"MsHenshall")</f>
        <v>MsHenshall</v>
      </c>
      <c r="D833" s="75">
        <f>IFERROR(__xludf.DUMMYFUNCTION("""COMPUTED_VALUE"""),0.0)</f>
        <v>0</v>
      </c>
      <c r="E833" s="64"/>
      <c r="F833" s="95"/>
      <c r="G833" s="96"/>
      <c r="H833" s="64"/>
      <c r="I833" s="64"/>
      <c r="J833" s="64"/>
      <c r="K833" s="64"/>
      <c r="L833" s="64"/>
    </row>
    <row r="834" ht="16.5" customHeight="1">
      <c r="A834" s="64"/>
      <c r="B834" s="80" t="s">
        <v>18249</v>
      </c>
      <c r="C834" s="81" t="str">
        <f>IFERROR(__xludf.DUMMYFUNCTION("""COMPUTED_VALUE"""),"MsTweets17")</f>
        <v>MsTweets17</v>
      </c>
      <c r="D834" s="75">
        <f>IFERROR(__xludf.DUMMYFUNCTION("""COMPUTED_VALUE"""),0.0)</f>
        <v>0</v>
      </c>
      <c r="E834" s="64"/>
      <c r="F834" s="95"/>
      <c r="G834" s="96"/>
      <c r="H834" s="64"/>
      <c r="I834" s="64"/>
      <c r="J834" s="64"/>
      <c r="K834" s="64"/>
      <c r="L834" s="64"/>
    </row>
    <row r="835" ht="16.5" customHeight="1">
      <c r="A835" s="64"/>
      <c r="B835" s="80" t="s">
        <v>18249</v>
      </c>
      <c r="C835" s="81" t="str">
        <f>IFERROR(__xludf.DUMMYFUNCTION("""COMPUTED_VALUE"""),"MuddeiA")</f>
        <v>MuddeiA</v>
      </c>
      <c r="D835" s="75">
        <f>IFERROR(__xludf.DUMMYFUNCTION("""COMPUTED_VALUE"""),0.0)</f>
        <v>0</v>
      </c>
      <c r="E835" s="64"/>
      <c r="F835" s="95"/>
      <c r="G835" s="96"/>
      <c r="H835" s="64"/>
      <c r="I835" s="64"/>
      <c r="J835" s="64"/>
      <c r="K835" s="64"/>
      <c r="L835" s="64"/>
    </row>
    <row r="836" ht="16.5" customHeight="1">
      <c r="A836" s="64"/>
      <c r="B836" s="80" t="s">
        <v>18249</v>
      </c>
      <c r="C836" s="81" t="str">
        <f>IFERROR(__xludf.DUMMYFUNCTION("""COMPUTED_VALUE"""),"MuffitOfTea")</f>
        <v>MuffitOfTea</v>
      </c>
      <c r="D836" s="75">
        <f>IFERROR(__xludf.DUMMYFUNCTION("""COMPUTED_VALUE"""),0.0)</f>
        <v>0</v>
      </c>
      <c r="E836" s="64"/>
      <c r="F836" s="95"/>
      <c r="G836" s="96"/>
      <c r="H836" s="64"/>
      <c r="I836" s="64"/>
      <c r="J836" s="64"/>
      <c r="K836" s="64"/>
      <c r="L836" s="64"/>
    </row>
    <row r="837" ht="16.5" customHeight="1">
      <c r="A837" s="64"/>
      <c r="B837" s="80" t="s">
        <v>18249</v>
      </c>
      <c r="C837" s="81" t="str">
        <f>IFERROR(__xludf.DUMMYFUNCTION("""COMPUTED_VALUE"""),"Munku1")</f>
        <v>Munku1</v>
      </c>
      <c r="D837" s="75">
        <f>IFERROR(__xludf.DUMMYFUNCTION("""COMPUTED_VALUE"""),0.0)</f>
        <v>0</v>
      </c>
      <c r="E837" s="64"/>
      <c r="F837" s="95"/>
      <c r="G837" s="96"/>
      <c r="H837" s="64"/>
      <c r="I837" s="64"/>
      <c r="J837" s="64"/>
      <c r="K837" s="64"/>
      <c r="L837" s="64"/>
    </row>
    <row r="838" ht="16.5" customHeight="1">
      <c r="A838" s="64"/>
      <c r="B838" s="80" t="s">
        <v>18249</v>
      </c>
      <c r="C838" s="81" t="str">
        <f>IFERROR(__xludf.DUMMYFUNCTION("""COMPUTED_VALUE"""),"MutliRaceMan")</f>
        <v>MutliRaceMan</v>
      </c>
      <c r="D838" s="75">
        <f>IFERROR(__xludf.DUMMYFUNCTION("""COMPUTED_VALUE"""),0.0)</f>
        <v>0</v>
      </c>
      <c r="E838" s="64"/>
      <c r="F838" s="95"/>
      <c r="G838" s="96"/>
      <c r="H838" s="64"/>
      <c r="I838" s="64"/>
      <c r="J838" s="64"/>
      <c r="K838" s="64"/>
      <c r="L838" s="64"/>
    </row>
    <row r="839" ht="16.5" customHeight="1">
      <c r="A839" s="64"/>
      <c r="B839" s="80" t="s">
        <v>18249</v>
      </c>
      <c r="C839" s="81" t="str">
        <f>IFERROR(__xludf.DUMMYFUNCTION("""COMPUTED_VALUE"""),"Myerskate92Kate")</f>
        <v>Myerskate92Kate</v>
      </c>
      <c r="D839" s="75">
        <f>IFERROR(__xludf.DUMMYFUNCTION("""COMPUTED_VALUE"""),0.0)</f>
        <v>0</v>
      </c>
      <c r="E839" s="64"/>
      <c r="F839" s="95"/>
      <c r="G839" s="96"/>
      <c r="H839" s="64"/>
      <c r="I839" s="64"/>
      <c r="J839" s="64"/>
      <c r="K839" s="64"/>
      <c r="L839" s="64"/>
    </row>
    <row r="840" ht="16.5" customHeight="1">
      <c r="A840" s="64"/>
      <c r="B840" s="80" t="s">
        <v>18249</v>
      </c>
      <c r="C840" s="81" t="str">
        <f>IFERROR(__xludf.DUMMYFUNCTION("""COMPUTED_VALUE"""),"Mz_Kitten")</f>
        <v>Mz_Kitten</v>
      </c>
      <c r="D840" s="75">
        <f>IFERROR(__xludf.DUMMYFUNCTION("""COMPUTED_VALUE"""),0.0)</f>
        <v>0</v>
      </c>
      <c r="E840" s="64"/>
      <c r="F840" s="95"/>
      <c r="G840" s="96"/>
      <c r="H840" s="64"/>
      <c r="I840" s="64"/>
      <c r="J840" s="64"/>
      <c r="K840" s="64"/>
      <c r="L840" s="64"/>
    </row>
    <row r="841" ht="16.5" customHeight="1">
      <c r="A841" s="64"/>
      <c r="B841" s="80" t="s">
        <v>18249</v>
      </c>
      <c r="C841" s="81" t="str">
        <f>IFERROR(__xludf.DUMMYFUNCTION("""COMPUTED_VALUE"""),"NBowsie999")</f>
        <v>NBowsie999</v>
      </c>
      <c r="D841" s="75">
        <f>IFERROR(__xludf.DUMMYFUNCTION("""COMPUTED_VALUE"""),0.0)</f>
        <v>0</v>
      </c>
      <c r="E841" s="64"/>
      <c r="F841" s="95"/>
      <c r="G841" s="96"/>
      <c r="H841" s="64"/>
      <c r="I841" s="64"/>
      <c r="J841" s="64"/>
      <c r="K841" s="64"/>
      <c r="L841" s="64"/>
    </row>
    <row r="842" ht="16.5" customHeight="1">
      <c r="A842" s="64"/>
      <c r="B842" s="80" t="s">
        <v>18249</v>
      </c>
      <c r="C842" s="81" t="str">
        <f>IFERROR(__xludf.DUMMYFUNCTION("""COMPUTED_VALUE"""),"NIborn59")</f>
        <v>NIborn59</v>
      </c>
      <c r="D842" s="75">
        <f>IFERROR(__xludf.DUMMYFUNCTION("""COMPUTED_VALUE"""),0.0)</f>
        <v>0</v>
      </c>
      <c r="E842" s="64"/>
      <c r="F842" s="95"/>
      <c r="G842" s="96"/>
      <c r="H842" s="64"/>
      <c r="I842" s="64"/>
      <c r="J842" s="64"/>
      <c r="K842" s="64"/>
      <c r="L842" s="64"/>
    </row>
    <row r="843" ht="16.5" customHeight="1">
      <c r="A843" s="64"/>
      <c r="B843" s="80" t="s">
        <v>18249</v>
      </c>
      <c r="C843" s="81" t="str">
        <f>IFERROR(__xludf.DUMMYFUNCTION("""COMPUTED_VALUE"""),"NYLonGirl")</f>
        <v>NYLonGirl</v>
      </c>
      <c r="D843" s="75">
        <f>IFERROR(__xludf.DUMMYFUNCTION("""COMPUTED_VALUE"""),0.0)</f>
        <v>0</v>
      </c>
      <c r="E843" s="64"/>
      <c r="F843" s="95"/>
      <c r="G843" s="96"/>
      <c r="H843" s="64"/>
      <c r="I843" s="64"/>
      <c r="J843" s="64"/>
      <c r="K843" s="64"/>
      <c r="L843" s="64"/>
    </row>
    <row r="844" ht="16.5" customHeight="1">
      <c r="A844" s="64"/>
      <c r="B844" s="80" t="s">
        <v>18249</v>
      </c>
      <c r="C844" s="81" t="str">
        <f>IFERROR(__xludf.DUMMYFUNCTION("""COMPUTED_VALUE"""),"NanaRavers")</f>
        <v>NanaRavers</v>
      </c>
      <c r="D844" s="75">
        <f>IFERROR(__xludf.DUMMYFUNCTION("""COMPUTED_VALUE"""),0.0)</f>
        <v>0</v>
      </c>
      <c r="E844" s="64"/>
      <c r="F844" s="95"/>
      <c r="G844" s="96"/>
      <c r="H844" s="64"/>
      <c r="I844" s="64"/>
      <c r="J844" s="64"/>
      <c r="K844" s="64"/>
      <c r="L844" s="64"/>
    </row>
    <row r="845" ht="16.5" customHeight="1">
      <c r="A845" s="64"/>
      <c r="B845" s="80" t="s">
        <v>18249</v>
      </c>
      <c r="C845" s="81" t="str">
        <f>IFERROR(__xludf.DUMMYFUNCTION("""COMPUTED_VALUE"""),"NathanJordan81")</f>
        <v>NathanJordan81</v>
      </c>
      <c r="D845" s="75">
        <f>IFERROR(__xludf.DUMMYFUNCTION("""COMPUTED_VALUE"""),0.0)</f>
        <v>0</v>
      </c>
      <c r="E845" s="64"/>
      <c r="F845" s="95"/>
      <c r="G845" s="96"/>
      <c r="H845" s="64"/>
      <c r="I845" s="64"/>
      <c r="J845" s="64"/>
      <c r="K845" s="64"/>
      <c r="L845" s="64"/>
    </row>
    <row r="846" ht="16.5" customHeight="1">
      <c r="A846" s="64"/>
      <c r="B846" s="80" t="s">
        <v>18249</v>
      </c>
      <c r="C846" s="81" t="str">
        <f>IFERROR(__xludf.DUMMYFUNCTION("""COMPUTED_VALUE"""),"NaturalMessiah")</f>
        <v>NaturalMessiah</v>
      </c>
      <c r="D846" s="75">
        <f>IFERROR(__xludf.DUMMYFUNCTION("""COMPUTED_VALUE"""),0.0)</f>
        <v>0</v>
      </c>
      <c r="E846" s="64"/>
      <c r="F846" s="95"/>
      <c r="G846" s="96"/>
      <c r="H846" s="64"/>
      <c r="I846" s="64"/>
      <c r="J846" s="64"/>
      <c r="K846" s="64"/>
      <c r="L846" s="64"/>
    </row>
    <row r="847" ht="16.5" customHeight="1">
      <c r="A847" s="64"/>
      <c r="B847" s="80" t="s">
        <v>18249</v>
      </c>
      <c r="C847" s="81" t="str">
        <f>IFERROR(__xludf.DUMMYFUNCTION("""COMPUTED_VALUE"""),"Nealy_OB")</f>
        <v>Nealy_OB</v>
      </c>
      <c r="D847" s="75">
        <f>IFERROR(__xludf.DUMMYFUNCTION("""COMPUTED_VALUE"""),0.0)</f>
        <v>0</v>
      </c>
      <c r="E847" s="64"/>
      <c r="F847" s="95"/>
      <c r="G847" s="96"/>
      <c r="H847" s="64"/>
      <c r="I847" s="64"/>
      <c r="J847" s="64"/>
      <c r="K847" s="64"/>
      <c r="L847" s="64"/>
    </row>
    <row r="848" ht="16.5" customHeight="1">
      <c r="A848" s="64"/>
      <c r="B848" s="80" t="s">
        <v>18249</v>
      </c>
      <c r="C848" s="81" t="str">
        <f>IFERROR(__xludf.DUMMYFUNCTION("""COMPUTED_VALUE"""),"NeilDavoDavies1")</f>
        <v>NeilDavoDavies1</v>
      </c>
      <c r="D848" s="75">
        <f>IFERROR(__xludf.DUMMYFUNCTION("""COMPUTED_VALUE"""),0.0)</f>
        <v>0</v>
      </c>
      <c r="E848" s="64"/>
      <c r="F848" s="95"/>
      <c r="G848" s="96"/>
      <c r="H848" s="64"/>
      <c r="I848" s="64"/>
      <c r="J848" s="64"/>
      <c r="K848" s="64"/>
      <c r="L848" s="64"/>
    </row>
    <row r="849" ht="16.5" customHeight="1">
      <c r="A849" s="64"/>
      <c r="B849" s="80" t="s">
        <v>18249</v>
      </c>
      <c r="C849" s="81" t="str">
        <f>IFERROR(__xludf.DUMMYFUNCTION("""COMPUTED_VALUE"""),"NeilJamesWeekes")</f>
        <v>NeilJamesWeekes</v>
      </c>
      <c r="D849" s="75">
        <f>IFERROR(__xludf.DUMMYFUNCTION("""COMPUTED_VALUE"""),0.0)</f>
        <v>0</v>
      </c>
      <c r="E849" s="64"/>
      <c r="F849" s="95"/>
      <c r="G849" s="96"/>
      <c r="H849" s="64"/>
      <c r="I849" s="64"/>
      <c r="J849" s="64"/>
      <c r="K849" s="64"/>
      <c r="L849" s="64"/>
    </row>
    <row r="850" ht="16.5" customHeight="1">
      <c r="A850" s="64"/>
      <c r="B850" s="80" t="s">
        <v>18249</v>
      </c>
      <c r="C850" s="81" t="str">
        <f>IFERROR(__xludf.DUMMYFUNCTION("""COMPUTED_VALUE"""),"NeilMullens")</f>
        <v>NeilMullens</v>
      </c>
      <c r="D850" s="75">
        <f>IFERROR(__xludf.DUMMYFUNCTION("""COMPUTED_VALUE"""),0.0)</f>
        <v>0</v>
      </c>
      <c r="E850" s="64"/>
      <c r="F850" s="95"/>
      <c r="G850" s="96"/>
      <c r="H850" s="64"/>
      <c r="I850" s="64"/>
      <c r="J850" s="64"/>
      <c r="K850" s="64"/>
      <c r="L850" s="64"/>
    </row>
    <row r="851" ht="16.5" customHeight="1">
      <c r="A851" s="64"/>
      <c r="B851" s="80" t="s">
        <v>18249</v>
      </c>
      <c r="C851" s="81" t="str">
        <f>IFERROR(__xludf.DUMMYFUNCTION("""COMPUTED_VALUE"""),"NeilsCub")</f>
        <v>NeilsCub</v>
      </c>
      <c r="D851" s="75">
        <f>IFERROR(__xludf.DUMMYFUNCTION("""COMPUTED_VALUE"""),0.0)</f>
        <v>0</v>
      </c>
      <c r="E851" s="64"/>
      <c r="F851" s="95"/>
      <c r="G851" s="96"/>
      <c r="H851" s="64"/>
      <c r="I851" s="64"/>
      <c r="J851" s="64"/>
      <c r="K851" s="64"/>
      <c r="L851" s="64"/>
    </row>
    <row r="852" ht="16.5" customHeight="1">
      <c r="A852" s="64"/>
      <c r="B852" s="80" t="s">
        <v>18249</v>
      </c>
      <c r="C852" s="81" t="str">
        <f>IFERROR(__xludf.DUMMYFUNCTION("""COMPUTED_VALUE"""),"New4aDay")</f>
        <v>New4aDay</v>
      </c>
      <c r="D852" s="75">
        <f>IFERROR(__xludf.DUMMYFUNCTION("""COMPUTED_VALUE"""),0.0)</f>
        <v>0</v>
      </c>
      <c r="E852" s="64"/>
      <c r="F852" s="95"/>
      <c r="G852" s="96"/>
      <c r="H852" s="64"/>
      <c r="I852" s="64"/>
      <c r="J852" s="64"/>
      <c r="K852" s="64"/>
      <c r="L852" s="64"/>
    </row>
    <row r="853" ht="16.5" customHeight="1">
      <c r="A853" s="64"/>
      <c r="B853" s="80" t="s">
        <v>18249</v>
      </c>
      <c r="C853" s="81" t="str">
        <f>IFERROR(__xludf.DUMMYFUNCTION("""COMPUTED_VALUE"""),"NewroUgh")</f>
        <v>NewroUgh</v>
      </c>
      <c r="D853" s="75">
        <f>IFERROR(__xludf.DUMMYFUNCTION("""COMPUTED_VALUE"""),0.0)</f>
        <v>0</v>
      </c>
      <c r="E853" s="64"/>
      <c r="F853" s="95"/>
      <c r="G853" s="96"/>
      <c r="H853" s="64"/>
      <c r="I853" s="64"/>
      <c r="J853" s="64"/>
      <c r="K853" s="64"/>
      <c r="L853" s="64"/>
    </row>
    <row r="854" ht="16.5" customHeight="1">
      <c r="A854" s="64"/>
      <c r="B854" s="80" t="s">
        <v>18249</v>
      </c>
      <c r="C854" s="81" t="str">
        <f>IFERROR(__xludf.DUMMYFUNCTION("""COMPUTED_VALUE"""),"NicCWells")</f>
        <v>NicCWells</v>
      </c>
      <c r="D854" s="75">
        <f>IFERROR(__xludf.DUMMYFUNCTION("""COMPUTED_VALUE"""),0.0)</f>
        <v>0</v>
      </c>
      <c r="E854" s="64"/>
      <c r="F854" s="95"/>
      <c r="G854" s="96"/>
      <c r="H854" s="64"/>
      <c r="I854" s="64"/>
      <c r="J854" s="64"/>
      <c r="K854" s="64"/>
      <c r="L854" s="64"/>
    </row>
    <row r="855" ht="16.5" customHeight="1">
      <c r="A855" s="64"/>
      <c r="B855" s="80" t="s">
        <v>18249</v>
      </c>
      <c r="C855" s="81" t="str">
        <f>IFERROR(__xludf.DUMMYFUNCTION("""COMPUTED_VALUE"""),"NickDWhitehead")</f>
        <v>NickDWhitehead</v>
      </c>
      <c r="D855" s="75">
        <f>IFERROR(__xludf.DUMMYFUNCTION("""COMPUTED_VALUE"""),0.0)</f>
        <v>0</v>
      </c>
      <c r="E855" s="64"/>
      <c r="F855" s="95"/>
      <c r="G855" s="96"/>
      <c r="H855" s="64"/>
      <c r="I855" s="64"/>
      <c r="J855" s="64"/>
      <c r="K855" s="64"/>
      <c r="L855" s="64"/>
    </row>
    <row r="856" ht="16.5" customHeight="1">
      <c r="A856" s="64"/>
      <c r="B856" s="80" t="s">
        <v>18249</v>
      </c>
      <c r="C856" s="81" t="str">
        <f>IFERROR(__xludf.DUMMYFUNCTION("""COMPUTED_VALUE"""),"NickDelaney9")</f>
        <v>NickDelaney9</v>
      </c>
      <c r="D856" s="75">
        <f>IFERROR(__xludf.DUMMYFUNCTION("""COMPUTED_VALUE"""),0.0)</f>
        <v>0</v>
      </c>
      <c r="E856" s="64"/>
      <c r="F856" s="95"/>
      <c r="G856" s="96"/>
      <c r="H856" s="64"/>
      <c r="I856" s="64"/>
      <c r="J856" s="64"/>
      <c r="K856" s="64"/>
      <c r="L856" s="64"/>
    </row>
    <row r="857" ht="16.5" customHeight="1">
      <c r="A857" s="64"/>
      <c r="B857" s="80" t="s">
        <v>18249</v>
      </c>
      <c r="C857" s="81" t="str">
        <f>IFERROR(__xludf.DUMMYFUNCTION("""COMPUTED_VALUE"""),"NickiDee_")</f>
        <v>NickiDee_</v>
      </c>
      <c r="D857" s="75">
        <f>IFERROR(__xludf.DUMMYFUNCTION("""COMPUTED_VALUE"""),0.0)</f>
        <v>0</v>
      </c>
      <c r="E857" s="64"/>
      <c r="F857" s="95"/>
      <c r="G857" s="96"/>
      <c r="H857" s="64"/>
      <c r="I857" s="64"/>
      <c r="J857" s="64"/>
      <c r="K857" s="64"/>
      <c r="L857" s="64"/>
    </row>
    <row r="858" ht="16.5" customHeight="1">
      <c r="A858" s="64"/>
      <c r="B858" s="80" t="s">
        <v>18249</v>
      </c>
      <c r="C858" s="81" t="str">
        <f>IFERROR(__xludf.DUMMYFUNCTION("""COMPUTED_VALUE"""),"NigelBenar")</f>
        <v>NigelBenar</v>
      </c>
      <c r="D858" s="75">
        <f>IFERROR(__xludf.DUMMYFUNCTION("""COMPUTED_VALUE"""),0.0)</f>
        <v>0</v>
      </c>
      <c r="E858" s="64"/>
      <c r="F858" s="95"/>
      <c r="G858" s="96"/>
      <c r="H858" s="64"/>
      <c r="I858" s="64"/>
      <c r="J858" s="64"/>
      <c r="K858" s="64"/>
      <c r="L858" s="64"/>
    </row>
    <row r="859" ht="16.5" customHeight="1">
      <c r="A859" s="64"/>
      <c r="B859" s="80" t="s">
        <v>18249</v>
      </c>
      <c r="C859" s="81" t="str">
        <f>IFERROR(__xludf.DUMMYFUNCTION("""COMPUTED_VALUE"""),"NigelHeal")</f>
        <v>NigelHeal</v>
      </c>
      <c r="D859" s="75">
        <f>IFERROR(__xludf.DUMMYFUNCTION("""COMPUTED_VALUE"""),0.0)</f>
        <v>0</v>
      </c>
      <c r="E859" s="64"/>
      <c r="F859" s="95"/>
      <c r="G859" s="96"/>
      <c r="H859" s="64"/>
      <c r="I859" s="64"/>
      <c r="J859" s="64"/>
      <c r="K859" s="64"/>
      <c r="L859" s="64"/>
    </row>
    <row r="860" ht="16.5" customHeight="1">
      <c r="A860" s="64"/>
      <c r="B860" s="80" t="s">
        <v>18249</v>
      </c>
      <c r="C860" s="81" t="str">
        <f>IFERROR(__xludf.DUMMYFUNCTION("""COMPUTED_VALUE"""),"NigelNorman")</f>
        <v>NigelNorman</v>
      </c>
      <c r="D860" s="75">
        <f>IFERROR(__xludf.DUMMYFUNCTION("""COMPUTED_VALUE"""),0.0)</f>
        <v>0</v>
      </c>
      <c r="E860" s="64"/>
      <c r="F860" s="95"/>
      <c r="G860" s="96"/>
      <c r="H860" s="64"/>
      <c r="I860" s="64"/>
      <c r="J860" s="64"/>
      <c r="K860" s="64"/>
      <c r="L860" s="64"/>
    </row>
    <row r="861" ht="16.5" customHeight="1">
      <c r="A861" s="64"/>
      <c r="B861" s="80" t="s">
        <v>18249</v>
      </c>
      <c r="C861" s="81" t="str">
        <f>IFERROR(__xludf.DUMMYFUNCTION("""COMPUTED_VALUE"""),"Nigelduffy8")</f>
        <v>Nigelduffy8</v>
      </c>
      <c r="D861" s="75">
        <f>IFERROR(__xludf.DUMMYFUNCTION("""COMPUTED_VALUE"""),0.0)</f>
        <v>0</v>
      </c>
      <c r="E861" s="64"/>
      <c r="F861" s="95"/>
      <c r="G861" s="96"/>
      <c r="H861" s="64"/>
      <c r="I861" s="64"/>
      <c r="J861" s="64"/>
      <c r="K861" s="64"/>
      <c r="L861" s="64"/>
    </row>
    <row r="862" ht="16.5" customHeight="1">
      <c r="A862" s="64"/>
      <c r="B862" s="80" t="s">
        <v>18249</v>
      </c>
      <c r="C862" s="81" t="str">
        <f>IFERROR(__xludf.DUMMYFUNCTION("""COMPUTED_VALUE"""),"Nikicinder")</f>
        <v>Nikicinder</v>
      </c>
      <c r="D862" s="75">
        <f>IFERROR(__xludf.DUMMYFUNCTION("""COMPUTED_VALUE"""),0.0)</f>
        <v>0</v>
      </c>
      <c r="E862" s="64"/>
      <c r="F862" s="95"/>
      <c r="G862" s="96"/>
      <c r="H862" s="64"/>
      <c r="I862" s="64"/>
      <c r="J862" s="64"/>
      <c r="K862" s="64"/>
      <c r="L862" s="64"/>
    </row>
    <row r="863" ht="16.5" customHeight="1">
      <c r="A863" s="64"/>
      <c r="B863" s="80" t="s">
        <v>18249</v>
      </c>
      <c r="C863" s="81" t="str">
        <f>IFERROR(__xludf.DUMMYFUNCTION("""COMPUTED_VALUE"""),"NissanEVuk")</f>
        <v>NissanEVuk</v>
      </c>
      <c r="D863" s="75">
        <f>IFERROR(__xludf.DUMMYFUNCTION("""COMPUTED_VALUE"""),0.0)</f>
        <v>0</v>
      </c>
      <c r="E863" s="64"/>
      <c r="F863" s="95"/>
      <c r="G863" s="96"/>
      <c r="H863" s="64"/>
      <c r="I863" s="64"/>
      <c r="J863" s="64"/>
      <c r="K863" s="64"/>
      <c r="L863" s="64"/>
    </row>
    <row r="864" ht="16.5" customHeight="1">
      <c r="A864" s="64"/>
      <c r="B864" s="80" t="s">
        <v>18249</v>
      </c>
      <c r="C864" s="81" t="str">
        <f>IFERROR(__xludf.DUMMYFUNCTION("""COMPUTED_VALUE"""),"Nj99625368")</f>
        <v>Nj99625368</v>
      </c>
      <c r="D864" s="75">
        <f>IFERROR(__xludf.DUMMYFUNCTION("""COMPUTED_VALUE"""),0.0)</f>
        <v>0</v>
      </c>
      <c r="E864" s="64"/>
      <c r="F864" s="95"/>
      <c r="G864" s="96"/>
      <c r="H864" s="64"/>
      <c r="I864" s="64"/>
      <c r="J864" s="64"/>
      <c r="K864" s="64"/>
      <c r="L864" s="64"/>
    </row>
    <row r="865" ht="16.5" customHeight="1">
      <c r="A865" s="64"/>
      <c r="B865" s="80" t="s">
        <v>18249</v>
      </c>
      <c r="C865" s="81" t="str">
        <f>IFERROR(__xludf.DUMMYFUNCTION("""COMPUTED_VALUE"""),"NoMiddleNameAH")</f>
        <v>NoMiddleNameAH</v>
      </c>
      <c r="D865" s="75">
        <f>IFERROR(__xludf.DUMMYFUNCTION("""COMPUTED_VALUE"""),0.0)</f>
        <v>0</v>
      </c>
      <c r="E865" s="64"/>
      <c r="F865" s="95"/>
      <c r="G865" s="96"/>
      <c r="H865" s="64"/>
      <c r="I865" s="64"/>
      <c r="J865" s="64"/>
      <c r="K865" s="64"/>
      <c r="L865" s="64"/>
    </row>
    <row r="866" ht="16.5" customHeight="1">
      <c r="A866" s="64"/>
      <c r="B866" s="80" t="s">
        <v>18249</v>
      </c>
      <c r="C866" s="81" t="str">
        <f>IFERROR(__xludf.DUMMYFUNCTION("""COMPUTED_VALUE"""),"NormanStiff")</f>
        <v>NormanStiff</v>
      </c>
      <c r="D866" s="75">
        <f>IFERROR(__xludf.DUMMYFUNCTION("""COMPUTED_VALUE"""),0.0)</f>
        <v>0</v>
      </c>
      <c r="E866" s="64"/>
      <c r="F866" s="95"/>
      <c r="G866" s="96"/>
      <c r="H866" s="64"/>
      <c r="I866" s="64"/>
      <c r="J866" s="64"/>
      <c r="K866" s="64"/>
      <c r="L866" s="64"/>
    </row>
    <row r="867" ht="16.5" customHeight="1">
      <c r="A867" s="64"/>
      <c r="B867" s="80" t="s">
        <v>18249</v>
      </c>
      <c r="C867" s="81" t="str">
        <f>IFERROR(__xludf.DUMMYFUNCTION("""COMPUTED_VALUE"""),"NorthDorset4Eur")</f>
        <v>NorthDorset4Eur</v>
      </c>
      <c r="D867" s="75">
        <f>IFERROR(__xludf.DUMMYFUNCTION("""COMPUTED_VALUE"""),0.0)</f>
        <v>0</v>
      </c>
      <c r="E867" s="64"/>
      <c r="F867" s="95"/>
      <c r="G867" s="96"/>
      <c r="H867" s="64"/>
      <c r="I867" s="64"/>
      <c r="J867" s="64"/>
      <c r="K867" s="64"/>
      <c r="L867" s="64"/>
    </row>
    <row r="868" ht="16.5" customHeight="1">
      <c r="A868" s="64"/>
      <c r="B868" s="80" t="s">
        <v>18249</v>
      </c>
      <c r="C868" s="81" t="str">
        <f>IFERROR(__xludf.DUMMYFUNCTION("""COMPUTED_VALUE"""),"Northern21a")</f>
        <v>Northern21a</v>
      </c>
      <c r="D868" s="75">
        <f>IFERROR(__xludf.DUMMYFUNCTION("""COMPUTED_VALUE"""),0.0)</f>
        <v>0</v>
      </c>
      <c r="E868" s="64"/>
      <c r="F868" s="95"/>
      <c r="G868" s="96"/>
      <c r="H868" s="64"/>
      <c r="I868" s="64"/>
      <c r="J868" s="64"/>
      <c r="K868" s="64"/>
      <c r="L868" s="64"/>
    </row>
    <row r="869" ht="16.5" customHeight="1">
      <c r="A869" s="64"/>
      <c r="B869" s="80" t="s">
        <v>18249</v>
      </c>
      <c r="C869" s="81" t="str">
        <f>IFERROR(__xludf.DUMMYFUNCTION("""COMPUTED_VALUE"""),"Northum65478582")</f>
        <v>Northum65478582</v>
      </c>
      <c r="D869" s="75">
        <f>IFERROR(__xludf.DUMMYFUNCTION("""COMPUTED_VALUE"""),0.0)</f>
        <v>0</v>
      </c>
      <c r="E869" s="64"/>
      <c r="F869" s="95"/>
      <c r="G869" s="96"/>
      <c r="H869" s="64"/>
      <c r="I869" s="64"/>
      <c r="J869" s="64"/>
      <c r="K869" s="64"/>
      <c r="L869" s="64"/>
    </row>
    <row r="870" ht="16.5" customHeight="1">
      <c r="A870" s="64"/>
      <c r="B870" s="80" t="s">
        <v>18249</v>
      </c>
      <c r="C870" s="81" t="str">
        <f>IFERROR(__xludf.DUMMYFUNCTION("""COMPUTED_VALUE"""),"NuncTempus")</f>
        <v>NuncTempus</v>
      </c>
      <c r="D870" s="75">
        <f>IFERROR(__xludf.DUMMYFUNCTION("""COMPUTED_VALUE"""),0.0)</f>
        <v>0</v>
      </c>
      <c r="E870" s="64"/>
      <c r="F870" s="95"/>
      <c r="G870" s="96"/>
      <c r="H870" s="64"/>
      <c r="I870" s="64"/>
      <c r="J870" s="64"/>
      <c r="K870" s="64"/>
      <c r="L870" s="64"/>
    </row>
    <row r="871" ht="16.5" customHeight="1">
      <c r="A871" s="64"/>
      <c r="B871" s="80" t="s">
        <v>18249</v>
      </c>
      <c r="C871" s="81" t="str">
        <f>IFERROR(__xludf.DUMMYFUNCTION("""COMPUTED_VALUE"""),"OK16096635")</f>
        <v>OK16096635</v>
      </c>
      <c r="D871" s="75">
        <f>IFERROR(__xludf.DUMMYFUNCTION("""COMPUTED_VALUE"""),0.0)</f>
        <v>0</v>
      </c>
      <c r="E871" s="64"/>
      <c r="F871" s="95"/>
      <c r="G871" s="96"/>
      <c r="H871" s="64"/>
      <c r="I871" s="64"/>
      <c r="J871" s="64"/>
      <c r="K871" s="64"/>
      <c r="L871" s="64"/>
    </row>
    <row r="872" ht="16.5" customHeight="1">
      <c r="A872" s="64"/>
      <c r="B872" s="80" t="s">
        <v>18249</v>
      </c>
      <c r="C872" s="81" t="str">
        <f>IFERROR(__xludf.DUMMYFUNCTION("""COMPUTED_VALUE"""),"OScaramucci")</f>
        <v>OScaramucci</v>
      </c>
      <c r="D872" s="75">
        <f>IFERROR(__xludf.DUMMYFUNCTION("""COMPUTED_VALUE"""),0.0)</f>
        <v>0</v>
      </c>
      <c r="E872" s="64"/>
      <c r="F872" s="95"/>
      <c r="G872" s="96"/>
      <c r="H872" s="64"/>
      <c r="I872" s="64"/>
      <c r="J872" s="64"/>
      <c r="K872" s="64"/>
      <c r="L872" s="64"/>
    </row>
    <row r="873" ht="16.5" customHeight="1">
      <c r="A873" s="64"/>
      <c r="B873" s="80" t="s">
        <v>18249</v>
      </c>
      <c r="C873" s="81" t="str">
        <f>IFERROR(__xludf.DUMMYFUNCTION("""COMPUTED_VALUE"""),"OdoyleCharlotte")</f>
        <v>OdoyleCharlotte</v>
      </c>
      <c r="D873" s="75">
        <f>IFERROR(__xludf.DUMMYFUNCTION("""COMPUTED_VALUE"""),0.0)</f>
        <v>0</v>
      </c>
      <c r="E873" s="64"/>
      <c r="F873" s="95"/>
      <c r="G873" s="96"/>
      <c r="H873" s="64"/>
      <c r="I873" s="64"/>
      <c r="J873" s="64"/>
      <c r="K873" s="64"/>
      <c r="L873" s="64"/>
    </row>
    <row r="874" ht="16.5" customHeight="1">
      <c r="A874" s="64"/>
      <c r="B874" s="80" t="s">
        <v>18249</v>
      </c>
      <c r="C874" s="81" t="str">
        <f>IFERROR(__xludf.DUMMYFUNCTION("""COMPUTED_VALUE"""),"OhYesItDid")</f>
        <v>OhYesItDid</v>
      </c>
      <c r="D874" s="75">
        <f>IFERROR(__xludf.DUMMYFUNCTION("""COMPUTED_VALUE"""),0.0)</f>
        <v>0</v>
      </c>
      <c r="E874" s="64"/>
      <c r="F874" s="95"/>
      <c r="G874" s="96"/>
      <c r="H874" s="64"/>
      <c r="I874" s="64"/>
      <c r="J874" s="64"/>
      <c r="K874" s="64"/>
      <c r="L874" s="64"/>
    </row>
    <row r="875" ht="16.5" customHeight="1">
      <c r="A875" s="64"/>
      <c r="B875" s="80" t="s">
        <v>18249</v>
      </c>
      <c r="C875" s="81" t="str">
        <f>IFERROR(__xludf.DUMMYFUNCTION("""COMPUTED_VALUE"""),"Old_Ted_Euro")</f>
        <v>Old_Ted_Euro</v>
      </c>
      <c r="D875" s="75">
        <f>IFERROR(__xludf.DUMMYFUNCTION("""COMPUTED_VALUE"""),0.0)</f>
        <v>0</v>
      </c>
      <c r="E875" s="64"/>
      <c r="F875" s="95"/>
      <c r="G875" s="96"/>
      <c r="H875" s="64"/>
      <c r="I875" s="64"/>
      <c r="J875" s="64"/>
      <c r="K875" s="64"/>
      <c r="L875" s="64"/>
    </row>
    <row r="876" ht="16.5" customHeight="1">
      <c r="A876" s="64"/>
      <c r="B876" s="80" t="s">
        <v>18249</v>
      </c>
      <c r="C876" s="81" t="str">
        <f>IFERROR(__xludf.DUMMYFUNCTION("""COMPUTED_VALUE"""),"Oldtimerabroad")</f>
        <v>Oldtimerabroad</v>
      </c>
      <c r="D876" s="75">
        <f>IFERROR(__xludf.DUMMYFUNCTION("""COMPUTED_VALUE"""),0.0)</f>
        <v>0</v>
      </c>
      <c r="E876" s="64"/>
      <c r="F876" s="95"/>
      <c r="G876" s="96"/>
      <c r="H876" s="64"/>
      <c r="I876" s="64"/>
      <c r="J876" s="64"/>
      <c r="K876" s="64"/>
      <c r="L876" s="64"/>
    </row>
    <row r="877" ht="16.5" customHeight="1">
      <c r="A877" s="64"/>
      <c r="B877" s="80" t="s">
        <v>18249</v>
      </c>
      <c r="C877" s="81" t="str">
        <f>IFERROR(__xludf.DUMMYFUNCTION("""COMPUTED_VALUE"""),"Olicanarama")</f>
        <v>Olicanarama</v>
      </c>
      <c r="D877" s="75">
        <f>IFERROR(__xludf.DUMMYFUNCTION("""COMPUTED_VALUE"""),0.0)</f>
        <v>0</v>
      </c>
      <c r="E877" s="64"/>
      <c r="F877" s="95"/>
      <c r="G877" s="96"/>
      <c r="H877" s="64"/>
      <c r="I877" s="64"/>
      <c r="J877" s="64"/>
      <c r="K877" s="64"/>
      <c r="L877" s="64"/>
    </row>
    <row r="878" ht="16.5" customHeight="1">
      <c r="A878" s="64"/>
      <c r="B878" s="80" t="s">
        <v>18249</v>
      </c>
      <c r="C878" s="81" t="str">
        <f>IFERROR(__xludf.DUMMYFUNCTION("""COMPUTED_VALUE"""),"OliveEaton16")</f>
        <v>OliveEaton16</v>
      </c>
      <c r="D878" s="75">
        <f>IFERROR(__xludf.DUMMYFUNCTION("""COMPUTED_VALUE"""),0.0)</f>
        <v>0</v>
      </c>
      <c r="E878" s="64"/>
      <c r="F878" s="95"/>
      <c r="G878" s="96"/>
      <c r="H878" s="64"/>
      <c r="I878" s="64"/>
      <c r="J878" s="64"/>
      <c r="K878" s="64"/>
      <c r="L878" s="64"/>
    </row>
    <row r="879" ht="16.5" customHeight="1">
      <c r="A879" s="64"/>
      <c r="B879" s="80" t="s">
        <v>18249</v>
      </c>
      <c r="C879" s="81" t="str">
        <f>IFERROR(__xludf.DUMMYFUNCTION("""COMPUTED_VALUE"""),"OnCanter")</f>
        <v>OnCanter</v>
      </c>
      <c r="D879" s="75">
        <f>IFERROR(__xludf.DUMMYFUNCTION("""COMPUTED_VALUE"""),0.0)</f>
        <v>0</v>
      </c>
      <c r="E879" s="64"/>
      <c r="F879" s="95"/>
      <c r="G879" s="96"/>
      <c r="H879" s="64"/>
      <c r="I879" s="64"/>
      <c r="J879" s="64"/>
      <c r="K879" s="64"/>
      <c r="L879" s="64"/>
    </row>
    <row r="880" ht="16.5" customHeight="1">
      <c r="A880" s="64"/>
      <c r="B880" s="80" t="s">
        <v>18249</v>
      </c>
      <c r="C880" s="81" t="str">
        <f>IFERROR(__xludf.DUMMYFUNCTION("""COMPUTED_VALUE"""),"OnTheSofaUK")</f>
        <v>OnTheSofaUK</v>
      </c>
      <c r="D880" s="75">
        <f>IFERROR(__xludf.DUMMYFUNCTION("""COMPUTED_VALUE"""),0.0)</f>
        <v>0</v>
      </c>
      <c r="E880" s="64"/>
      <c r="F880" s="95"/>
      <c r="G880" s="96"/>
      <c r="H880" s="64"/>
      <c r="I880" s="64"/>
      <c r="J880" s="64"/>
      <c r="K880" s="64"/>
      <c r="L880" s="64"/>
    </row>
    <row r="881" ht="16.5" customHeight="1">
      <c r="A881" s="64"/>
      <c r="B881" s="80" t="s">
        <v>18249</v>
      </c>
      <c r="C881" s="81" t="str">
        <f>IFERROR(__xludf.DUMMYFUNCTION("""COMPUTED_VALUE"""),"OneMoreGoodMan")</f>
        <v>OneMoreGoodMan</v>
      </c>
      <c r="D881" s="75">
        <f>IFERROR(__xludf.DUMMYFUNCTION("""COMPUTED_VALUE"""),0.0)</f>
        <v>0</v>
      </c>
      <c r="E881" s="64"/>
      <c r="F881" s="95"/>
      <c r="G881" s="96"/>
      <c r="H881" s="64"/>
      <c r="I881" s="64"/>
      <c r="J881" s="64"/>
      <c r="K881" s="64"/>
      <c r="L881" s="64"/>
    </row>
    <row r="882" ht="16.5" customHeight="1">
      <c r="A882" s="64"/>
      <c r="B882" s="80" t="s">
        <v>18249</v>
      </c>
      <c r="C882" s="81" t="str">
        <f>IFERROR(__xludf.DUMMYFUNCTION("""COMPUTED_VALUE"""),"Ospringe")</f>
        <v>Ospringe</v>
      </c>
      <c r="D882" s="75">
        <f>IFERROR(__xludf.DUMMYFUNCTION("""COMPUTED_VALUE"""),0.0)</f>
        <v>0</v>
      </c>
      <c r="E882" s="64"/>
      <c r="F882" s="95"/>
      <c r="G882" s="96"/>
      <c r="H882" s="64"/>
      <c r="I882" s="64"/>
      <c r="J882" s="64"/>
      <c r="K882" s="64"/>
      <c r="L882" s="64"/>
    </row>
    <row r="883" ht="16.5" customHeight="1">
      <c r="A883" s="64"/>
      <c r="B883" s="80" t="s">
        <v>18249</v>
      </c>
      <c r="C883" s="81" t="str">
        <f>IFERROR(__xludf.DUMMYFUNCTION("""COMPUTED_VALUE"""),"OssieBhoy")</f>
        <v>OssieBhoy</v>
      </c>
      <c r="D883" s="75">
        <f>IFERROR(__xludf.DUMMYFUNCTION("""COMPUTED_VALUE"""),0.0)</f>
        <v>0</v>
      </c>
      <c r="E883" s="64"/>
      <c r="F883" s="95"/>
      <c r="G883" s="96"/>
      <c r="H883" s="64"/>
      <c r="I883" s="64"/>
      <c r="J883" s="64"/>
      <c r="K883" s="64"/>
      <c r="L883" s="64"/>
    </row>
    <row r="884" ht="16.5" customHeight="1">
      <c r="A884" s="64"/>
      <c r="B884" s="80" t="s">
        <v>18249</v>
      </c>
      <c r="C884" s="81" t="str">
        <f>IFERROR(__xludf.DUMMYFUNCTION("""COMPUTED_VALUE"""),"OthelloFloof")</f>
        <v>OthelloFloof</v>
      </c>
      <c r="D884" s="75">
        <f>IFERROR(__xludf.DUMMYFUNCTION("""COMPUTED_VALUE"""),0.0)</f>
        <v>0</v>
      </c>
      <c r="E884" s="64"/>
      <c r="F884" s="95"/>
      <c r="G884" s="96"/>
      <c r="H884" s="64"/>
      <c r="I884" s="64"/>
      <c r="J884" s="64"/>
      <c r="K884" s="64"/>
      <c r="L884" s="64"/>
    </row>
    <row r="885" ht="16.5" customHeight="1">
      <c r="A885" s="64"/>
      <c r="B885" s="80" t="s">
        <v>18249</v>
      </c>
      <c r="C885" s="81" t="str">
        <f>IFERROR(__xludf.DUMMYFUNCTION("""COMPUTED_VALUE"""),"OudeLady")</f>
        <v>OudeLady</v>
      </c>
      <c r="D885" s="75">
        <f>IFERROR(__xludf.DUMMYFUNCTION("""COMPUTED_VALUE"""),0.0)</f>
        <v>0</v>
      </c>
      <c r="E885" s="64"/>
      <c r="F885" s="95"/>
      <c r="G885" s="96"/>
      <c r="H885" s="64"/>
      <c r="I885" s="64"/>
      <c r="J885" s="64"/>
      <c r="K885" s="64"/>
      <c r="L885" s="64"/>
    </row>
    <row r="886" ht="16.5" customHeight="1">
      <c r="A886" s="64"/>
      <c r="B886" s="80" t="s">
        <v>18249</v>
      </c>
      <c r="C886" s="81" t="str">
        <f>IFERROR(__xludf.DUMMYFUNCTION("""COMPUTED_VALUE"""),"OurDawnie")</f>
        <v>OurDawnie</v>
      </c>
      <c r="D886" s="75">
        <f>IFERROR(__xludf.DUMMYFUNCTION("""COMPUTED_VALUE"""),0.0)</f>
        <v>0</v>
      </c>
      <c r="E886" s="64"/>
      <c r="F886" s="95"/>
      <c r="G886" s="96"/>
      <c r="H886" s="64"/>
      <c r="I886" s="64"/>
      <c r="J886" s="64"/>
      <c r="K886" s="64"/>
      <c r="L886" s="64"/>
    </row>
    <row r="887" ht="16.5" customHeight="1">
      <c r="A887" s="64"/>
      <c r="B887" s="80" t="s">
        <v>18249</v>
      </c>
      <c r="C887" s="81" t="str">
        <f>IFERROR(__xludf.DUMMYFUNCTION("""COMPUTED_VALUE"""),"OverUnderClover")</f>
        <v>OverUnderClover</v>
      </c>
      <c r="D887" s="75">
        <f>IFERROR(__xludf.DUMMYFUNCTION("""COMPUTED_VALUE"""),0.0)</f>
        <v>0</v>
      </c>
      <c r="E887" s="64"/>
      <c r="F887" s="95"/>
      <c r="G887" s="96"/>
      <c r="H887" s="64"/>
      <c r="I887" s="64"/>
      <c r="J887" s="64"/>
      <c r="K887" s="64"/>
      <c r="L887" s="64"/>
    </row>
    <row r="888" ht="16.5" customHeight="1">
      <c r="A888" s="64"/>
      <c r="B888" s="80" t="s">
        <v>18249</v>
      </c>
      <c r="C888" s="81" t="str">
        <f>IFERROR(__xludf.DUMMYFUNCTION("""COMPUTED_VALUE"""),"OwenLake")</f>
        <v>OwenLake</v>
      </c>
      <c r="D888" s="75">
        <f>IFERROR(__xludf.DUMMYFUNCTION("""COMPUTED_VALUE"""),0.0)</f>
        <v>0</v>
      </c>
      <c r="E888" s="64"/>
      <c r="F888" s="95"/>
      <c r="G888" s="96"/>
      <c r="H888" s="64"/>
      <c r="I888" s="64"/>
      <c r="J888" s="64"/>
      <c r="K888" s="64"/>
      <c r="L888" s="64"/>
    </row>
    <row r="889" ht="16.5" customHeight="1">
      <c r="A889" s="64"/>
      <c r="B889" s="80" t="s">
        <v>18249</v>
      </c>
      <c r="C889" s="81" t="str">
        <f>IFERROR(__xludf.DUMMYFUNCTION("""COMPUTED_VALUE"""),"PAULKLAVAS1")</f>
        <v>PAULKLAVAS1</v>
      </c>
      <c r="D889" s="75">
        <f>IFERROR(__xludf.DUMMYFUNCTION("""COMPUTED_VALUE"""),0.0)</f>
        <v>0</v>
      </c>
      <c r="E889" s="64"/>
      <c r="F889" s="95"/>
      <c r="G889" s="96"/>
      <c r="H889" s="64"/>
      <c r="I889" s="64"/>
      <c r="J889" s="64"/>
      <c r="K889" s="64"/>
      <c r="L889" s="64"/>
    </row>
    <row r="890" ht="16.5" customHeight="1">
      <c r="A890" s="64"/>
      <c r="B890" s="80" t="s">
        <v>18249</v>
      </c>
      <c r="C890" s="81" t="str">
        <f>IFERROR(__xludf.DUMMYFUNCTION("""COMPUTED_VALUE"""),"PBTyrrell")</f>
        <v>PBTyrrell</v>
      </c>
      <c r="D890" s="75">
        <f>IFERROR(__xludf.DUMMYFUNCTION("""COMPUTED_VALUE"""),0.0)</f>
        <v>0</v>
      </c>
      <c r="E890" s="64"/>
      <c r="F890" s="95"/>
      <c r="G890" s="96"/>
      <c r="H890" s="64"/>
      <c r="I890" s="64"/>
      <c r="J890" s="64"/>
      <c r="K890" s="64"/>
      <c r="L890" s="64"/>
    </row>
    <row r="891" ht="16.5" customHeight="1">
      <c r="A891" s="64"/>
      <c r="B891" s="80" t="s">
        <v>18249</v>
      </c>
      <c r="C891" s="81" t="str">
        <f>IFERROR(__xludf.DUMMYFUNCTION("""COMPUTED_VALUE"""),"PGuppy")</f>
        <v>PGuppy</v>
      </c>
      <c r="D891" s="75">
        <f>IFERROR(__xludf.DUMMYFUNCTION("""COMPUTED_VALUE"""),0.0)</f>
        <v>0</v>
      </c>
      <c r="E891" s="64"/>
      <c r="F891" s="95"/>
      <c r="G891" s="96"/>
      <c r="H891" s="64"/>
      <c r="I891" s="64"/>
      <c r="J891" s="64"/>
      <c r="K891" s="64"/>
      <c r="L891" s="64"/>
    </row>
    <row r="892" ht="16.5" customHeight="1">
      <c r="A892" s="64"/>
      <c r="B892" s="80" t="s">
        <v>18249</v>
      </c>
      <c r="C892" s="81" t="str">
        <f>IFERROR(__xludf.DUMMYFUNCTION("""COMPUTED_VALUE"""),"PHandwright")</f>
        <v>PHandwright</v>
      </c>
      <c r="D892" s="75">
        <f>IFERROR(__xludf.DUMMYFUNCTION("""COMPUTED_VALUE"""),0.0)</f>
        <v>0</v>
      </c>
      <c r="E892" s="64"/>
      <c r="F892" s="95"/>
      <c r="G892" s="96"/>
      <c r="H892" s="64"/>
      <c r="I892" s="64"/>
      <c r="J892" s="64"/>
      <c r="K892" s="64"/>
      <c r="L892" s="64"/>
    </row>
    <row r="893" ht="16.5" customHeight="1">
      <c r="A893" s="64"/>
      <c r="B893" s="80" t="s">
        <v>18249</v>
      </c>
      <c r="C893" s="81" t="str">
        <f>IFERROR(__xludf.DUMMYFUNCTION("""COMPUTED_VALUE"""),"PJWestlake")</f>
        <v>PJWestlake</v>
      </c>
      <c r="D893" s="75">
        <f>IFERROR(__xludf.DUMMYFUNCTION("""COMPUTED_VALUE"""),0.0)</f>
        <v>0</v>
      </c>
      <c r="E893" s="64"/>
      <c r="F893" s="95"/>
      <c r="G893" s="96"/>
      <c r="H893" s="64"/>
      <c r="I893" s="64"/>
      <c r="J893" s="64"/>
      <c r="K893" s="64"/>
      <c r="L893" s="64"/>
    </row>
    <row r="894" ht="16.5" customHeight="1">
      <c r="A894" s="64"/>
      <c r="B894" s="80" t="s">
        <v>18249</v>
      </c>
      <c r="C894" s="81" t="str">
        <f>IFERROR(__xludf.DUMMYFUNCTION("""COMPUTED_VALUE"""),"PShootLFWW")</f>
        <v>PShootLFWW</v>
      </c>
      <c r="D894" s="75">
        <f>IFERROR(__xludf.DUMMYFUNCTION("""COMPUTED_VALUE"""),0.0)</f>
        <v>0</v>
      </c>
      <c r="E894" s="64"/>
      <c r="F894" s="95"/>
      <c r="G894" s="96"/>
      <c r="H894" s="64"/>
      <c r="I894" s="64"/>
      <c r="J894" s="64"/>
      <c r="K894" s="64"/>
      <c r="L894" s="64"/>
    </row>
    <row r="895" ht="16.5" customHeight="1">
      <c r="A895" s="64"/>
      <c r="B895" s="80" t="s">
        <v>18249</v>
      </c>
      <c r="C895" s="81" t="str">
        <f>IFERROR(__xludf.DUMMYFUNCTION("""COMPUTED_VALUE"""),"PaddyNenagh")</f>
        <v>PaddyNenagh</v>
      </c>
      <c r="D895" s="75">
        <f>IFERROR(__xludf.DUMMYFUNCTION("""COMPUTED_VALUE"""),0.0)</f>
        <v>0</v>
      </c>
      <c r="E895" s="64"/>
      <c r="F895" s="95"/>
      <c r="G895" s="96"/>
      <c r="H895" s="64"/>
      <c r="I895" s="64"/>
      <c r="J895" s="64"/>
      <c r="K895" s="64"/>
      <c r="L895" s="64"/>
    </row>
    <row r="896" ht="16.5" customHeight="1">
      <c r="A896" s="64"/>
      <c r="B896" s="80" t="s">
        <v>18249</v>
      </c>
      <c r="C896" s="81" t="str">
        <f>IFERROR(__xludf.DUMMYFUNCTION("""COMPUTED_VALUE"""),"PaisleyJanine")</f>
        <v>PaisleyJanine</v>
      </c>
      <c r="D896" s="75">
        <f>IFERROR(__xludf.DUMMYFUNCTION("""COMPUTED_VALUE"""),0.0)</f>
        <v>0</v>
      </c>
      <c r="E896" s="64"/>
      <c r="F896" s="95"/>
      <c r="G896" s="96"/>
      <c r="H896" s="64"/>
      <c r="I896" s="64"/>
      <c r="J896" s="64"/>
      <c r="K896" s="64"/>
      <c r="L896" s="64"/>
    </row>
    <row r="897" ht="16.5" customHeight="1">
      <c r="A897" s="64"/>
      <c r="B897" s="80" t="s">
        <v>18249</v>
      </c>
      <c r="C897" s="81" t="str">
        <f>IFERROR(__xludf.DUMMYFUNCTION("""COMPUTED_VALUE"""),"PalmaHelene")</f>
        <v>PalmaHelene</v>
      </c>
      <c r="D897" s="75">
        <f>IFERROR(__xludf.DUMMYFUNCTION("""COMPUTED_VALUE"""),0.0)</f>
        <v>0</v>
      </c>
      <c r="E897" s="64"/>
      <c r="F897" s="95"/>
      <c r="G897" s="96"/>
      <c r="H897" s="64"/>
      <c r="I897" s="64"/>
      <c r="J897" s="64"/>
      <c r="K897" s="64"/>
      <c r="L897" s="64"/>
    </row>
    <row r="898" ht="16.5" customHeight="1">
      <c r="A898" s="64"/>
      <c r="B898" s="80" t="s">
        <v>18249</v>
      </c>
      <c r="C898" s="81" t="str">
        <f>IFERROR(__xludf.DUMMYFUNCTION("""COMPUTED_VALUE"""),"PalmerTim1")</f>
        <v>PalmerTim1</v>
      </c>
      <c r="D898" s="75">
        <f>IFERROR(__xludf.DUMMYFUNCTION("""COMPUTED_VALUE"""),0.0)</f>
        <v>0</v>
      </c>
      <c r="E898" s="64"/>
      <c r="F898" s="95"/>
      <c r="G898" s="96"/>
      <c r="H898" s="64"/>
      <c r="I898" s="64"/>
      <c r="J898" s="64"/>
      <c r="K898" s="64"/>
      <c r="L898" s="64"/>
    </row>
    <row r="899" ht="16.5" customHeight="1">
      <c r="A899" s="64"/>
      <c r="B899" s="80" t="s">
        <v>18249</v>
      </c>
      <c r="C899" s="81" t="str">
        <f>IFERROR(__xludf.DUMMYFUNCTION("""COMPUTED_VALUE"""),"Panbocchh")</f>
        <v>Panbocchh</v>
      </c>
      <c r="D899" s="75">
        <f>IFERROR(__xludf.DUMMYFUNCTION("""COMPUTED_VALUE"""),0.0)</f>
        <v>0</v>
      </c>
      <c r="E899" s="64"/>
      <c r="F899" s="95"/>
      <c r="G899" s="96"/>
      <c r="H899" s="64"/>
      <c r="I899" s="64"/>
      <c r="J899" s="64"/>
      <c r="K899" s="64"/>
      <c r="L899" s="64"/>
    </row>
    <row r="900" ht="16.5" customHeight="1">
      <c r="A900" s="64"/>
      <c r="B900" s="80" t="s">
        <v>18249</v>
      </c>
      <c r="C900" s="81" t="str">
        <f>IFERROR(__xludf.DUMMYFUNCTION("""COMPUTED_VALUE"""),"PapaFrew")</f>
        <v>PapaFrew</v>
      </c>
      <c r="D900" s="75">
        <f>IFERROR(__xludf.DUMMYFUNCTION("""COMPUTED_VALUE"""),0.0)</f>
        <v>0</v>
      </c>
      <c r="E900" s="64"/>
      <c r="F900" s="95"/>
      <c r="G900" s="96"/>
      <c r="H900" s="64"/>
      <c r="I900" s="64"/>
      <c r="J900" s="64"/>
      <c r="K900" s="64"/>
      <c r="L900" s="64"/>
    </row>
    <row r="901" ht="16.5" customHeight="1">
      <c r="A901" s="64"/>
      <c r="B901" s="80" t="s">
        <v>18249</v>
      </c>
      <c r="C901" s="81" t="str">
        <f>IFERROR(__xludf.DUMMYFUNCTION("""COMPUTED_VALUE"""),"PatAlexTea")</f>
        <v>PatAlexTea</v>
      </c>
      <c r="D901" s="75">
        <f>IFERROR(__xludf.DUMMYFUNCTION("""COMPUTED_VALUE"""),0.0)</f>
        <v>0</v>
      </c>
      <c r="E901" s="64"/>
      <c r="F901" s="95"/>
      <c r="G901" s="96"/>
      <c r="H901" s="64"/>
      <c r="I901" s="64"/>
      <c r="J901" s="64"/>
      <c r="K901" s="64"/>
      <c r="L901" s="64"/>
    </row>
    <row r="902" ht="16.5" customHeight="1">
      <c r="A902" s="64"/>
      <c r="B902" s="80" t="s">
        <v>18249</v>
      </c>
      <c r="C902" s="81" t="str">
        <f>IFERROR(__xludf.DUMMYFUNCTION("""COMPUTED_VALUE"""),"PatNeal6")</f>
        <v>PatNeal6</v>
      </c>
      <c r="D902" s="75">
        <f>IFERROR(__xludf.DUMMYFUNCTION("""COMPUTED_VALUE"""),0.0)</f>
        <v>0</v>
      </c>
      <c r="E902" s="64"/>
      <c r="F902" s="95"/>
      <c r="G902" s="96"/>
      <c r="H902" s="64"/>
      <c r="I902" s="64"/>
      <c r="J902" s="64"/>
      <c r="K902" s="64"/>
      <c r="L902" s="64"/>
    </row>
    <row r="903" ht="16.5" customHeight="1">
      <c r="A903" s="64"/>
      <c r="B903" s="80" t="s">
        <v>18249</v>
      </c>
      <c r="C903" s="81" t="str">
        <f>IFERROR(__xludf.DUMMYFUNCTION("""COMPUTED_VALUE"""),"PatTheHatter")</f>
        <v>PatTheHatter</v>
      </c>
      <c r="D903" s="75">
        <f>IFERROR(__xludf.DUMMYFUNCTION("""COMPUTED_VALUE"""),0.0)</f>
        <v>0</v>
      </c>
      <c r="E903" s="64"/>
      <c r="F903" s="95"/>
      <c r="G903" s="96"/>
      <c r="H903" s="64"/>
      <c r="I903" s="64"/>
      <c r="J903" s="64"/>
      <c r="K903" s="64"/>
      <c r="L903" s="64"/>
    </row>
    <row r="904" ht="16.5" customHeight="1">
      <c r="A904" s="64"/>
      <c r="B904" s="80" t="s">
        <v>18249</v>
      </c>
      <c r="C904" s="81" t="str">
        <f>IFERROR(__xludf.DUMMYFUNCTION("""COMPUTED_VALUE"""),"PatYoung")</f>
        <v>PatYoung</v>
      </c>
      <c r="D904" s="75">
        <f>IFERROR(__xludf.DUMMYFUNCTION("""COMPUTED_VALUE"""),0.0)</f>
        <v>0</v>
      </c>
      <c r="E904" s="64"/>
      <c r="F904" s="95"/>
      <c r="G904" s="96"/>
      <c r="H904" s="64"/>
      <c r="I904" s="64"/>
      <c r="J904" s="64"/>
      <c r="K904" s="64"/>
      <c r="L904" s="64"/>
    </row>
    <row r="905" ht="16.5" customHeight="1">
      <c r="A905" s="64"/>
      <c r="B905" s="80" t="s">
        <v>18249</v>
      </c>
      <c r="C905" s="81" t="str">
        <f>IFERROR(__xludf.DUMMYFUNCTION("""COMPUTED_VALUE"""),"Patinahat2")</f>
        <v>Patinahat2</v>
      </c>
      <c r="D905" s="75">
        <f>IFERROR(__xludf.DUMMYFUNCTION("""COMPUTED_VALUE"""),0.0)</f>
        <v>0</v>
      </c>
      <c r="E905" s="64"/>
      <c r="F905" s="95"/>
      <c r="G905" s="96"/>
      <c r="H905" s="64"/>
      <c r="I905" s="64"/>
      <c r="J905" s="64"/>
      <c r="K905" s="64"/>
      <c r="L905" s="64"/>
    </row>
    <row r="906" ht="16.5" customHeight="1">
      <c r="A906" s="64"/>
      <c r="B906" s="80" t="s">
        <v>18249</v>
      </c>
      <c r="C906" s="81" t="str">
        <f>IFERROR(__xludf.DUMMYFUNCTION("""COMPUTED_VALUE"""),"Patrici06779076")</f>
        <v>Patrici06779076</v>
      </c>
      <c r="D906" s="75">
        <f>IFERROR(__xludf.DUMMYFUNCTION("""COMPUTED_VALUE"""),0.0)</f>
        <v>0</v>
      </c>
      <c r="E906" s="64"/>
      <c r="F906" s="95"/>
      <c r="G906" s="96"/>
      <c r="H906" s="64"/>
      <c r="I906" s="64"/>
      <c r="J906" s="64"/>
      <c r="K906" s="64"/>
      <c r="L906" s="64"/>
    </row>
    <row r="907" ht="16.5" customHeight="1">
      <c r="A907" s="64"/>
      <c r="B907" s="80" t="s">
        <v>18249</v>
      </c>
      <c r="C907" s="81" t="str">
        <f>IFERROR(__xludf.DUMMYFUNCTION("""COMPUTED_VALUE"""),"Patrici10534981")</f>
        <v>Patrici10534981</v>
      </c>
      <c r="D907" s="75">
        <f>IFERROR(__xludf.DUMMYFUNCTION("""COMPUTED_VALUE"""),0.0)</f>
        <v>0</v>
      </c>
      <c r="E907" s="64"/>
      <c r="F907" s="95"/>
      <c r="G907" s="96"/>
      <c r="H907" s="64"/>
      <c r="I907" s="64"/>
      <c r="J907" s="64"/>
      <c r="K907" s="64"/>
      <c r="L907" s="64"/>
    </row>
    <row r="908" ht="16.5" customHeight="1">
      <c r="A908" s="64"/>
      <c r="B908" s="80" t="s">
        <v>18249</v>
      </c>
      <c r="C908" s="81" t="str">
        <f>IFERROR(__xludf.DUMMYFUNCTION("""COMPUTED_VALUE"""),"Patrici89225734")</f>
        <v>Patrici89225734</v>
      </c>
      <c r="D908" s="75">
        <f>IFERROR(__xludf.DUMMYFUNCTION("""COMPUTED_VALUE"""),0.0)</f>
        <v>0</v>
      </c>
      <c r="E908" s="64"/>
      <c r="F908" s="95"/>
      <c r="G908" s="96"/>
      <c r="H908" s="64"/>
      <c r="I908" s="64"/>
      <c r="J908" s="64"/>
      <c r="K908" s="64"/>
      <c r="L908" s="64"/>
    </row>
    <row r="909" ht="16.5" customHeight="1">
      <c r="A909" s="64"/>
      <c r="B909" s="80" t="s">
        <v>18249</v>
      </c>
      <c r="C909" s="81" t="str">
        <f>IFERROR(__xludf.DUMMYFUNCTION("""COMPUTED_VALUE"""),"PatrickFbpe")</f>
        <v>PatrickFbpe</v>
      </c>
      <c r="D909" s="75">
        <f>IFERROR(__xludf.DUMMYFUNCTION("""COMPUTED_VALUE"""),0.0)</f>
        <v>0</v>
      </c>
      <c r="E909" s="64"/>
      <c r="F909" s="95"/>
      <c r="G909" s="96"/>
      <c r="H909" s="64"/>
      <c r="I909" s="64"/>
      <c r="J909" s="64"/>
      <c r="K909" s="64"/>
      <c r="L909" s="64"/>
    </row>
    <row r="910" ht="16.5" customHeight="1">
      <c r="A910" s="64"/>
      <c r="B910" s="80" t="s">
        <v>18249</v>
      </c>
      <c r="C910" s="81" t="str">
        <f>IFERROR(__xludf.DUMMYFUNCTION("""COMPUTED_VALUE"""),"PatrickJervis")</f>
        <v>PatrickJervis</v>
      </c>
      <c r="D910" s="75">
        <f>IFERROR(__xludf.DUMMYFUNCTION("""COMPUTED_VALUE"""),0.0)</f>
        <v>0</v>
      </c>
      <c r="E910" s="64"/>
      <c r="F910" s="95"/>
      <c r="G910" s="96"/>
      <c r="H910" s="64"/>
      <c r="I910" s="64"/>
      <c r="J910" s="64"/>
      <c r="K910" s="64"/>
      <c r="L910" s="64"/>
    </row>
    <row r="911" ht="16.5" customHeight="1">
      <c r="A911" s="64"/>
      <c r="B911" s="80" t="s">
        <v>18249</v>
      </c>
      <c r="C911" s="81" t="str">
        <f>IFERROR(__xludf.DUMMYFUNCTION("""COMPUTED_VALUE"""),"PatrickMDHunter")</f>
        <v>PatrickMDHunter</v>
      </c>
      <c r="D911" s="75">
        <f>IFERROR(__xludf.DUMMYFUNCTION("""COMPUTED_VALUE"""),0.0)</f>
        <v>0</v>
      </c>
      <c r="E911" s="64"/>
      <c r="F911" s="95"/>
      <c r="G911" s="96"/>
      <c r="H911" s="64"/>
      <c r="I911" s="64"/>
      <c r="J911" s="64"/>
      <c r="K911" s="64"/>
      <c r="L911" s="64"/>
    </row>
    <row r="912" ht="16.5" customHeight="1">
      <c r="A912" s="64"/>
      <c r="B912" s="80" t="s">
        <v>18249</v>
      </c>
      <c r="C912" s="81" t="str">
        <f>IFERROR(__xludf.DUMMYFUNCTION("""COMPUTED_VALUE"""),"Patthedog5")</f>
        <v>Patthedog5</v>
      </c>
      <c r="D912" s="75">
        <f>IFERROR(__xludf.DUMMYFUNCTION("""COMPUTED_VALUE"""),0.0)</f>
        <v>0</v>
      </c>
      <c r="E912" s="64"/>
      <c r="F912" s="95"/>
      <c r="G912" s="96"/>
      <c r="H912" s="64"/>
      <c r="I912" s="64"/>
      <c r="J912" s="64"/>
      <c r="K912" s="64"/>
      <c r="L912" s="64"/>
    </row>
    <row r="913" ht="16.5" customHeight="1">
      <c r="A913" s="64"/>
      <c r="B913" s="80" t="s">
        <v>18249</v>
      </c>
      <c r="C913" s="81" t="str">
        <f>IFERROR(__xludf.DUMMYFUNCTION("""COMPUTED_VALUE"""),"Paul62186251")</f>
        <v>Paul62186251</v>
      </c>
      <c r="D913" s="75">
        <f>IFERROR(__xludf.DUMMYFUNCTION("""COMPUTED_VALUE"""),0.0)</f>
        <v>0</v>
      </c>
      <c r="E913" s="64"/>
      <c r="F913" s="95"/>
      <c r="G913" s="96"/>
      <c r="H913" s="64"/>
      <c r="I913" s="64"/>
      <c r="J913" s="64"/>
      <c r="K913" s="64"/>
      <c r="L913" s="64"/>
    </row>
    <row r="914" ht="16.5" customHeight="1">
      <c r="A914" s="64"/>
      <c r="B914" s="80" t="s">
        <v>18249</v>
      </c>
      <c r="C914" s="81" t="str">
        <f>IFERROR(__xludf.DUMMYFUNCTION("""COMPUTED_VALUE"""),"Paul63B")</f>
        <v>Paul63B</v>
      </c>
      <c r="D914" s="75">
        <f>IFERROR(__xludf.DUMMYFUNCTION("""COMPUTED_VALUE"""),0.0)</f>
        <v>0</v>
      </c>
      <c r="E914" s="64"/>
      <c r="F914" s="95"/>
      <c r="G914" s="96"/>
      <c r="H914" s="64"/>
      <c r="I914" s="64"/>
      <c r="J914" s="64"/>
      <c r="K914" s="64"/>
      <c r="L914" s="64"/>
    </row>
    <row r="915" ht="16.5" customHeight="1">
      <c r="A915" s="64"/>
      <c r="B915" s="80" t="s">
        <v>18249</v>
      </c>
      <c r="C915" s="81" t="str">
        <f>IFERROR(__xludf.DUMMYFUNCTION("""COMPUTED_VALUE"""),"PaulCary")</f>
        <v>PaulCary</v>
      </c>
      <c r="D915" s="75">
        <f>IFERROR(__xludf.DUMMYFUNCTION("""COMPUTED_VALUE"""),0.0)</f>
        <v>0</v>
      </c>
      <c r="E915" s="64"/>
      <c r="F915" s="95"/>
      <c r="G915" s="96"/>
      <c r="H915" s="64"/>
      <c r="I915" s="64"/>
      <c r="J915" s="64"/>
      <c r="K915" s="64"/>
      <c r="L915" s="64"/>
    </row>
    <row r="916" ht="16.5" customHeight="1">
      <c r="A916" s="64"/>
      <c r="B916" s="80" t="s">
        <v>18249</v>
      </c>
      <c r="C916" s="81" t="str">
        <f>IFERROR(__xludf.DUMMYFUNCTION("""COMPUTED_VALUE"""),"PaulGir80767244")</f>
        <v>PaulGir80767244</v>
      </c>
      <c r="D916" s="75">
        <f>IFERROR(__xludf.DUMMYFUNCTION("""COMPUTED_VALUE"""),0.0)</f>
        <v>0</v>
      </c>
      <c r="E916" s="64"/>
      <c r="F916" s="95"/>
      <c r="G916" s="96"/>
      <c r="H916" s="64"/>
      <c r="I916" s="64"/>
      <c r="J916" s="64"/>
      <c r="K916" s="64"/>
      <c r="L916" s="64"/>
    </row>
    <row r="917" ht="16.5" customHeight="1">
      <c r="A917" s="64"/>
      <c r="B917" s="80" t="s">
        <v>18249</v>
      </c>
      <c r="C917" s="81" t="str">
        <f>IFERROR(__xludf.DUMMYFUNCTION("""COMPUTED_VALUE"""),"PaulGosling1")</f>
        <v>PaulGosling1</v>
      </c>
      <c r="D917" s="75">
        <f>IFERROR(__xludf.DUMMYFUNCTION("""COMPUTED_VALUE"""),0.0)</f>
        <v>0</v>
      </c>
      <c r="E917" s="64"/>
      <c r="F917" s="95"/>
      <c r="G917" s="96"/>
      <c r="H917" s="64"/>
      <c r="I917" s="64"/>
      <c r="J917" s="64"/>
      <c r="K917" s="64"/>
      <c r="L917" s="64"/>
    </row>
    <row r="918" ht="16.5" customHeight="1">
      <c r="A918" s="64"/>
      <c r="B918" s="80" t="s">
        <v>18249</v>
      </c>
      <c r="C918" s="81" t="str">
        <f>IFERROR(__xludf.DUMMYFUNCTION("""COMPUTED_VALUE"""),"PaulHawes")</f>
        <v>PaulHawes</v>
      </c>
      <c r="D918" s="75">
        <f>IFERROR(__xludf.DUMMYFUNCTION("""COMPUTED_VALUE"""),0.0)</f>
        <v>0</v>
      </c>
      <c r="E918" s="64"/>
      <c r="F918" s="95"/>
      <c r="G918" s="96"/>
      <c r="H918" s="64"/>
      <c r="I918" s="64"/>
      <c r="J918" s="64"/>
      <c r="K918" s="64"/>
      <c r="L918" s="64"/>
    </row>
    <row r="919" ht="16.5" customHeight="1">
      <c r="A919" s="64"/>
      <c r="B919" s="80" t="s">
        <v>18249</v>
      </c>
      <c r="C919" s="81" t="str">
        <f>IFERROR(__xludf.DUMMYFUNCTION("""COMPUTED_VALUE"""),"PaulHug16804663")</f>
        <v>PaulHug16804663</v>
      </c>
      <c r="D919" s="75">
        <f>IFERROR(__xludf.DUMMYFUNCTION("""COMPUTED_VALUE"""),0.0)</f>
        <v>0</v>
      </c>
      <c r="E919" s="64"/>
      <c r="F919" s="95"/>
      <c r="G919" s="96"/>
      <c r="H919" s="64"/>
      <c r="I919" s="64"/>
      <c r="J919" s="64"/>
      <c r="K919" s="64"/>
      <c r="L919" s="64"/>
    </row>
    <row r="920" ht="16.5" customHeight="1">
      <c r="A920" s="64"/>
      <c r="B920" s="80" t="s">
        <v>18249</v>
      </c>
      <c r="C920" s="81" t="str">
        <f>IFERROR(__xludf.DUMMYFUNCTION("""COMPUTED_VALUE"""),"PaulWhelan745")</f>
        <v>PaulWhelan745</v>
      </c>
      <c r="D920" s="75">
        <f>IFERROR(__xludf.DUMMYFUNCTION("""COMPUTED_VALUE"""),0.0)</f>
        <v>0</v>
      </c>
      <c r="E920" s="64"/>
      <c r="F920" s="95"/>
      <c r="G920" s="96"/>
      <c r="H920" s="64"/>
      <c r="I920" s="64"/>
      <c r="J920" s="64"/>
      <c r="K920" s="64"/>
      <c r="L920" s="64"/>
    </row>
    <row r="921" ht="16.5" customHeight="1">
      <c r="A921" s="64"/>
      <c r="B921" s="80" t="s">
        <v>18249</v>
      </c>
      <c r="C921" s="81" t="str">
        <f>IFERROR(__xludf.DUMMYFUNCTION("""COMPUTED_VALUE"""),"PaulWyatt2")</f>
        <v>PaulWyatt2</v>
      </c>
      <c r="D921" s="75">
        <f>IFERROR(__xludf.DUMMYFUNCTION("""COMPUTED_VALUE"""),0.0)</f>
        <v>0</v>
      </c>
      <c r="E921" s="64"/>
      <c r="F921" s="95"/>
      <c r="G921" s="96"/>
      <c r="H921" s="64"/>
      <c r="I921" s="64"/>
      <c r="J921" s="64"/>
      <c r="K921" s="64"/>
      <c r="L921" s="64"/>
    </row>
    <row r="922" ht="16.5" customHeight="1">
      <c r="A922" s="64"/>
      <c r="B922" s="80" t="s">
        <v>18249</v>
      </c>
      <c r="C922" s="81" t="str">
        <f>IFERROR(__xludf.DUMMYFUNCTION("""COMPUTED_VALUE"""),"Paultomlin8")</f>
        <v>Paultomlin8</v>
      </c>
      <c r="D922" s="75">
        <f>IFERROR(__xludf.DUMMYFUNCTION("""COMPUTED_VALUE"""),0.0)</f>
        <v>0</v>
      </c>
      <c r="E922" s="64"/>
      <c r="F922" s="95"/>
      <c r="G922" s="96"/>
      <c r="H922" s="64"/>
      <c r="I922" s="64"/>
      <c r="J922" s="64"/>
      <c r="K922" s="64"/>
      <c r="L922" s="64"/>
    </row>
    <row r="923" ht="16.5" customHeight="1">
      <c r="A923" s="64"/>
      <c r="B923" s="80" t="s">
        <v>18249</v>
      </c>
      <c r="C923" s="81" t="str">
        <f>IFERROR(__xludf.DUMMYFUNCTION("""COMPUTED_VALUE"""),"PedalTrill")</f>
        <v>PedalTrill</v>
      </c>
      <c r="D923" s="75">
        <f>IFERROR(__xludf.DUMMYFUNCTION("""COMPUTED_VALUE"""),0.0)</f>
        <v>0</v>
      </c>
      <c r="E923" s="64"/>
      <c r="F923" s="95"/>
      <c r="G923" s="96"/>
      <c r="H923" s="64"/>
      <c r="I923" s="64"/>
      <c r="J923" s="64"/>
      <c r="K923" s="64"/>
      <c r="L923" s="64"/>
    </row>
    <row r="924" ht="16.5" customHeight="1">
      <c r="A924" s="64"/>
      <c r="B924" s="80" t="s">
        <v>18249</v>
      </c>
      <c r="C924" s="81" t="str">
        <f>IFERROR(__xludf.DUMMYFUNCTION("""COMPUTED_VALUE"""),"PerformMonkey")</f>
        <v>PerformMonkey</v>
      </c>
      <c r="D924" s="75">
        <f>IFERROR(__xludf.DUMMYFUNCTION("""COMPUTED_VALUE"""),0.0)</f>
        <v>0</v>
      </c>
      <c r="E924" s="64"/>
      <c r="F924" s="95"/>
      <c r="G924" s="96"/>
      <c r="H924" s="64"/>
      <c r="I924" s="64"/>
      <c r="J924" s="64"/>
      <c r="K924" s="64"/>
      <c r="L924" s="64"/>
    </row>
    <row r="925" ht="16.5" customHeight="1">
      <c r="A925" s="64"/>
      <c r="B925" s="80" t="s">
        <v>18249</v>
      </c>
      <c r="C925" s="81" t="str">
        <f>IFERROR(__xludf.DUMMYFUNCTION("""COMPUTED_VALUE"""),"PeritaRisus")</f>
        <v>PeritaRisus</v>
      </c>
      <c r="D925" s="75">
        <f>IFERROR(__xludf.DUMMYFUNCTION("""COMPUTED_VALUE"""),0.0)</f>
        <v>0</v>
      </c>
      <c r="E925" s="64"/>
      <c r="F925" s="95"/>
      <c r="G925" s="96"/>
      <c r="H925" s="64"/>
      <c r="I925" s="64"/>
      <c r="J925" s="64"/>
      <c r="K925" s="64"/>
      <c r="L925" s="64"/>
    </row>
    <row r="926" ht="16.5" customHeight="1">
      <c r="A926" s="64"/>
      <c r="B926" s="80" t="s">
        <v>18249</v>
      </c>
      <c r="C926" s="81" t="str">
        <f>IFERROR(__xludf.DUMMYFUNCTION("""COMPUTED_VALUE"""),"Permanentcuriou")</f>
        <v>Permanentcuriou</v>
      </c>
      <c r="D926" s="75">
        <f>IFERROR(__xludf.DUMMYFUNCTION("""COMPUTED_VALUE"""),0.0)</f>
        <v>0</v>
      </c>
      <c r="E926" s="64"/>
      <c r="F926" s="95"/>
      <c r="G926" s="96"/>
      <c r="H926" s="64"/>
      <c r="I926" s="64"/>
      <c r="J926" s="64"/>
      <c r="K926" s="64"/>
      <c r="L926" s="64"/>
    </row>
    <row r="927" ht="16.5" customHeight="1">
      <c r="A927" s="64"/>
      <c r="B927" s="80" t="s">
        <v>18249</v>
      </c>
      <c r="C927" s="81" t="str">
        <f>IFERROR(__xludf.DUMMYFUNCTION("""COMPUTED_VALUE"""),"PeteBeech1")</f>
        <v>PeteBeech1</v>
      </c>
      <c r="D927" s="75">
        <f>IFERROR(__xludf.DUMMYFUNCTION("""COMPUTED_VALUE"""),0.0)</f>
        <v>0</v>
      </c>
      <c r="E927" s="64"/>
      <c r="F927" s="95"/>
      <c r="G927" s="96"/>
      <c r="H927" s="64"/>
      <c r="I927" s="64"/>
      <c r="J927" s="64"/>
      <c r="K927" s="64"/>
      <c r="L927" s="64"/>
    </row>
    <row r="928" ht="16.5" customHeight="1">
      <c r="A928" s="64"/>
      <c r="B928" s="80" t="s">
        <v>18249</v>
      </c>
      <c r="C928" s="81" t="str">
        <f>IFERROR(__xludf.DUMMYFUNCTION("""COMPUTED_VALUE"""),"PeteSKingston")</f>
        <v>PeteSKingston</v>
      </c>
      <c r="D928" s="75">
        <f>IFERROR(__xludf.DUMMYFUNCTION("""COMPUTED_VALUE"""),0.0)</f>
        <v>0</v>
      </c>
      <c r="E928" s="64"/>
      <c r="F928" s="95"/>
      <c r="G928" s="96"/>
      <c r="H928" s="64"/>
      <c r="I928" s="64"/>
      <c r="J928" s="64"/>
      <c r="K928" s="64"/>
      <c r="L928" s="64"/>
    </row>
    <row r="929" ht="16.5" customHeight="1">
      <c r="A929" s="64"/>
      <c r="B929" s="80" t="s">
        <v>18249</v>
      </c>
      <c r="C929" s="81" t="str">
        <f>IFERROR(__xludf.DUMMYFUNCTION("""COMPUTED_VALUE"""),"Peter24P")</f>
        <v>Peter24P</v>
      </c>
      <c r="D929" s="75">
        <f>IFERROR(__xludf.DUMMYFUNCTION("""COMPUTED_VALUE"""),0.0)</f>
        <v>0</v>
      </c>
      <c r="E929" s="64"/>
      <c r="F929" s="95"/>
      <c r="G929" s="96"/>
      <c r="H929" s="64"/>
      <c r="I929" s="64"/>
      <c r="J929" s="64"/>
      <c r="K929" s="64"/>
      <c r="L929" s="64"/>
    </row>
    <row r="930" ht="16.5" customHeight="1">
      <c r="A930" s="64"/>
      <c r="B930" s="80" t="s">
        <v>18249</v>
      </c>
      <c r="C930" s="81" t="str">
        <f>IFERROR(__xludf.DUMMYFUNCTION("""COMPUTED_VALUE"""),"PeterKenyon")</f>
        <v>PeterKenyon</v>
      </c>
      <c r="D930" s="75">
        <f>IFERROR(__xludf.DUMMYFUNCTION("""COMPUTED_VALUE"""),0.0)</f>
        <v>0</v>
      </c>
      <c r="E930" s="64"/>
      <c r="F930" s="95"/>
      <c r="G930" s="96"/>
      <c r="H930" s="64"/>
      <c r="I930" s="64"/>
      <c r="J930" s="64"/>
      <c r="K930" s="64"/>
      <c r="L930" s="64"/>
    </row>
    <row r="931" ht="16.5" customHeight="1">
      <c r="A931" s="64"/>
      <c r="B931" s="80" t="s">
        <v>18249</v>
      </c>
      <c r="C931" s="81" t="str">
        <f>IFERROR(__xludf.DUMMYFUNCTION("""COMPUTED_VALUE"""),"PeterTelford")</f>
        <v>PeterTelford</v>
      </c>
      <c r="D931" s="75">
        <f>IFERROR(__xludf.DUMMYFUNCTION("""COMPUTED_VALUE"""),0.0)</f>
        <v>0</v>
      </c>
      <c r="E931" s="64"/>
      <c r="F931" s="95"/>
      <c r="G931" s="96"/>
      <c r="H931" s="64"/>
      <c r="I931" s="64"/>
      <c r="J931" s="64"/>
      <c r="K931" s="64"/>
      <c r="L931" s="64"/>
    </row>
    <row r="932" ht="16.5" customHeight="1">
      <c r="A932" s="64"/>
      <c r="B932" s="80" t="s">
        <v>18249</v>
      </c>
      <c r="C932" s="81" t="str">
        <f>IFERROR(__xludf.DUMMYFUNCTION("""COMPUTED_VALUE"""),"PeterWi19446290")</f>
        <v>PeterWi19446290</v>
      </c>
      <c r="D932" s="75">
        <f>IFERROR(__xludf.DUMMYFUNCTION("""COMPUTED_VALUE"""),0.0)</f>
        <v>0</v>
      </c>
      <c r="E932" s="64"/>
      <c r="F932" s="95"/>
      <c r="G932" s="96"/>
      <c r="H932" s="64"/>
      <c r="I932" s="64"/>
      <c r="J932" s="64"/>
      <c r="K932" s="64"/>
      <c r="L932" s="64"/>
    </row>
    <row r="933" ht="16.5" customHeight="1">
      <c r="A933" s="64"/>
      <c r="B933" s="80" t="s">
        <v>18249</v>
      </c>
      <c r="C933" s="81" t="str">
        <f>IFERROR(__xludf.DUMMYFUNCTION("""COMPUTED_VALUE"""),"PettingerAndrew")</f>
        <v>PettingerAndrew</v>
      </c>
      <c r="D933" s="75">
        <f>IFERROR(__xludf.DUMMYFUNCTION("""COMPUTED_VALUE"""),0.0)</f>
        <v>0</v>
      </c>
      <c r="E933" s="64"/>
      <c r="F933" s="95"/>
      <c r="G933" s="96"/>
      <c r="H933" s="64"/>
      <c r="I933" s="64"/>
      <c r="J933" s="64"/>
      <c r="K933" s="64"/>
      <c r="L933" s="64"/>
    </row>
    <row r="934" ht="16.5" customHeight="1">
      <c r="A934" s="64"/>
      <c r="B934" s="80" t="s">
        <v>18249</v>
      </c>
      <c r="C934" s="81" t="str">
        <f>IFERROR(__xludf.DUMMYFUNCTION("""COMPUTED_VALUE"""),"Pgb266")</f>
        <v>Pgb266</v>
      </c>
      <c r="D934" s="75">
        <f>IFERROR(__xludf.DUMMYFUNCTION("""COMPUTED_VALUE"""),0.0)</f>
        <v>0</v>
      </c>
      <c r="E934" s="64"/>
      <c r="F934" s="95"/>
      <c r="G934" s="96"/>
      <c r="H934" s="64"/>
      <c r="I934" s="64"/>
      <c r="J934" s="64"/>
      <c r="K934" s="64"/>
      <c r="L934" s="64"/>
    </row>
    <row r="935" ht="16.5" customHeight="1">
      <c r="A935" s="64"/>
      <c r="B935" s="80" t="s">
        <v>18249</v>
      </c>
      <c r="C935" s="81" t="str">
        <f>IFERROR(__xludf.DUMMYFUNCTION("""COMPUTED_VALUE"""),"PhilDuck")</f>
        <v>PhilDuck</v>
      </c>
      <c r="D935" s="75">
        <f>IFERROR(__xludf.DUMMYFUNCTION("""COMPUTED_VALUE"""),0.0)</f>
        <v>0</v>
      </c>
      <c r="E935" s="64"/>
      <c r="F935" s="95"/>
      <c r="G935" s="96"/>
      <c r="H935" s="64"/>
      <c r="I935" s="64"/>
      <c r="J935" s="64"/>
      <c r="K935" s="64"/>
      <c r="L935" s="64"/>
    </row>
    <row r="936" ht="16.5" customHeight="1">
      <c r="A936" s="64"/>
      <c r="B936" s="80" t="s">
        <v>18249</v>
      </c>
      <c r="C936" s="81" t="str">
        <f>IFERROR(__xludf.DUMMYFUNCTION("""COMPUTED_VALUE"""),"PhilKimby")</f>
        <v>PhilKimby</v>
      </c>
      <c r="D936" s="75">
        <f>IFERROR(__xludf.DUMMYFUNCTION("""COMPUTED_VALUE"""),0.0)</f>
        <v>0</v>
      </c>
      <c r="E936" s="64"/>
      <c r="F936" s="95"/>
      <c r="G936" s="96"/>
      <c r="H936" s="64"/>
      <c r="I936" s="64"/>
      <c r="J936" s="64"/>
      <c r="K936" s="64"/>
      <c r="L936" s="64"/>
    </row>
    <row r="937" ht="16.5" customHeight="1">
      <c r="A937" s="64"/>
      <c r="B937" s="80" t="s">
        <v>18249</v>
      </c>
      <c r="C937" s="81" t="str">
        <f>IFERROR(__xludf.DUMMYFUNCTION("""COMPUTED_VALUE"""),"PhilMorandi")</f>
        <v>PhilMorandi</v>
      </c>
      <c r="D937" s="75">
        <f>IFERROR(__xludf.DUMMYFUNCTION("""COMPUTED_VALUE"""),0.0)</f>
        <v>0</v>
      </c>
      <c r="E937" s="64"/>
      <c r="F937" s="95"/>
      <c r="G937" s="96"/>
      <c r="H937" s="64"/>
      <c r="I937" s="64"/>
      <c r="J937" s="64"/>
      <c r="K937" s="64"/>
      <c r="L937" s="64"/>
    </row>
    <row r="938" ht="16.5" customHeight="1">
      <c r="A938" s="64"/>
      <c r="B938" s="80" t="s">
        <v>18249</v>
      </c>
      <c r="C938" s="81" t="str">
        <f>IFERROR(__xludf.DUMMYFUNCTION("""COMPUTED_VALUE"""),"PhilipB27707256")</f>
        <v>PhilipB27707256</v>
      </c>
      <c r="D938" s="75">
        <f>IFERROR(__xludf.DUMMYFUNCTION("""COMPUTED_VALUE"""),0.0)</f>
        <v>0</v>
      </c>
      <c r="E938" s="64"/>
      <c r="F938" s="95"/>
      <c r="G938" s="96"/>
      <c r="H938" s="64"/>
      <c r="I938" s="64"/>
      <c r="J938" s="64"/>
      <c r="K938" s="64"/>
      <c r="L938" s="64"/>
    </row>
    <row r="939" ht="16.5" customHeight="1">
      <c r="A939" s="64"/>
      <c r="B939" s="80" t="s">
        <v>18249</v>
      </c>
      <c r="C939" s="81" t="str">
        <f>IFERROR(__xludf.DUMMYFUNCTION("""COMPUTED_VALUE"""),"PhillipsBarrie")</f>
        <v>PhillipsBarrie</v>
      </c>
      <c r="D939" s="75">
        <f>IFERROR(__xludf.DUMMYFUNCTION("""COMPUTED_VALUE"""),0.0)</f>
        <v>0</v>
      </c>
      <c r="E939" s="64"/>
      <c r="F939" s="95"/>
      <c r="G939" s="96"/>
      <c r="H939" s="64"/>
      <c r="I939" s="64"/>
      <c r="J939" s="64"/>
      <c r="K939" s="64"/>
      <c r="L939" s="64"/>
    </row>
    <row r="940" ht="16.5" customHeight="1">
      <c r="A940" s="64"/>
      <c r="B940" s="80" t="s">
        <v>18249</v>
      </c>
      <c r="C940" s="81" t="str">
        <f>IFERROR(__xludf.DUMMYFUNCTION("""COMPUTED_VALUE"""),"PhilomenaColl11")</f>
        <v>PhilomenaColl11</v>
      </c>
      <c r="D940" s="75">
        <f>IFERROR(__xludf.DUMMYFUNCTION("""COMPUTED_VALUE"""),0.0)</f>
        <v>0</v>
      </c>
      <c r="E940" s="64"/>
      <c r="F940" s="95"/>
      <c r="G940" s="96"/>
      <c r="H940" s="64"/>
      <c r="I940" s="64"/>
      <c r="J940" s="64"/>
      <c r="K940" s="64"/>
      <c r="L940" s="64"/>
    </row>
    <row r="941" ht="16.5" customHeight="1">
      <c r="A941" s="64"/>
      <c r="B941" s="80" t="s">
        <v>18249</v>
      </c>
      <c r="C941" s="81" t="str">
        <f>IFERROR(__xludf.DUMMYFUNCTION("""COMPUTED_VALUE"""),"Philpaulbert")</f>
        <v>Philpaulbert</v>
      </c>
      <c r="D941" s="75">
        <f>IFERROR(__xludf.DUMMYFUNCTION("""COMPUTED_VALUE"""),0.0)</f>
        <v>0</v>
      </c>
      <c r="E941" s="64"/>
      <c r="F941" s="95"/>
      <c r="G941" s="96"/>
      <c r="H941" s="64"/>
      <c r="I941" s="64"/>
      <c r="J941" s="64"/>
      <c r="K941" s="64"/>
      <c r="L941" s="64"/>
    </row>
    <row r="942" ht="16.5" customHeight="1">
      <c r="A942" s="64"/>
      <c r="B942" s="80" t="s">
        <v>18249</v>
      </c>
      <c r="C942" s="81" t="str">
        <f>IFERROR(__xludf.DUMMYFUNCTION("""COMPUTED_VALUE"""),"Phoeboise")</f>
        <v>Phoeboise</v>
      </c>
      <c r="D942" s="75">
        <f>IFERROR(__xludf.DUMMYFUNCTION("""COMPUTED_VALUE"""),0.0)</f>
        <v>0</v>
      </c>
      <c r="E942" s="64"/>
      <c r="F942" s="95"/>
      <c r="G942" s="96"/>
      <c r="H942" s="64"/>
      <c r="I942" s="64"/>
      <c r="J942" s="64"/>
      <c r="K942" s="64"/>
      <c r="L942" s="64"/>
    </row>
    <row r="943" ht="16.5" customHeight="1">
      <c r="A943" s="64"/>
      <c r="B943" s="80" t="s">
        <v>18249</v>
      </c>
      <c r="C943" s="81" t="str">
        <f>IFERROR(__xludf.DUMMYFUNCTION("""COMPUTED_VALUE"""),"Picss3o")</f>
        <v>Picss3o</v>
      </c>
      <c r="D943" s="75">
        <f>IFERROR(__xludf.DUMMYFUNCTION("""COMPUTED_VALUE"""),0.0)</f>
        <v>0</v>
      </c>
      <c r="E943" s="64"/>
      <c r="F943" s="95"/>
      <c r="G943" s="96"/>
      <c r="H943" s="64"/>
      <c r="I943" s="64"/>
      <c r="J943" s="64"/>
      <c r="K943" s="64"/>
      <c r="L943" s="64"/>
    </row>
    <row r="944" ht="16.5" customHeight="1">
      <c r="A944" s="64"/>
      <c r="B944" s="80" t="s">
        <v>18249</v>
      </c>
      <c r="C944" s="81" t="str">
        <f>IFERROR(__xludf.DUMMYFUNCTION("""COMPUTED_VALUE"""),"Pictav")</f>
        <v>Pictav</v>
      </c>
      <c r="D944" s="75">
        <f>IFERROR(__xludf.DUMMYFUNCTION("""COMPUTED_VALUE"""),0.0)</f>
        <v>0</v>
      </c>
      <c r="E944" s="64"/>
      <c r="F944" s="95"/>
      <c r="G944" s="96"/>
      <c r="H944" s="64"/>
      <c r="I944" s="64"/>
      <c r="J944" s="64"/>
      <c r="K944" s="64"/>
      <c r="L944" s="64"/>
    </row>
    <row r="945" ht="16.5" customHeight="1">
      <c r="A945" s="64"/>
      <c r="B945" s="80" t="s">
        <v>18249</v>
      </c>
      <c r="C945" s="81" t="str">
        <f>IFERROR(__xludf.DUMMYFUNCTION("""COMPUTED_VALUE"""),"Pierre_Ka")</f>
        <v>Pierre_Ka</v>
      </c>
      <c r="D945" s="75">
        <f>IFERROR(__xludf.DUMMYFUNCTION("""COMPUTED_VALUE"""),0.0)</f>
        <v>0</v>
      </c>
      <c r="E945" s="64"/>
      <c r="F945" s="95"/>
      <c r="G945" s="96"/>
      <c r="H945" s="64"/>
      <c r="I945" s="64"/>
      <c r="J945" s="64"/>
      <c r="K945" s="64"/>
      <c r="L945" s="64"/>
    </row>
    <row r="946" ht="16.5" customHeight="1">
      <c r="A946" s="64"/>
      <c r="B946" s="80" t="s">
        <v>18249</v>
      </c>
      <c r="C946" s="81" t="str">
        <f>IFERROR(__xludf.DUMMYFUNCTION("""COMPUTED_VALUE"""),"PippaLeeuwen")</f>
        <v>PippaLeeuwen</v>
      </c>
      <c r="D946" s="75">
        <f>IFERROR(__xludf.DUMMYFUNCTION("""COMPUTED_VALUE"""),0.0)</f>
        <v>0</v>
      </c>
      <c r="E946" s="64"/>
      <c r="F946" s="95"/>
      <c r="G946" s="96"/>
      <c r="H946" s="64"/>
      <c r="I946" s="64"/>
      <c r="J946" s="64"/>
      <c r="K946" s="64"/>
      <c r="L946" s="64"/>
    </row>
    <row r="947" ht="16.5" customHeight="1">
      <c r="A947" s="64"/>
      <c r="B947" s="80" t="s">
        <v>18249</v>
      </c>
      <c r="C947" s="81" t="str">
        <f>IFERROR(__xludf.DUMMYFUNCTION("""COMPUTED_VALUE"""),"Pjacksdelacour")</f>
        <v>Pjacksdelacour</v>
      </c>
      <c r="D947" s="75">
        <f>IFERROR(__xludf.DUMMYFUNCTION("""COMPUTED_VALUE"""),0.0)</f>
        <v>0</v>
      </c>
      <c r="E947" s="64"/>
      <c r="F947" s="95"/>
      <c r="G947" s="96"/>
      <c r="H947" s="64"/>
      <c r="I947" s="64"/>
      <c r="J947" s="64"/>
      <c r="K947" s="64"/>
      <c r="L947" s="64"/>
    </row>
    <row r="948" ht="16.5" customHeight="1">
      <c r="A948" s="64"/>
      <c r="B948" s="80" t="s">
        <v>18249</v>
      </c>
      <c r="C948" s="81" t="str">
        <f>IFERROR(__xludf.DUMMYFUNCTION("""COMPUTED_VALUE"""),"Pokerspace1")</f>
        <v>Pokerspace1</v>
      </c>
      <c r="D948" s="75">
        <f>IFERROR(__xludf.DUMMYFUNCTION("""COMPUTED_VALUE"""),0.0)</f>
        <v>0</v>
      </c>
      <c r="E948" s="64"/>
      <c r="F948" s="95"/>
      <c r="G948" s="96"/>
      <c r="H948" s="64"/>
      <c r="I948" s="64"/>
      <c r="J948" s="64"/>
      <c r="K948" s="64"/>
      <c r="L948" s="64"/>
    </row>
    <row r="949" ht="16.5" customHeight="1">
      <c r="A949" s="64"/>
      <c r="B949" s="80" t="s">
        <v>18249</v>
      </c>
      <c r="C949" s="81" t="str">
        <f>IFERROR(__xludf.DUMMYFUNCTION("""COMPUTED_VALUE"""),"PoliticalPaddy")</f>
        <v>PoliticalPaddy</v>
      </c>
      <c r="D949" s="75">
        <f>IFERROR(__xludf.DUMMYFUNCTION("""COMPUTED_VALUE"""),0.0)</f>
        <v>0</v>
      </c>
      <c r="E949" s="64"/>
      <c r="F949" s="95"/>
      <c r="G949" s="96"/>
      <c r="H949" s="64"/>
      <c r="I949" s="64"/>
      <c r="J949" s="64"/>
      <c r="K949" s="64"/>
      <c r="L949" s="64"/>
    </row>
    <row r="950" ht="16.5" customHeight="1">
      <c r="A950" s="64"/>
      <c r="B950" s="80" t="s">
        <v>18249</v>
      </c>
      <c r="C950" s="81" t="str">
        <f>IFERROR(__xludf.DUMMYFUNCTION("""COMPUTED_VALUE"""),"Ponkbutler")</f>
        <v>Ponkbutler</v>
      </c>
      <c r="D950" s="75">
        <f>IFERROR(__xludf.DUMMYFUNCTION("""COMPUTED_VALUE"""),0.0)</f>
        <v>0</v>
      </c>
      <c r="E950" s="64"/>
      <c r="F950" s="95"/>
      <c r="G950" s="96"/>
      <c r="H950" s="64"/>
      <c r="I950" s="64"/>
      <c r="J950" s="64"/>
      <c r="K950" s="64"/>
      <c r="L950" s="64"/>
    </row>
    <row r="951" ht="16.5" customHeight="1">
      <c r="A951" s="64"/>
      <c r="B951" s="80" t="s">
        <v>18249</v>
      </c>
      <c r="C951" s="81" t="str">
        <f>IFERROR(__xludf.DUMMYFUNCTION("""COMPUTED_VALUE"""),"Poodlewrestler")</f>
        <v>Poodlewrestler</v>
      </c>
      <c r="D951" s="75">
        <f>IFERROR(__xludf.DUMMYFUNCTION("""COMPUTED_VALUE"""),0.0)</f>
        <v>0</v>
      </c>
      <c r="E951" s="64"/>
      <c r="F951" s="95"/>
      <c r="G951" s="96"/>
      <c r="H951" s="64"/>
      <c r="I951" s="64"/>
      <c r="J951" s="64"/>
      <c r="K951" s="64"/>
      <c r="L951" s="64"/>
    </row>
    <row r="952" ht="16.5" customHeight="1">
      <c r="A952" s="64"/>
      <c r="B952" s="80" t="s">
        <v>18249</v>
      </c>
      <c r="C952" s="81" t="str">
        <f>IFERROR(__xludf.DUMMYFUNCTION("""COMPUTED_VALUE"""),"Poorinthepocket")</f>
        <v>Poorinthepocket</v>
      </c>
      <c r="D952" s="75">
        <f>IFERROR(__xludf.DUMMYFUNCTION("""COMPUTED_VALUE"""),0.0)</f>
        <v>0</v>
      </c>
      <c r="E952" s="64"/>
      <c r="F952" s="95"/>
      <c r="G952" s="96"/>
      <c r="H952" s="64"/>
      <c r="I952" s="64"/>
      <c r="J952" s="64"/>
      <c r="K952" s="64"/>
      <c r="L952" s="64"/>
    </row>
    <row r="953" ht="16.5" customHeight="1">
      <c r="A953" s="64"/>
      <c r="B953" s="80" t="s">
        <v>18249</v>
      </c>
      <c r="C953" s="81" t="str">
        <f>IFERROR(__xludf.DUMMYFUNCTION("""COMPUTED_VALUE"""),"PostgateJRD")</f>
        <v>PostgateJRD</v>
      </c>
      <c r="D953" s="75">
        <f>IFERROR(__xludf.DUMMYFUNCTION("""COMPUTED_VALUE"""),0.0)</f>
        <v>0</v>
      </c>
      <c r="E953" s="64"/>
      <c r="F953" s="95"/>
      <c r="G953" s="96"/>
      <c r="H953" s="64"/>
      <c r="I953" s="64"/>
      <c r="J953" s="64"/>
      <c r="K953" s="64"/>
      <c r="L953" s="64"/>
    </row>
    <row r="954" ht="16.5" customHeight="1">
      <c r="A954" s="64"/>
      <c r="B954" s="80" t="s">
        <v>18249</v>
      </c>
      <c r="C954" s="81" t="str">
        <f>IFERROR(__xludf.DUMMYFUNCTION("""COMPUTED_VALUE"""),"PowerWithin0706")</f>
        <v>PowerWithin0706</v>
      </c>
      <c r="D954" s="75">
        <f>IFERROR(__xludf.DUMMYFUNCTION("""COMPUTED_VALUE"""),0.0)</f>
        <v>0</v>
      </c>
      <c r="E954" s="64"/>
      <c r="F954" s="95"/>
      <c r="G954" s="96"/>
      <c r="H954" s="64"/>
      <c r="I954" s="64"/>
      <c r="J954" s="64"/>
      <c r="K954" s="64"/>
      <c r="L954" s="64"/>
    </row>
    <row r="955" ht="16.5" customHeight="1">
      <c r="A955" s="64"/>
      <c r="B955" s="80" t="s">
        <v>18249</v>
      </c>
      <c r="C955" s="81" t="str">
        <f>IFERROR(__xludf.DUMMYFUNCTION("""COMPUTED_VALUE"""),"PrimeFXltd")</f>
        <v>PrimeFXltd</v>
      </c>
      <c r="D955" s="75">
        <f>IFERROR(__xludf.DUMMYFUNCTION("""COMPUTED_VALUE"""),0.0)</f>
        <v>0</v>
      </c>
      <c r="E955" s="64"/>
      <c r="F955" s="95"/>
      <c r="G955" s="96"/>
      <c r="H955" s="64"/>
      <c r="I955" s="64"/>
      <c r="J955" s="64"/>
      <c r="K955" s="64"/>
      <c r="L955" s="64"/>
    </row>
    <row r="956" ht="16.5" customHeight="1">
      <c r="A956" s="64"/>
      <c r="B956" s="80" t="s">
        <v>18249</v>
      </c>
      <c r="C956" s="81" t="str">
        <f>IFERROR(__xludf.DUMMYFUNCTION("""COMPUTED_VALUE"""),"Pru88057472")</f>
        <v>Pru88057472</v>
      </c>
      <c r="D956" s="75">
        <f>IFERROR(__xludf.DUMMYFUNCTION("""COMPUTED_VALUE"""),0.0)</f>
        <v>0</v>
      </c>
      <c r="E956" s="64"/>
      <c r="F956" s="95"/>
      <c r="G956" s="96"/>
      <c r="H956" s="64"/>
      <c r="I956" s="64"/>
      <c r="J956" s="64"/>
      <c r="K956" s="64"/>
      <c r="L956" s="64"/>
    </row>
    <row r="957" ht="16.5" customHeight="1">
      <c r="A957" s="64"/>
      <c r="B957" s="80" t="s">
        <v>18249</v>
      </c>
      <c r="C957" s="81" t="str">
        <f>IFERROR(__xludf.DUMMYFUNCTION("""COMPUTED_VALUE"""),"Qu1ny")</f>
        <v>Qu1ny</v>
      </c>
      <c r="D957" s="75">
        <f>IFERROR(__xludf.DUMMYFUNCTION("""COMPUTED_VALUE"""),0.0)</f>
        <v>0</v>
      </c>
      <c r="E957" s="64"/>
      <c r="F957" s="95"/>
      <c r="G957" s="96"/>
      <c r="H957" s="64"/>
      <c r="I957" s="64"/>
      <c r="J957" s="64"/>
      <c r="K957" s="64"/>
      <c r="L957" s="64"/>
    </row>
    <row r="958" ht="16.5" customHeight="1">
      <c r="A958" s="64"/>
      <c r="B958" s="80" t="s">
        <v>18249</v>
      </c>
      <c r="C958" s="81" t="str">
        <f>IFERROR(__xludf.DUMMYFUNCTION("""COMPUTED_VALUE"""),"Quemerford")</f>
        <v>Quemerford</v>
      </c>
      <c r="D958" s="75">
        <f>IFERROR(__xludf.DUMMYFUNCTION("""COMPUTED_VALUE"""),0.0)</f>
        <v>0</v>
      </c>
      <c r="E958" s="64"/>
      <c r="F958" s="95"/>
      <c r="G958" s="96"/>
      <c r="H958" s="64"/>
      <c r="I958" s="64"/>
      <c r="J958" s="64"/>
      <c r="K958" s="64"/>
      <c r="L958" s="64"/>
    </row>
    <row r="959" ht="16.5" customHeight="1">
      <c r="A959" s="64"/>
      <c r="B959" s="80" t="s">
        <v>18249</v>
      </c>
      <c r="C959" s="81" t="str">
        <f>IFERROR(__xludf.DUMMYFUNCTION("""COMPUTED_VALUE"""),"QuinlanQuinlan")</f>
        <v>QuinlanQuinlan</v>
      </c>
      <c r="D959" s="75">
        <f>IFERROR(__xludf.DUMMYFUNCTION("""COMPUTED_VALUE"""),0.0)</f>
        <v>0</v>
      </c>
      <c r="E959" s="64"/>
      <c r="F959" s="95"/>
      <c r="G959" s="96"/>
      <c r="H959" s="64"/>
      <c r="I959" s="64"/>
      <c r="J959" s="64"/>
      <c r="K959" s="64"/>
      <c r="L959" s="64"/>
    </row>
    <row r="960" ht="16.5" customHeight="1">
      <c r="A960" s="64"/>
      <c r="B960" s="80" t="s">
        <v>18249</v>
      </c>
      <c r="C960" s="81" t="str">
        <f>IFERROR(__xludf.DUMMYFUNCTION("""COMPUTED_VALUE"""),"RAMJAC3")</f>
        <v>RAMJAC3</v>
      </c>
      <c r="D960" s="75">
        <f>IFERROR(__xludf.DUMMYFUNCTION("""COMPUTED_VALUE"""),0.0)</f>
        <v>0</v>
      </c>
      <c r="E960" s="64"/>
      <c r="F960" s="95"/>
      <c r="G960" s="96"/>
      <c r="H960" s="64"/>
      <c r="I960" s="64"/>
      <c r="J960" s="64"/>
      <c r="K960" s="64"/>
      <c r="L960" s="64"/>
    </row>
    <row r="961" ht="16.5" customHeight="1">
      <c r="A961" s="64"/>
      <c r="B961" s="80" t="s">
        <v>18249</v>
      </c>
      <c r="C961" s="81" t="str">
        <f>IFERROR(__xludf.DUMMYFUNCTION("""COMPUTED_VALUE"""),"RD120")</f>
        <v>RD120</v>
      </c>
      <c r="D961" s="75">
        <f>IFERROR(__xludf.DUMMYFUNCTION("""COMPUTED_VALUE"""),0.0)</f>
        <v>0</v>
      </c>
      <c r="E961" s="64"/>
      <c r="F961" s="95"/>
      <c r="G961" s="96"/>
      <c r="H961" s="64"/>
      <c r="I961" s="64"/>
      <c r="J961" s="64"/>
      <c r="K961" s="64"/>
      <c r="L961" s="64"/>
    </row>
    <row r="962" ht="16.5" customHeight="1">
      <c r="A962" s="64"/>
      <c r="B962" s="80" t="s">
        <v>18249</v>
      </c>
      <c r="C962" s="81" t="str">
        <f>IFERROR(__xludf.DUMMYFUNCTION("""COMPUTED_VALUE"""),"RJFortescue")</f>
        <v>RJFortescue</v>
      </c>
      <c r="D962" s="75">
        <f>IFERROR(__xludf.DUMMYFUNCTION("""COMPUTED_VALUE"""),0.0)</f>
        <v>0</v>
      </c>
      <c r="E962" s="64"/>
      <c r="F962" s="95"/>
      <c r="G962" s="96"/>
      <c r="H962" s="64"/>
      <c r="I962" s="64"/>
      <c r="J962" s="64"/>
      <c r="K962" s="64"/>
      <c r="L962" s="64"/>
    </row>
    <row r="963" ht="16.5" customHeight="1">
      <c r="A963" s="64"/>
      <c r="B963" s="80" t="s">
        <v>18249</v>
      </c>
      <c r="C963" s="81" t="str">
        <f>IFERROR(__xludf.DUMMYFUNCTION("""COMPUTED_VALUE"""),"RJonathan59")</f>
        <v>RJonathan59</v>
      </c>
      <c r="D963" s="75">
        <f>IFERROR(__xludf.DUMMYFUNCTION("""COMPUTED_VALUE"""),0.0)</f>
        <v>0</v>
      </c>
      <c r="E963" s="64"/>
      <c r="F963" s="95"/>
      <c r="G963" s="96"/>
      <c r="H963" s="64"/>
      <c r="I963" s="64"/>
      <c r="J963" s="64"/>
      <c r="K963" s="64"/>
      <c r="L963" s="64"/>
    </row>
    <row r="964" ht="16.5" customHeight="1">
      <c r="A964" s="64"/>
      <c r="B964" s="80" t="s">
        <v>18249</v>
      </c>
      <c r="C964" s="81" t="str">
        <f>IFERROR(__xludf.DUMMYFUNCTION("""COMPUTED_VALUE"""),"ROBMCCANN2")</f>
        <v>ROBMCCANN2</v>
      </c>
      <c r="D964" s="75">
        <f>IFERROR(__xludf.DUMMYFUNCTION("""COMPUTED_VALUE"""),0.0)</f>
        <v>0</v>
      </c>
      <c r="E964" s="64"/>
      <c r="F964" s="95"/>
      <c r="G964" s="96"/>
      <c r="H964" s="64"/>
      <c r="I964" s="64"/>
      <c r="J964" s="64"/>
      <c r="K964" s="64"/>
      <c r="L964" s="64"/>
    </row>
    <row r="965" ht="16.5" customHeight="1">
      <c r="A965" s="64"/>
      <c r="B965" s="80" t="s">
        <v>18249</v>
      </c>
      <c r="C965" s="81" t="str">
        <f>IFERROR(__xludf.DUMMYFUNCTION("""COMPUTED_VALUE"""),"RSSneakyTweeter")</f>
        <v>RSSneakyTweeter</v>
      </c>
      <c r="D965" s="75">
        <f>IFERROR(__xludf.DUMMYFUNCTION("""COMPUTED_VALUE"""),0.0)</f>
        <v>0</v>
      </c>
      <c r="E965" s="64"/>
      <c r="F965" s="95"/>
      <c r="G965" s="96"/>
      <c r="H965" s="64"/>
      <c r="I965" s="64"/>
      <c r="J965" s="64"/>
      <c r="K965" s="64"/>
      <c r="L965" s="64"/>
    </row>
    <row r="966" ht="16.5" customHeight="1">
      <c r="A966" s="64"/>
      <c r="B966" s="80" t="s">
        <v>18249</v>
      </c>
      <c r="C966" s="81" t="str">
        <f>IFERROR(__xludf.DUMMYFUNCTION("""COMPUTED_VALUE"""),"RTaylor_LibDem")</f>
        <v>RTaylor_LibDem</v>
      </c>
      <c r="D966" s="75">
        <f>IFERROR(__xludf.DUMMYFUNCTION("""COMPUTED_VALUE"""),0.0)</f>
        <v>0</v>
      </c>
      <c r="E966" s="64"/>
      <c r="F966" s="95"/>
      <c r="G966" s="96"/>
      <c r="H966" s="64"/>
      <c r="I966" s="64"/>
      <c r="J966" s="64"/>
      <c r="K966" s="64"/>
      <c r="L966" s="64"/>
    </row>
    <row r="967" ht="16.5" customHeight="1">
      <c r="A967" s="64"/>
      <c r="B967" s="80" t="s">
        <v>18249</v>
      </c>
      <c r="C967" s="81" t="str">
        <f>IFERROR(__xludf.DUMMYFUNCTION("""COMPUTED_VALUE"""),"RTomDavies1")</f>
        <v>RTomDavies1</v>
      </c>
      <c r="D967" s="75">
        <f>IFERROR(__xludf.DUMMYFUNCTION("""COMPUTED_VALUE"""),0.0)</f>
        <v>0</v>
      </c>
      <c r="E967" s="64"/>
      <c r="F967" s="95"/>
      <c r="G967" s="96"/>
      <c r="H967" s="64"/>
      <c r="I967" s="64"/>
      <c r="J967" s="64"/>
      <c r="K967" s="64"/>
      <c r="L967" s="64"/>
    </row>
    <row r="968" ht="16.5" customHeight="1">
      <c r="A968" s="64"/>
      <c r="B968" s="80" t="s">
        <v>18249</v>
      </c>
      <c r="C968" s="81" t="str">
        <f>IFERROR(__xludf.DUMMYFUNCTION("""COMPUTED_VALUE"""),"RabiaL121")</f>
        <v>RabiaL121</v>
      </c>
      <c r="D968" s="75">
        <f>IFERROR(__xludf.DUMMYFUNCTION("""COMPUTED_VALUE"""),0.0)</f>
        <v>0</v>
      </c>
      <c r="E968" s="64"/>
      <c r="F968" s="95"/>
      <c r="G968" s="96"/>
      <c r="H968" s="64"/>
      <c r="I968" s="64"/>
      <c r="J968" s="64"/>
      <c r="K968" s="64"/>
      <c r="L968" s="64"/>
    </row>
    <row r="969" ht="16.5" customHeight="1">
      <c r="A969" s="64"/>
      <c r="B969" s="80" t="s">
        <v>18249</v>
      </c>
      <c r="C969" s="81" t="str">
        <f>IFERROR(__xludf.DUMMYFUNCTION("""COMPUTED_VALUE"""),"Rachel_Borrill")</f>
        <v>Rachel_Borrill</v>
      </c>
      <c r="D969" s="75">
        <f>IFERROR(__xludf.DUMMYFUNCTION("""COMPUTED_VALUE"""),0.0)</f>
        <v>0</v>
      </c>
      <c r="E969" s="64"/>
      <c r="F969" s="95"/>
      <c r="G969" s="96"/>
      <c r="H969" s="64"/>
      <c r="I969" s="64"/>
      <c r="J969" s="64"/>
      <c r="K969" s="64"/>
      <c r="L969" s="64"/>
    </row>
    <row r="970" ht="16.5" customHeight="1">
      <c r="A970" s="64"/>
      <c r="B970" s="80" t="s">
        <v>18249</v>
      </c>
      <c r="C970" s="81" t="str">
        <f>IFERROR(__xludf.DUMMYFUNCTION("""COMPUTED_VALUE"""),"RadiateNappa")</f>
        <v>RadiateNappa</v>
      </c>
      <c r="D970" s="75">
        <f>IFERROR(__xludf.DUMMYFUNCTION("""COMPUTED_VALUE"""),0.0)</f>
        <v>0</v>
      </c>
      <c r="E970" s="64"/>
      <c r="F970" s="95"/>
      <c r="G970" s="96"/>
      <c r="H970" s="64"/>
      <c r="I970" s="64"/>
      <c r="J970" s="64"/>
      <c r="K970" s="64"/>
      <c r="L970" s="64"/>
    </row>
    <row r="971" ht="16.5" customHeight="1">
      <c r="A971" s="64"/>
      <c r="B971" s="80" t="s">
        <v>18249</v>
      </c>
      <c r="C971" s="81" t="str">
        <f>IFERROR(__xludf.DUMMYFUNCTION("""COMPUTED_VALUE"""),"Rainbow_July")</f>
        <v>Rainbow_July</v>
      </c>
      <c r="D971" s="75">
        <f>IFERROR(__xludf.DUMMYFUNCTION("""COMPUTED_VALUE"""),0.0)</f>
        <v>0</v>
      </c>
      <c r="E971" s="64"/>
      <c r="F971" s="95"/>
      <c r="G971" s="96"/>
      <c r="H971" s="64"/>
      <c r="I971" s="64"/>
      <c r="J971" s="64"/>
      <c r="K971" s="64"/>
      <c r="L971" s="64"/>
    </row>
    <row r="972" ht="16.5" customHeight="1">
      <c r="A972" s="64"/>
      <c r="B972" s="80" t="s">
        <v>18249</v>
      </c>
      <c r="C972" s="81" t="str">
        <f>IFERROR(__xludf.DUMMYFUNCTION("""COMPUTED_VALUE"""),"RainowRobinHood")</f>
        <v>RainowRobinHood</v>
      </c>
      <c r="D972" s="75">
        <f>IFERROR(__xludf.DUMMYFUNCTION("""COMPUTED_VALUE"""),0.0)</f>
        <v>0</v>
      </c>
      <c r="E972" s="64"/>
      <c r="F972" s="95"/>
      <c r="G972" s="96"/>
      <c r="H972" s="64"/>
      <c r="I972" s="64"/>
      <c r="J972" s="64"/>
      <c r="K972" s="64"/>
      <c r="L972" s="64"/>
    </row>
    <row r="973" ht="16.5" customHeight="1">
      <c r="A973" s="64"/>
      <c r="B973" s="80" t="s">
        <v>18249</v>
      </c>
      <c r="C973" s="81" t="str">
        <f>IFERROR(__xludf.DUMMYFUNCTION("""COMPUTED_VALUE"""),"Rampantredlion1")</f>
        <v>Rampantredlion1</v>
      </c>
      <c r="D973" s="75">
        <f>IFERROR(__xludf.DUMMYFUNCTION("""COMPUTED_VALUE"""),0.0)</f>
        <v>0</v>
      </c>
      <c r="E973" s="64"/>
      <c r="F973" s="95"/>
      <c r="G973" s="96"/>
      <c r="H973" s="64"/>
      <c r="I973" s="64"/>
      <c r="J973" s="64"/>
      <c r="K973" s="64"/>
      <c r="L973" s="64"/>
    </row>
    <row r="974" ht="16.5" customHeight="1">
      <c r="A974" s="64"/>
      <c r="B974" s="80" t="s">
        <v>18249</v>
      </c>
      <c r="C974" s="81" t="str">
        <f>IFERROR(__xludf.DUMMYFUNCTION("""COMPUTED_VALUE"""),"RantingJon")</f>
        <v>RantingJon</v>
      </c>
      <c r="D974" s="75">
        <f>IFERROR(__xludf.DUMMYFUNCTION("""COMPUTED_VALUE"""),0.0)</f>
        <v>0</v>
      </c>
      <c r="E974" s="64"/>
      <c r="F974" s="95"/>
      <c r="G974" s="96"/>
      <c r="H974" s="64"/>
      <c r="I974" s="64"/>
      <c r="J974" s="64"/>
      <c r="K974" s="64"/>
      <c r="L974" s="64"/>
    </row>
    <row r="975" ht="16.5" customHeight="1">
      <c r="A975" s="64"/>
      <c r="B975" s="80" t="s">
        <v>18249</v>
      </c>
      <c r="C975" s="81" t="str">
        <f>IFERROR(__xludf.DUMMYFUNCTION("""COMPUTED_VALUE"""),"RashellTamina")</f>
        <v>RashellTamina</v>
      </c>
      <c r="D975" s="75">
        <f>IFERROR(__xludf.DUMMYFUNCTION("""COMPUTED_VALUE"""),0.0)</f>
        <v>0</v>
      </c>
      <c r="E975" s="64"/>
      <c r="F975" s="95"/>
      <c r="G975" s="96"/>
      <c r="H975" s="64"/>
      <c r="I975" s="64"/>
      <c r="J975" s="64"/>
      <c r="K975" s="64"/>
      <c r="L975" s="64"/>
    </row>
    <row r="976" ht="16.5" customHeight="1">
      <c r="A976" s="64"/>
      <c r="B976" s="80" t="s">
        <v>18249</v>
      </c>
      <c r="C976" s="81" t="str">
        <f>IFERROR(__xludf.DUMMYFUNCTION("""COMPUTED_VALUE"""),"RatherBeAfloat")</f>
        <v>RatherBeAfloat</v>
      </c>
      <c r="D976" s="75">
        <f>IFERROR(__xludf.DUMMYFUNCTION("""COMPUTED_VALUE"""),0.0)</f>
        <v>0</v>
      </c>
      <c r="E976" s="64"/>
      <c r="F976" s="95"/>
      <c r="G976" s="96"/>
      <c r="H976" s="64"/>
      <c r="I976" s="64"/>
      <c r="J976" s="64"/>
      <c r="K976" s="64"/>
      <c r="L976" s="64"/>
    </row>
    <row r="977" ht="16.5" customHeight="1">
      <c r="A977" s="64"/>
      <c r="B977" s="80" t="s">
        <v>18249</v>
      </c>
      <c r="C977" s="81" t="str">
        <f>IFERROR(__xludf.DUMMYFUNCTION("""COMPUTED_VALUE"""),"RavInDaGarage")</f>
        <v>RavInDaGarage</v>
      </c>
      <c r="D977" s="75">
        <f>IFERROR(__xludf.DUMMYFUNCTION("""COMPUTED_VALUE"""),0.0)</f>
        <v>0</v>
      </c>
      <c r="E977" s="64"/>
      <c r="F977" s="95"/>
      <c r="G977" s="96"/>
      <c r="H977" s="64"/>
      <c r="I977" s="64"/>
      <c r="J977" s="64"/>
      <c r="K977" s="64"/>
      <c r="L977" s="64"/>
    </row>
    <row r="978" ht="16.5" customHeight="1">
      <c r="A978" s="64"/>
      <c r="B978" s="80" t="s">
        <v>18249</v>
      </c>
      <c r="C978" s="81" t="str">
        <f>IFERROR(__xludf.DUMMYFUNCTION("""COMPUTED_VALUE"""),"RayStallwood")</f>
        <v>RayStallwood</v>
      </c>
      <c r="D978" s="75">
        <f>IFERROR(__xludf.DUMMYFUNCTION("""COMPUTED_VALUE"""),0.0)</f>
        <v>0</v>
      </c>
      <c r="E978" s="64"/>
      <c r="F978" s="95"/>
      <c r="G978" s="96"/>
      <c r="H978" s="64"/>
      <c r="I978" s="64"/>
      <c r="J978" s="64"/>
      <c r="K978" s="64"/>
      <c r="L978" s="64"/>
    </row>
    <row r="979" ht="16.5" customHeight="1">
      <c r="A979" s="64"/>
      <c r="B979" s="80" t="s">
        <v>18249</v>
      </c>
      <c r="C979" s="81" t="str">
        <f>IFERROR(__xludf.DUMMYFUNCTION("""COMPUTED_VALUE"""),"Raycspike")</f>
        <v>Raycspike</v>
      </c>
      <c r="D979" s="75">
        <f>IFERROR(__xludf.DUMMYFUNCTION("""COMPUTED_VALUE"""),0.0)</f>
        <v>0</v>
      </c>
      <c r="E979" s="64"/>
      <c r="F979" s="95"/>
      <c r="G979" s="96"/>
      <c r="H979" s="64"/>
      <c r="I979" s="64"/>
      <c r="J979" s="64"/>
      <c r="K979" s="64"/>
      <c r="L979" s="64"/>
    </row>
    <row r="980" ht="16.5" customHeight="1">
      <c r="A980" s="64"/>
      <c r="B980" s="80" t="s">
        <v>18249</v>
      </c>
      <c r="C980" s="81" t="str">
        <f>IFERROR(__xludf.DUMMYFUNCTION("""COMPUTED_VALUE"""),"Raymond23824751")</f>
        <v>Raymond23824751</v>
      </c>
      <c r="D980" s="75">
        <f>IFERROR(__xludf.DUMMYFUNCTION("""COMPUTED_VALUE"""),0.0)</f>
        <v>0</v>
      </c>
      <c r="E980" s="64"/>
      <c r="F980" s="95"/>
      <c r="G980" s="96"/>
      <c r="H980" s="64"/>
      <c r="I980" s="64"/>
      <c r="J980" s="64"/>
      <c r="K980" s="64"/>
      <c r="L980" s="64"/>
    </row>
    <row r="981" ht="16.5" customHeight="1">
      <c r="A981" s="64"/>
      <c r="B981" s="80" t="s">
        <v>18249</v>
      </c>
      <c r="C981" s="81" t="str">
        <f>IFERROR(__xludf.DUMMYFUNCTION("""COMPUTED_VALUE"""),"Reasons2Rejoin")</f>
        <v>Reasons2Rejoin</v>
      </c>
      <c r="D981" s="75">
        <f>IFERROR(__xludf.DUMMYFUNCTION("""COMPUTED_VALUE"""),0.0)</f>
        <v>0</v>
      </c>
      <c r="E981" s="64"/>
      <c r="F981" s="95"/>
      <c r="G981" s="96"/>
      <c r="H981" s="64"/>
      <c r="I981" s="64"/>
      <c r="J981" s="64"/>
      <c r="K981" s="64"/>
      <c r="L981" s="64"/>
    </row>
    <row r="982" ht="16.5" customHeight="1">
      <c r="A982" s="64"/>
      <c r="B982" s="80" t="s">
        <v>18249</v>
      </c>
      <c r="C982" s="81" t="str">
        <f>IFERROR(__xludf.DUMMYFUNCTION("""COMPUTED_VALUE"""),"RebeccaTillett1")</f>
        <v>RebeccaTillett1</v>
      </c>
      <c r="D982" s="75">
        <f>IFERROR(__xludf.DUMMYFUNCTION("""COMPUTED_VALUE"""),0.0)</f>
        <v>0</v>
      </c>
      <c r="E982" s="64"/>
      <c r="F982" s="95"/>
      <c r="G982" s="96"/>
      <c r="H982" s="64"/>
      <c r="I982" s="64"/>
      <c r="J982" s="64"/>
      <c r="K982" s="64"/>
      <c r="L982" s="64"/>
    </row>
    <row r="983" ht="16.5" customHeight="1">
      <c r="A983" s="64"/>
      <c r="B983" s="80" t="s">
        <v>18249</v>
      </c>
      <c r="C983" s="81" t="str">
        <f>IFERROR(__xludf.DUMMYFUNCTION("""COMPUTED_VALUE"""),"Red_Quadrant")</f>
        <v>Red_Quadrant</v>
      </c>
      <c r="D983" s="75">
        <f>IFERROR(__xludf.DUMMYFUNCTION("""COMPUTED_VALUE"""),0.0)</f>
        <v>0</v>
      </c>
      <c r="E983" s="64"/>
      <c r="F983" s="95"/>
      <c r="G983" s="96"/>
      <c r="H983" s="64"/>
      <c r="I983" s="64"/>
      <c r="J983" s="64"/>
      <c r="K983" s="64"/>
      <c r="L983" s="64"/>
    </row>
    <row r="984" ht="16.5" customHeight="1">
      <c r="A984" s="64"/>
      <c r="B984" s="80" t="s">
        <v>18249</v>
      </c>
      <c r="C984" s="81" t="str">
        <f>IFERROR(__xludf.DUMMYFUNCTION("""COMPUTED_VALUE"""),"ReformUKScot")</f>
        <v>ReformUKScot</v>
      </c>
      <c r="D984" s="75">
        <f>IFERROR(__xludf.DUMMYFUNCTION("""COMPUTED_VALUE"""),0.0)</f>
        <v>0</v>
      </c>
      <c r="E984" s="64"/>
      <c r="F984" s="95"/>
      <c r="G984" s="96"/>
      <c r="H984" s="64"/>
      <c r="I984" s="64"/>
      <c r="J984" s="64"/>
      <c r="K984" s="64"/>
      <c r="L984" s="64"/>
    </row>
    <row r="985" ht="16.5" customHeight="1">
      <c r="A985" s="64"/>
      <c r="B985" s="80" t="s">
        <v>18249</v>
      </c>
      <c r="C985" s="81" t="str">
        <f>IFERROR(__xludf.DUMMYFUNCTION("""COMPUTED_VALUE"""),"RejoinersRus")</f>
        <v>RejoinersRus</v>
      </c>
      <c r="D985" s="75">
        <f>IFERROR(__xludf.DUMMYFUNCTION("""COMPUTED_VALUE"""),0.0)</f>
        <v>0</v>
      </c>
      <c r="E985" s="64"/>
      <c r="F985" s="95"/>
      <c r="G985" s="96"/>
      <c r="H985" s="64"/>
      <c r="I985" s="64"/>
      <c r="J985" s="64"/>
      <c r="K985" s="64"/>
      <c r="L985" s="64"/>
    </row>
    <row r="986" ht="16.5" customHeight="1">
      <c r="A986" s="64"/>
      <c r="B986" s="80" t="s">
        <v>18249</v>
      </c>
      <c r="C986" s="81" t="str">
        <f>IFERROR(__xludf.DUMMYFUNCTION("""COMPUTED_VALUE"""),"Renaissance_UE")</f>
        <v>Renaissance_UE</v>
      </c>
      <c r="D986" s="75">
        <f>IFERROR(__xludf.DUMMYFUNCTION("""COMPUTED_VALUE"""),0.0)</f>
        <v>0</v>
      </c>
      <c r="E986" s="64"/>
      <c r="F986" s="95"/>
      <c r="G986" s="96"/>
      <c r="H986" s="64"/>
      <c r="I986" s="64"/>
      <c r="J986" s="64"/>
      <c r="K986" s="64"/>
      <c r="L986" s="64"/>
    </row>
    <row r="987" ht="16.5" customHeight="1">
      <c r="A987" s="64"/>
      <c r="B987" s="80" t="s">
        <v>18249</v>
      </c>
      <c r="C987" s="81" t="str">
        <f>IFERROR(__xludf.DUMMYFUNCTION("""COMPUTED_VALUE"""),"Renaultgek")</f>
        <v>Renaultgek</v>
      </c>
      <c r="D987" s="75">
        <f>IFERROR(__xludf.DUMMYFUNCTION("""COMPUTED_VALUE"""),0.0)</f>
        <v>0</v>
      </c>
      <c r="E987" s="64"/>
      <c r="F987" s="95"/>
      <c r="G987" s="96"/>
      <c r="H987" s="64"/>
      <c r="I987" s="64"/>
      <c r="J987" s="64"/>
      <c r="K987" s="64"/>
      <c r="L987" s="64"/>
    </row>
    <row r="988" ht="16.5" customHeight="1">
      <c r="A988" s="64"/>
      <c r="B988" s="80" t="s">
        <v>18249</v>
      </c>
      <c r="C988" s="81" t="str">
        <f>IFERROR(__xludf.DUMMYFUNCTION("""COMPUTED_VALUE"""),"RestoreHope_20")</f>
        <v>RestoreHope_20</v>
      </c>
      <c r="D988" s="75">
        <f>IFERROR(__xludf.DUMMYFUNCTION("""COMPUTED_VALUE"""),0.0)</f>
        <v>0</v>
      </c>
      <c r="E988" s="64"/>
      <c r="F988" s="95"/>
      <c r="G988" s="96"/>
      <c r="H988" s="64"/>
      <c r="I988" s="64"/>
      <c r="J988" s="64"/>
      <c r="K988" s="64"/>
      <c r="L988" s="64"/>
    </row>
    <row r="989" ht="16.5" customHeight="1">
      <c r="A989" s="64"/>
      <c r="B989" s="80" t="s">
        <v>18249</v>
      </c>
      <c r="C989" s="81" t="str">
        <f>IFERROR(__xludf.DUMMYFUNCTION("""COMPUTED_VALUE"""),"Revolution354")</f>
        <v>Revolution354</v>
      </c>
      <c r="D989" s="75">
        <f>IFERROR(__xludf.DUMMYFUNCTION("""COMPUTED_VALUE"""),0.0)</f>
        <v>0</v>
      </c>
      <c r="E989" s="64"/>
      <c r="F989" s="95"/>
      <c r="G989" s="96"/>
      <c r="H989" s="64"/>
      <c r="I989" s="64"/>
      <c r="J989" s="64"/>
      <c r="K989" s="64"/>
      <c r="L989" s="64"/>
    </row>
    <row r="990" ht="16.5" customHeight="1">
      <c r="A990" s="64"/>
      <c r="B990" s="80" t="s">
        <v>18249</v>
      </c>
      <c r="C990" s="81" t="str">
        <f>IFERROR(__xludf.DUMMYFUNCTION("""COMPUTED_VALUE"""),"RhiD83")</f>
        <v>RhiD83</v>
      </c>
      <c r="D990" s="75">
        <f>IFERROR(__xludf.DUMMYFUNCTION("""COMPUTED_VALUE"""),0.0)</f>
        <v>0</v>
      </c>
      <c r="E990" s="64"/>
      <c r="F990" s="95"/>
      <c r="G990" s="96"/>
      <c r="H990" s="64"/>
      <c r="I990" s="64"/>
      <c r="J990" s="64"/>
      <c r="K990" s="64"/>
      <c r="L990" s="64"/>
    </row>
    <row r="991" ht="16.5" customHeight="1">
      <c r="A991" s="64"/>
      <c r="B991" s="80" t="s">
        <v>18249</v>
      </c>
      <c r="C991" s="81" t="str">
        <f>IFERROR(__xludf.DUMMYFUNCTION("""COMPUTED_VALUE"""),"Richard54119983")</f>
        <v>Richard54119983</v>
      </c>
      <c r="D991" s="75">
        <f>IFERROR(__xludf.DUMMYFUNCTION("""COMPUTED_VALUE"""),0.0)</f>
        <v>0</v>
      </c>
      <c r="E991" s="64"/>
      <c r="F991" s="95"/>
      <c r="G991" s="96"/>
      <c r="H991" s="64"/>
      <c r="I991" s="64"/>
      <c r="J991" s="64"/>
      <c r="K991" s="64"/>
      <c r="L991" s="64"/>
    </row>
    <row r="992" ht="16.5" customHeight="1">
      <c r="A992" s="64"/>
      <c r="B992" s="80" t="s">
        <v>18249</v>
      </c>
      <c r="C992" s="81" t="str">
        <f>IFERROR(__xludf.DUMMYFUNCTION("""COMPUTED_VALUE"""),"RichardBentall")</f>
        <v>RichardBentall</v>
      </c>
      <c r="D992" s="75">
        <f>IFERROR(__xludf.DUMMYFUNCTION("""COMPUTED_VALUE"""),0.0)</f>
        <v>0</v>
      </c>
      <c r="E992" s="64"/>
      <c r="F992" s="95"/>
      <c r="G992" s="96"/>
      <c r="H992" s="64"/>
      <c r="I992" s="64"/>
      <c r="J992" s="64"/>
      <c r="K992" s="64"/>
      <c r="L992" s="64"/>
    </row>
    <row r="993" ht="16.5" customHeight="1">
      <c r="A993" s="64"/>
      <c r="B993" s="80" t="s">
        <v>18249</v>
      </c>
      <c r="C993" s="81" t="str">
        <f>IFERROR(__xludf.DUMMYFUNCTION("""COMPUTED_VALUE"""),"RichardCMB")</f>
        <v>RichardCMB</v>
      </c>
      <c r="D993" s="75">
        <f>IFERROR(__xludf.DUMMYFUNCTION("""COMPUTED_VALUE"""),0.0)</f>
        <v>0</v>
      </c>
      <c r="E993" s="64"/>
      <c r="F993" s="95"/>
      <c r="G993" s="96"/>
      <c r="H993" s="64"/>
      <c r="I993" s="64"/>
      <c r="J993" s="64"/>
      <c r="K993" s="64"/>
      <c r="L993" s="64"/>
    </row>
    <row r="994" ht="16.5" customHeight="1">
      <c r="A994" s="64"/>
      <c r="B994" s="80" t="s">
        <v>18249</v>
      </c>
      <c r="C994" s="81" t="str">
        <f>IFERROR(__xludf.DUMMYFUNCTION("""COMPUTED_VALUE"""),"RichardHewison")</f>
        <v>RichardHewison</v>
      </c>
      <c r="D994" s="75">
        <f>IFERROR(__xludf.DUMMYFUNCTION("""COMPUTED_VALUE"""),0.0)</f>
        <v>0</v>
      </c>
      <c r="E994" s="64"/>
      <c r="F994" s="95"/>
      <c r="G994" s="96"/>
      <c r="H994" s="64"/>
      <c r="I994" s="64"/>
      <c r="J994" s="64"/>
      <c r="K994" s="64"/>
      <c r="L994" s="64"/>
    </row>
    <row r="995" ht="16.5" customHeight="1">
      <c r="A995" s="64"/>
      <c r="B995" s="80" t="s">
        <v>18249</v>
      </c>
      <c r="C995" s="81" t="str">
        <f>IFERROR(__xludf.DUMMYFUNCTION("""COMPUTED_VALUE"""),"RichardSTOCKDA4")</f>
        <v>RichardSTOCKDA4</v>
      </c>
      <c r="D995" s="75">
        <f>IFERROR(__xludf.DUMMYFUNCTION("""COMPUTED_VALUE"""),0.0)</f>
        <v>0</v>
      </c>
      <c r="E995" s="64"/>
      <c r="F995" s="95"/>
      <c r="G995" s="96"/>
      <c r="H995" s="64"/>
      <c r="I995" s="64"/>
      <c r="J995" s="64"/>
      <c r="K995" s="64"/>
      <c r="L995" s="64"/>
    </row>
    <row r="996" ht="16.5" customHeight="1">
      <c r="A996" s="64"/>
      <c r="B996" s="80" t="s">
        <v>18249</v>
      </c>
      <c r="C996" s="81" t="str">
        <f>IFERROR(__xludf.DUMMYFUNCTION("""COMPUTED_VALUE"""),"RichardScribbl1")</f>
        <v>RichardScribbl1</v>
      </c>
      <c r="D996" s="75">
        <f>IFERROR(__xludf.DUMMYFUNCTION("""COMPUTED_VALUE"""),0.0)</f>
        <v>0</v>
      </c>
      <c r="E996" s="64"/>
      <c r="F996" s="95"/>
      <c r="G996" s="96"/>
      <c r="H996" s="64"/>
      <c r="I996" s="64"/>
      <c r="J996" s="64"/>
      <c r="K996" s="64"/>
      <c r="L996" s="64"/>
    </row>
    <row r="997" ht="16.5" customHeight="1">
      <c r="A997" s="64"/>
      <c r="B997" s="80" t="s">
        <v>18249</v>
      </c>
      <c r="C997" s="81" t="str">
        <f>IFERROR(__xludf.DUMMYFUNCTION("""COMPUTED_VALUE"""),"RichardWitts")</f>
        <v>RichardWitts</v>
      </c>
      <c r="D997" s="75">
        <f>IFERROR(__xludf.DUMMYFUNCTION("""COMPUTED_VALUE"""),0.0)</f>
        <v>0</v>
      </c>
      <c r="E997" s="64"/>
      <c r="F997" s="95"/>
      <c r="G997" s="96"/>
      <c r="H997" s="64"/>
      <c r="I997" s="64"/>
      <c r="J997" s="64"/>
      <c r="K997" s="64"/>
      <c r="L997" s="64"/>
    </row>
    <row r="998" ht="16.5" customHeight="1">
      <c r="A998" s="64"/>
      <c r="B998" s="80" t="s">
        <v>18249</v>
      </c>
      <c r="C998" s="81" t="str">
        <f>IFERROR(__xludf.DUMMYFUNCTION("""COMPUTED_VALUE"""),"Richardson86Joe")</f>
        <v>Richardson86Joe</v>
      </c>
      <c r="D998" s="75">
        <f>IFERROR(__xludf.DUMMYFUNCTION("""COMPUTED_VALUE"""),0.0)</f>
        <v>0</v>
      </c>
      <c r="E998" s="64"/>
      <c r="F998" s="95"/>
      <c r="G998" s="96"/>
      <c r="H998" s="64"/>
      <c r="I998" s="64"/>
      <c r="J998" s="64"/>
      <c r="K998" s="64"/>
      <c r="L998" s="64"/>
    </row>
    <row r="999" ht="16.5" customHeight="1">
      <c r="A999" s="64"/>
      <c r="B999" s="80" t="s">
        <v>18249</v>
      </c>
      <c r="C999" s="81" t="str">
        <f>IFERROR(__xludf.DUMMYFUNCTION("""COMPUTED_VALUE"""),"Ride4Truth")</f>
        <v>Ride4Truth</v>
      </c>
      <c r="D999" s="75">
        <f>IFERROR(__xludf.DUMMYFUNCTION("""COMPUTED_VALUE"""),0.0)</f>
        <v>0</v>
      </c>
      <c r="E999" s="64"/>
      <c r="F999" s="95"/>
      <c r="G999" s="96"/>
      <c r="H999" s="64"/>
      <c r="I999" s="64"/>
      <c r="J999" s="64"/>
      <c r="K999" s="64"/>
      <c r="L999" s="64"/>
    </row>
    <row r="1000" ht="16.5" customHeight="1">
      <c r="A1000" s="64"/>
      <c r="B1000" s="80" t="s">
        <v>18249</v>
      </c>
      <c r="C1000" s="81" t="str">
        <f>IFERROR(__xludf.DUMMYFUNCTION("""COMPUTED_VALUE"""),"RightAngleUK")</f>
        <v>RightAngleUK</v>
      </c>
      <c r="D1000" s="75">
        <f>IFERROR(__xludf.DUMMYFUNCTION("""COMPUTED_VALUE"""),0.0)</f>
        <v>0</v>
      </c>
      <c r="E1000" s="64"/>
      <c r="F1000" s="95"/>
      <c r="G1000" s="96"/>
      <c r="H1000" s="64"/>
      <c r="I1000" s="64"/>
      <c r="J1000" s="64"/>
      <c r="K1000" s="64"/>
      <c r="L1000" s="64"/>
    </row>
    <row r="1001" ht="16.5" customHeight="1">
      <c r="A1001" s="64"/>
      <c r="B1001" s="80" t="s">
        <v>18249</v>
      </c>
      <c r="C1001" s="81" t="str">
        <f>IFERROR(__xludf.DUMMYFUNCTION("""COMPUTED_VALUE"""),"RightArmOver3")</f>
        <v>RightArmOver3</v>
      </c>
      <c r="D1001" s="75">
        <f>IFERROR(__xludf.DUMMYFUNCTION("""COMPUTED_VALUE"""),0.0)</f>
        <v>0</v>
      </c>
      <c r="E1001" s="64"/>
      <c r="F1001" s="95"/>
      <c r="G1001" s="96"/>
      <c r="H1001" s="64"/>
      <c r="I1001" s="64"/>
      <c r="J1001" s="64"/>
      <c r="K1001" s="64"/>
      <c r="L1001" s="64"/>
    </row>
    <row r="1002" ht="16.5" customHeight="1">
      <c r="A1002" s="64"/>
      <c r="B1002" s="80" t="s">
        <v>18249</v>
      </c>
      <c r="C1002" s="81" t="str">
        <f>IFERROR(__xludf.DUMMYFUNCTION("""COMPUTED_VALUE"""),"RoadRun18571613")</f>
        <v>RoadRun18571613</v>
      </c>
      <c r="D1002" s="75">
        <f>IFERROR(__xludf.DUMMYFUNCTION("""COMPUTED_VALUE"""),0.0)</f>
        <v>0</v>
      </c>
      <c r="E1002" s="64"/>
      <c r="F1002" s="95"/>
      <c r="G1002" s="96"/>
      <c r="H1002" s="64"/>
      <c r="I1002" s="64"/>
      <c r="J1002" s="64"/>
      <c r="K1002" s="64"/>
      <c r="L1002" s="64"/>
    </row>
    <row r="1003" ht="16.5" customHeight="1">
      <c r="A1003" s="64"/>
      <c r="B1003" s="80" t="s">
        <v>18249</v>
      </c>
      <c r="C1003" s="81" t="str">
        <f>IFERROR(__xludf.DUMMYFUNCTION("""COMPUTED_VALUE"""),"Roadwarrior29")</f>
        <v>Roadwarrior29</v>
      </c>
      <c r="D1003" s="75">
        <f>IFERROR(__xludf.DUMMYFUNCTION("""COMPUTED_VALUE"""),0.0)</f>
        <v>0</v>
      </c>
      <c r="E1003" s="64"/>
      <c r="F1003" s="95"/>
      <c r="G1003" s="96"/>
      <c r="H1003" s="64"/>
      <c r="I1003" s="64"/>
      <c r="J1003" s="64"/>
      <c r="K1003" s="64"/>
      <c r="L1003" s="64"/>
    </row>
    <row r="1004" ht="16.5" customHeight="1">
      <c r="A1004" s="64"/>
      <c r="B1004" s="80" t="s">
        <v>18249</v>
      </c>
      <c r="C1004" s="81" t="str">
        <f>IFERROR(__xludf.DUMMYFUNCTION("""COMPUTED_VALUE"""),"RobB_W1")</f>
        <v>RobB_W1</v>
      </c>
      <c r="D1004" s="75">
        <f>IFERROR(__xludf.DUMMYFUNCTION("""COMPUTED_VALUE"""),0.0)</f>
        <v>0</v>
      </c>
      <c r="E1004" s="64"/>
      <c r="F1004" s="95"/>
      <c r="G1004" s="96"/>
      <c r="H1004" s="64"/>
      <c r="I1004" s="64"/>
      <c r="J1004" s="64"/>
      <c r="K1004" s="64"/>
      <c r="L1004" s="64"/>
    </row>
    <row r="1005" ht="16.5" customHeight="1">
      <c r="A1005" s="64"/>
      <c r="B1005" s="80" t="s">
        <v>18249</v>
      </c>
      <c r="C1005" s="81" t="str">
        <f>IFERROR(__xludf.DUMMYFUNCTION("""COMPUTED_VALUE"""),"Rob_Kimbell")</f>
        <v>Rob_Kimbell</v>
      </c>
      <c r="D1005" s="75">
        <f>IFERROR(__xludf.DUMMYFUNCTION("""COMPUTED_VALUE"""),0.0)</f>
        <v>0</v>
      </c>
      <c r="E1005" s="64"/>
      <c r="F1005" s="95"/>
      <c r="G1005" s="96"/>
      <c r="H1005" s="64"/>
      <c r="I1005" s="64"/>
      <c r="J1005" s="64"/>
      <c r="K1005" s="64"/>
      <c r="L1005" s="64"/>
    </row>
    <row r="1006" ht="16.5" customHeight="1">
      <c r="A1006" s="64"/>
      <c r="B1006" s="80" t="s">
        <v>18249</v>
      </c>
      <c r="C1006" s="81" t="str">
        <f>IFERROR(__xludf.DUMMYFUNCTION("""COMPUTED_VALUE"""),"Robby5211")</f>
        <v>Robby5211</v>
      </c>
      <c r="D1006" s="75">
        <f>IFERROR(__xludf.DUMMYFUNCTION("""COMPUTED_VALUE"""),0.0)</f>
        <v>0</v>
      </c>
      <c r="E1006" s="64"/>
      <c r="F1006" s="95"/>
      <c r="G1006" s="96"/>
      <c r="H1006" s="64"/>
      <c r="I1006" s="64"/>
      <c r="J1006" s="64"/>
      <c r="K1006" s="64"/>
      <c r="L1006" s="64"/>
    </row>
    <row r="1007" ht="16.5" customHeight="1">
      <c r="A1007" s="64"/>
      <c r="B1007" s="80" t="s">
        <v>18249</v>
      </c>
      <c r="C1007" s="81" t="str">
        <f>IFERROR(__xludf.DUMMYFUNCTION("""COMPUTED_VALUE"""),"Robert291213511")</f>
        <v>Robert291213511</v>
      </c>
      <c r="D1007" s="75">
        <f>IFERROR(__xludf.DUMMYFUNCTION("""COMPUTED_VALUE"""),0.0)</f>
        <v>0</v>
      </c>
      <c r="E1007" s="64"/>
      <c r="F1007" s="95"/>
      <c r="G1007" s="96"/>
      <c r="H1007" s="64"/>
      <c r="I1007" s="64"/>
      <c r="J1007" s="64"/>
      <c r="K1007" s="64"/>
      <c r="L1007" s="64"/>
    </row>
    <row r="1008" ht="16.5" customHeight="1">
      <c r="A1008" s="64"/>
      <c r="B1008" s="80" t="s">
        <v>18249</v>
      </c>
      <c r="C1008" s="81" t="str">
        <f>IFERROR(__xludf.DUMMYFUNCTION("""COMPUTED_VALUE"""),"RobertFillies1")</f>
        <v>RobertFillies1</v>
      </c>
      <c r="D1008" s="75">
        <f>IFERROR(__xludf.DUMMYFUNCTION("""COMPUTED_VALUE"""),0.0)</f>
        <v>0</v>
      </c>
      <c r="E1008" s="64"/>
      <c r="F1008" s="95"/>
      <c r="G1008" s="96"/>
      <c r="H1008" s="64"/>
      <c r="I1008" s="64"/>
      <c r="J1008" s="64"/>
      <c r="K1008" s="64"/>
      <c r="L1008" s="64"/>
    </row>
    <row r="1009" ht="16.5" customHeight="1">
      <c r="A1009" s="64"/>
      <c r="B1009" s="80" t="s">
        <v>18249</v>
      </c>
      <c r="C1009" s="81" t="str">
        <f>IFERROR(__xludf.DUMMYFUNCTION("""COMPUTED_VALUE"""),"RockDoc1975")</f>
        <v>RockDoc1975</v>
      </c>
      <c r="D1009" s="75">
        <f>IFERROR(__xludf.DUMMYFUNCTION("""COMPUTED_VALUE"""),0.0)</f>
        <v>0</v>
      </c>
      <c r="E1009" s="64"/>
      <c r="F1009" s="95"/>
      <c r="G1009" s="96"/>
      <c r="H1009" s="64"/>
      <c r="I1009" s="64"/>
      <c r="J1009" s="64"/>
      <c r="K1009" s="64"/>
      <c r="L1009" s="64"/>
    </row>
    <row r="1010" ht="16.5" customHeight="1">
      <c r="A1010" s="64"/>
      <c r="B1010" s="80" t="s">
        <v>18249</v>
      </c>
      <c r="C1010" s="81" t="str">
        <f>IFERROR(__xludf.DUMMYFUNCTION("""COMPUTED_VALUE"""),"RoderickOwenBa1")</f>
        <v>RoderickOwenBa1</v>
      </c>
      <c r="D1010" s="75">
        <f>IFERROR(__xludf.DUMMYFUNCTION("""COMPUTED_VALUE"""),0.0)</f>
        <v>0</v>
      </c>
      <c r="E1010" s="64"/>
      <c r="F1010" s="95"/>
      <c r="G1010" s="96"/>
      <c r="H1010" s="64"/>
      <c r="I1010" s="64"/>
      <c r="J1010" s="64"/>
      <c r="K1010" s="64"/>
      <c r="L1010" s="64"/>
    </row>
    <row r="1011" ht="16.5" customHeight="1">
      <c r="A1011" s="64"/>
      <c r="B1011" s="80" t="s">
        <v>18249</v>
      </c>
      <c r="C1011" s="81" t="str">
        <f>IFERROR(__xludf.DUMMYFUNCTION("""COMPUTED_VALUE"""),"RogMull")</f>
        <v>RogMull</v>
      </c>
      <c r="D1011" s="75">
        <f>IFERROR(__xludf.DUMMYFUNCTION("""COMPUTED_VALUE"""),0.0)</f>
        <v>0</v>
      </c>
      <c r="E1011" s="64"/>
      <c r="F1011" s="95"/>
      <c r="G1011" s="96"/>
      <c r="H1011" s="64"/>
      <c r="I1011" s="64"/>
      <c r="J1011" s="64"/>
      <c r="K1011" s="64"/>
      <c r="L1011" s="64"/>
    </row>
    <row r="1012" ht="16.5" customHeight="1">
      <c r="A1012" s="64"/>
      <c r="B1012" s="80" t="s">
        <v>18249</v>
      </c>
      <c r="C1012" s="81" t="str">
        <f>IFERROR(__xludf.DUMMYFUNCTION("""COMPUTED_VALUE"""),"RogerXMathew")</f>
        <v>RogerXMathew</v>
      </c>
      <c r="D1012" s="75">
        <f>IFERROR(__xludf.DUMMYFUNCTION("""COMPUTED_VALUE"""),0.0)</f>
        <v>0</v>
      </c>
      <c r="E1012" s="64"/>
      <c r="F1012" s="95"/>
      <c r="G1012" s="96"/>
      <c r="H1012" s="64"/>
      <c r="I1012" s="64"/>
      <c r="J1012" s="64"/>
      <c r="K1012" s="64"/>
      <c r="L1012" s="64"/>
    </row>
    <row r="1013" ht="16.5" customHeight="1">
      <c r="A1013" s="64"/>
      <c r="B1013" s="80" t="s">
        <v>18249</v>
      </c>
      <c r="C1013" s="81" t="str">
        <f>IFERROR(__xludf.DUMMYFUNCTION("""COMPUTED_VALUE"""),"RolandButter13")</f>
        <v>RolandButter13</v>
      </c>
      <c r="D1013" s="75">
        <f>IFERROR(__xludf.DUMMYFUNCTION("""COMPUTED_VALUE"""),0.0)</f>
        <v>0</v>
      </c>
      <c r="E1013" s="64"/>
      <c r="F1013" s="95"/>
      <c r="G1013" s="96"/>
      <c r="H1013" s="64"/>
      <c r="I1013" s="64"/>
      <c r="J1013" s="64"/>
      <c r="K1013" s="64"/>
      <c r="L1013" s="64"/>
    </row>
    <row r="1014" ht="16.5" customHeight="1">
      <c r="A1014" s="64"/>
      <c r="B1014" s="80" t="s">
        <v>18249</v>
      </c>
      <c r="C1014" s="81" t="str">
        <f>IFERROR(__xludf.DUMMYFUNCTION("""COMPUTED_VALUE"""),"RolandCPowell")</f>
        <v>RolandCPowell</v>
      </c>
      <c r="D1014" s="75">
        <f>IFERROR(__xludf.DUMMYFUNCTION("""COMPUTED_VALUE"""),0.0)</f>
        <v>0</v>
      </c>
      <c r="E1014" s="64"/>
      <c r="F1014" s="95"/>
      <c r="G1014" s="96"/>
      <c r="H1014" s="64"/>
      <c r="I1014" s="64"/>
      <c r="J1014" s="64"/>
      <c r="K1014" s="64"/>
      <c r="L1014" s="64"/>
    </row>
    <row r="1015" ht="16.5" customHeight="1">
      <c r="A1015" s="64"/>
      <c r="B1015" s="80" t="s">
        <v>18249</v>
      </c>
      <c r="C1015" s="81" t="str">
        <f>IFERROR(__xludf.DUMMYFUNCTION("""COMPUTED_VALUE"""),"Rollingwiththis")</f>
        <v>Rollingwiththis</v>
      </c>
      <c r="D1015" s="75">
        <f>IFERROR(__xludf.DUMMYFUNCTION("""COMPUTED_VALUE"""),0.0)</f>
        <v>0</v>
      </c>
      <c r="E1015" s="64"/>
      <c r="F1015" s="95"/>
      <c r="G1015" s="96"/>
      <c r="H1015" s="64"/>
      <c r="I1015" s="64"/>
      <c r="J1015" s="64"/>
      <c r="K1015" s="64"/>
      <c r="L1015" s="64"/>
    </row>
    <row r="1016" ht="16.5" customHeight="1">
      <c r="A1016" s="64"/>
      <c r="B1016" s="80" t="s">
        <v>18249</v>
      </c>
      <c r="C1016" s="81" t="str">
        <f>IFERROR(__xludf.DUMMYFUNCTION("""COMPUTED_VALUE"""),"RonPatton1")</f>
        <v>RonPatton1</v>
      </c>
      <c r="D1016" s="75">
        <f>IFERROR(__xludf.DUMMYFUNCTION("""COMPUTED_VALUE"""),0.0)</f>
        <v>0</v>
      </c>
      <c r="E1016" s="64"/>
      <c r="F1016" s="95"/>
      <c r="G1016" s="96"/>
      <c r="H1016" s="64"/>
      <c r="I1016" s="64"/>
      <c r="J1016" s="64"/>
      <c r="K1016" s="64"/>
      <c r="L1016" s="64"/>
    </row>
    <row r="1017" ht="16.5" customHeight="1">
      <c r="A1017" s="64"/>
      <c r="B1017" s="80" t="s">
        <v>18249</v>
      </c>
      <c r="C1017" s="81" t="str">
        <f>IFERROR(__xludf.DUMMYFUNCTION("""COMPUTED_VALUE"""),"RosMcM")</f>
        <v>RosMcM</v>
      </c>
      <c r="D1017" s="75">
        <f>IFERROR(__xludf.DUMMYFUNCTION("""COMPUTED_VALUE"""),0.0)</f>
        <v>0</v>
      </c>
      <c r="E1017" s="64"/>
      <c r="F1017" s="95"/>
      <c r="G1017" s="96"/>
      <c r="H1017" s="64"/>
      <c r="I1017" s="64"/>
      <c r="J1017" s="64"/>
      <c r="K1017" s="64"/>
      <c r="L1017" s="64"/>
    </row>
    <row r="1018" ht="16.5" customHeight="1">
      <c r="A1018" s="64"/>
      <c r="B1018" s="80" t="s">
        <v>18249</v>
      </c>
      <c r="C1018" s="81" t="str">
        <f>IFERROR(__xludf.DUMMYFUNCTION("""COMPUTED_VALUE"""),"RosStewart1")</f>
        <v>RosStewart1</v>
      </c>
      <c r="D1018" s="75">
        <f>IFERROR(__xludf.DUMMYFUNCTION("""COMPUTED_VALUE"""),0.0)</f>
        <v>0</v>
      </c>
      <c r="E1018" s="64"/>
      <c r="F1018" s="95"/>
      <c r="G1018" s="96"/>
      <c r="H1018" s="64"/>
      <c r="I1018" s="64"/>
      <c r="J1018" s="64"/>
      <c r="K1018" s="64"/>
      <c r="L1018" s="64"/>
    </row>
    <row r="1019" ht="16.5" customHeight="1">
      <c r="A1019" s="64"/>
      <c r="B1019" s="80" t="s">
        <v>18249</v>
      </c>
      <c r="C1019" s="81" t="str">
        <f>IFERROR(__xludf.DUMMYFUNCTION("""COMPUTED_VALUE"""),"Rosal7777")</f>
        <v>Rosal7777</v>
      </c>
      <c r="D1019" s="75">
        <f>IFERROR(__xludf.DUMMYFUNCTION("""COMPUTED_VALUE"""),0.0)</f>
        <v>0</v>
      </c>
      <c r="E1019" s="64"/>
      <c r="F1019" s="95"/>
      <c r="G1019" s="96"/>
      <c r="H1019" s="64"/>
      <c r="I1019" s="64"/>
      <c r="J1019" s="64"/>
      <c r="K1019" s="64"/>
      <c r="L1019" s="64"/>
    </row>
    <row r="1020" ht="16.5" customHeight="1">
      <c r="A1020" s="64"/>
      <c r="B1020" s="80" t="s">
        <v>18249</v>
      </c>
      <c r="C1020" s="81" t="str">
        <f>IFERROR(__xludf.DUMMYFUNCTION("""COMPUTED_VALUE"""),"RosieBeattie")</f>
        <v>RosieBeattie</v>
      </c>
      <c r="D1020" s="75">
        <f>IFERROR(__xludf.DUMMYFUNCTION("""COMPUTED_VALUE"""),0.0)</f>
        <v>0</v>
      </c>
      <c r="E1020" s="64"/>
      <c r="F1020" s="95"/>
      <c r="G1020" s="96"/>
      <c r="H1020" s="64"/>
      <c r="I1020" s="64"/>
      <c r="J1020" s="64"/>
      <c r="K1020" s="64"/>
      <c r="L1020" s="64"/>
    </row>
    <row r="1021" ht="16.5" customHeight="1">
      <c r="A1021" s="64"/>
      <c r="B1021" s="80" t="s">
        <v>18249</v>
      </c>
      <c r="C1021" s="81" t="str">
        <f>IFERROR(__xludf.DUMMYFUNCTION("""COMPUTED_VALUE"""),"Ross01735504Liz")</f>
        <v>Ross01735504Liz</v>
      </c>
      <c r="D1021" s="75">
        <f>IFERROR(__xludf.DUMMYFUNCTION("""COMPUTED_VALUE"""),0.0)</f>
        <v>0</v>
      </c>
      <c r="E1021" s="64"/>
      <c r="F1021" s="95"/>
      <c r="G1021" s="96"/>
      <c r="H1021" s="64"/>
      <c r="I1021" s="64"/>
      <c r="J1021" s="64"/>
      <c r="K1021" s="64"/>
      <c r="L1021" s="64"/>
    </row>
    <row r="1022" ht="16.5" customHeight="1">
      <c r="A1022" s="64"/>
      <c r="B1022" s="80" t="s">
        <v>18249</v>
      </c>
      <c r="C1022" s="81" t="str">
        <f>IFERROR(__xludf.DUMMYFUNCTION("""COMPUTED_VALUE"""),"Roughbird")</f>
        <v>Roughbird</v>
      </c>
      <c r="D1022" s="75">
        <f>IFERROR(__xludf.DUMMYFUNCTION("""COMPUTED_VALUE"""),0.0)</f>
        <v>0</v>
      </c>
      <c r="E1022" s="64"/>
      <c r="F1022" s="95"/>
      <c r="G1022" s="96"/>
      <c r="H1022" s="64"/>
      <c r="I1022" s="64"/>
      <c r="J1022" s="64"/>
      <c r="K1022" s="64"/>
      <c r="L1022" s="64"/>
    </row>
    <row r="1023" ht="16.5" customHeight="1">
      <c r="A1023" s="64"/>
      <c r="B1023" s="80" t="s">
        <v>18249</v>
      </c>
      <c r="C1023" s="81" t="str">
        <f>IFERROR(__xludf.DUMMYFUNCTION("""COMPUTED_VALUE"""),"Rudders60")</f>
        <v>Rudders60</v>
      </c>
      <c r="D1023" s="75">
        <f>IFERROR(__xludf.DUMMYFUNCTION("""COMPUTED_VALUE"""),0.0)</f>
        <v>0</v>
      </c>
      <c r="E1023" s="64"/>
      <c r="F1023" s="95"/>
      <c r="G1023" s="96"/>
      <c r="H1023" s="64"/>
      <c r="I1023" s="64"/>
      <c r="J1023" s="64"/>
      <c r="K1023" s="64"/>
      <c r="L1023" s="64"/>
    </row>
    <row r="1024" ht="16.5" customHeight="1">
      <c r="A1024" s="64"/>
      <c r="B1024" s="80" t="s">
        <v>18249</v>
      </c>
      <c r="C1024" s="81" t="str">
        <f>IFERROR(__xludf.DUMMYFUNCTION("""COMPUTED_VALUE"""),"RwAccommodation")</f>
        <v>RwAccommodation</v>
      </c>
      <c r="D1024" s="75">
        <f>IFERROR(__xludf.DUMMYFUNCTION("""COMPUTED_VALUE"""),0.0)</f>
        <v>0</v>
      </c>
      <c r="E1024" s="64"/>
      <c r="F1024" s="95"/>
      <c r="G1024" s="96"/>
      <c r="H1024" s="64"/>
      <c r="I1024" s="64"/>
      <c r="J1024" s="64"/>
      <c r="K1024" s="64"/>
      <c r="L1024" s="64"/>
    </row>
    <row r="1025" ht="16.5" customHeight="1">
      <c r="A1025" s="64"/>
      <c r="B1025" s="80" t="s">
        <v>18249</v>
      </c>
      <c r="C1025" s="81" t="str">
        <f>IFERROR(__xludf.DUMMYFUNCTION("""COMPUTED_VALUE"""),"SAH_Rowan")</f>
        <v>SAH_Rowan</v>
      </c>
      <c r="D1025" s="75">
        <f>IFERROR(__xludf.DUMMYFUNCTION("""COMPUTED_VALUE"""),0.0)</f>
        <v>0</v>
      </c>
      <c r="E1025" s="64"/>
      <c r="F1025" s="95"/>
      <c r="G1025" s="96"/>
      <c r="H1025" s="64"/>
      <c r="I1025" s="64"/>
      <c r="J1025" s="64"/>
      <c r="K1025" s="64"/>
      <c r="L1025" s="64"/>
    </row>
    <row r="1026" ht="16.5" customHeight="1">
      <c r="A1026" s="64"/>
      <c r="B1026" s="80" t="s">
        <v>18249</v>
      </c>
      <c r="C1026" s="81" t="str">
        <f>IFERROR(__xludf.DUMMYFUNCTION("""COMPUTED_VALUE"""),"SAdefiranye")</f>
        <v>SAdefiranye</v>
      </c>
      <c r="D1026" s="75">
        <f>IFERROR(__xludf.DUMMYFUNCTION("""COMPUTED_VALUE"""),0.0)</f>
        <v>0</v>
      </c>
      <c r="E1026" s="64"/>
      <c r="F1026" s="95"/>
      <c r="G1026" s="96"/>
      <c r="H1026" s="64"/>
      <c r="I1026" s="64"/>
      <c r="J1026" s="64"/>
      <c r="K1026" s="64"/>
      <c r="L1026" s="64"/>
    </row>
    <row r="1027" ht="16.5" customHeight="1">
      <c r="A1027" s="64"/>
      <c r="B1027" s="80" t="s">
        <v>18249</v>
      </c>
      <c r="C1027" s="81" t="str">
        <f>IFERROR(__xludf.DUMMYFUNCTION("""COMPUTED_VALUE"""),"SBarutta")</f>
        <v>SBarutta</v>
      </c>
      <c r="D1027" s="75">
        <f>IFERROR(__xludf.DUMMYFUNCTION("""COMPUTED_VALUE"""),0.0)</f>
        <v>0</v>
      </c>
      <c r="E1027" s="64"/>
      <c r="F1027" s="95"/>
      <c r="G1027" s="96"/>
      <c r="H1027" s="64"/>
      <c r="I1027" s="64"/>
      <c r="J1027" s="64"/>
      <c r="K1027" s="64"/>
      <c r="L1027" s="64"/>
    </row>
    <row r="1028" ht="16.5" customHeight="1">
      <c r="A1028" s="64"/>
      <c r="B1028" s="80" t="s">
        <v>18249</v>
      </c>
      <c r="C1028" s="81" t="str">
        <f>IFERROR(__xludf.DUMMYFUNCTION("""COMPUTED_VALUE"""),"SBurton63883172")</f>
        <v>SBurton63883172</v>
      </c>
      <c r="D1028" s="75">
        <f>IFERROR(__xludf.DUMMYFUNCTION("""COMPUTED_VALUE"""),0.0)</f>
        <v>0</v>
      </c>
      <c r="E1028" s="64"/>
      <c r="F1028" s="95"/>
      <c r="G1028" s="96"/>
      <c r="H1028" s="64"/>
      <c r="I1028" s="64"/>
      <c r="J1028" s="64"/>
      <c r="K1028" s="64"/>
      <c r="L1028" s="64"/>
    </row>
    <row r="1029" ht="16.5" customHeight="1">
      <c r="A1029" s="64"/>
      <c r="B1029" s="80" t="s">
        <v>18249</v>
      </c>
      <c r="C1029" s="81" t="str">
        <f>IFERROR(__xludf.DUMMYFUNCTION("""COMPUTED_VALUE"""),"SESuter1")</f>
        <v>SESuter1</v>
      </c>
      <c r="D1029" s="75">
        <f>IFERROR(__xludf.DUMMYFUNCTION("""COMPUTED_VALUE"""),0.0)</f>
        <v>0</v>
      </c>
      <c r="E1029" s="64"/>
      <c r="F1029" s="95"/>
      <c r="G1029" s="96"/>
      <c r="H1029" s="64"/>
      <c r="I1029" s="64"/>
      <c r="J1029" s="64"/>
      <c r="K1029" s="64"/>
      <c r="L1029" s="64"/>
    </row>
    <row r="1030" ht="16.5" customHeight="1">
      <c r="A1030" s="64"/>
      <c r="B1030" s="80" t="s">
        <v>18249</v>
      </c>
      <c r="C1030" s="81" t="str">
        <f>IFERROR(__xludf.DUMMYFUNCTION("""COMPUTED_VALUE"""),"SHarr73146294")</f>
        <v>SHarr73146294</v>
      </c>
      <c r="D1030" s="75">
        <f>IFERROR(__xludf.DUMMYFUNCTION("""COMPUTED_VALUE"""),0.0)</f>
        <v>0</v>
      </c>
      <c r="E1030" s="64"/>
      <c r="F1030" s="95"/>
      <c r="G1030" s="96"/>
      <c r="H1030" s="64"/>
      <c r="I1030" s="64"/>
      <c r="J1030" s="64"/>
      <c r="K1030" s="64"/>
      <c r="L1030" s="64"/>
    </row>
    <row r="1031" ht="16.5" customHeight="1">
      <c r="A1031" s="64"/>
      <c r="B1031" s="80" t="s">
        <v>18249</v>
      </c>
      <c r="C1031" s="81" t="str">
        <f>IFERROR(__xludf.DUMMYFUNCTION("""COMPUTED_VALUE"""),"SJABradley")</f>
        <v>SJABradley</v>
      </c>
      <c r="D1031" s="75">
        <f>IFERROR(__xludf.DUMMYFUNCTION("""COMPUTED_VALUE"""),0.0)</f>
        <v>0</v>
      </c>
      <c r="E1031" s="64"/>
      <c r="F1031" s="95"/>
      <c r="G1031" s="96"/>
      <c r="H1031" s="64"/>
      <c r="I1031" s="64"/>
      <c r="J1031" s="64"/>
      <c r="K1031" s="64"/>
      <c r="L1031" s="64"/>
    </row>
    <row r="1032" ht="16.5" customHeight="1">
      <c r="A1032" s="64"/>
      <c r="B1032" s="80" t="s">
        <v>18249</v>
      </c>
      <c r="C1032" s="81" t="str">
        <f>IFERROR(__xludf.DUMMYFUNCTION("""COMPUTED_VALUE"""),"SMOCKFORD")</f>
        <v>SMOCKFORD</v>
      </c>
      <c r="D1032" s="75">
        <f>IFERROR(__xludf.DUMMYFUNCTION("""COMPUTED_VALUE"""),0.0)</f>
        <v>0</v>
      </c>
      <c r="E1032" s="64"/>
      <c r="F1032" s="95"/>
      <c r="G1032" s="96"/>
      <c r="H1032" s="64"/>
      <c r="I1032" s="64"/>
      <c r="J1032" s="64"/>
      <c r="K1032" s="64"/>
      <c r="L1032" s="64"/>
    </row>
    <row r="1033" ht="16.5" customHeight="1">
      <c r="A1033" s="64"/>
      <c r="B1033" s="80" t="s">
        <v>18249</v>
      </c>
      <c r="C1033" s="81" t="str">
        <f>IFERROR(__xludf.DUMMYFUNCTION("""COMPUTED_VALUE"""),"SPropertyPortal")</f>
        <v>SPropertyPortal</v>
      </c>
      <c r="D1033" s="75">
        <f>IFERROR(__xludf.DUMMYFUNCTION("""COMPUTED_VALUE"""),0.0)</f>
        <v>0</v>
      </c>
      <c r="E1033" s="64"/>
      <c r="F1033" s="95"/>
      <c r="G1033" s="96"/>
      <c r="H1033" s="64"/>
      <c r="I1033" s="64"/>
      <c r="J1033" s="64"/>
      <c r="K1033" s="64"/>
      <c r="L1033" s="64"/>
    </row>
    <row r="1034" ht="16.5" customHeight="1">
      <c r="A1034" s="64"/>
      <c r="B1034" s="80" t="s">
        <v>18249</v>
      </c>
      <c r="C1034" s="81" t="str">
        <f>IFERROR(__xludf.DUMMYFUNCTION("""COMPUTED_VALUE"""),"SSabelus")</f>
        <v>SSabelus</v>
      </c>
      <c r="D1034" s="75">
        <f>IFERROR(__xludf.DUMMYFUNCTION("""COMPUTED_VALUE"""),0.0)</f>
        <v>0</v>
      </c>
      <c r="E1034" s="64"/>
      <c r="F1034" s="95"/>
      <c r="G1034" s="96"/>
      <c r="H1034" s="64"/>
      <c r="I1034" s="64"/>
      <c r="J1034" s="64"/>
      <c r="K1034" s="64"/>
      <c r="L1034" s="64"/>
    </row>
    <row r="1035" ht="16.5" customHeight="1">
      <c r="A1035" s="64"/>
      <c r="B1035" s="80" t="s">
        <v>18249</v>
      </c>
      <c r="C1035" s="81" t="str">
        <f>IFERROR(__xludf.DUMMYFUNCTION("""COMPUTED_VALUE"""),"STilston")</f>
        <v>STilston</v>
      </c>
      <c r="D1035" s="75">
        <f>IFERROR(__xludf.DUMMYFUNCTION("""COMPUTED_VALUE"""),0.0)</f>
        <v>0</v>
      </c>
      <c r="E1035" s="64"/>
      <c r="F1035" s="95"/>
      <c r="G1035" s="96"/>
      <c r="H1035" s="64"/>
      <c r="I1035" s="64"/>
      <c r="J1035" s="64"/>
      <c r="K1035" s="64"/>
      <c r="L1035" s="64"/>
    </row>
    <row r="1036" ht="16.5" customHeight="1">
      <c r="A1036" s="64"/>
      <c r="B1036" s="80" t="s">
        <v>18249</v>
      </c>
      <c r="C1036" s="81" t="str">
        <f>IFERROR(__xludf.DUMMYFUNCTION("""COMPUTED_VALUE"""),"SZeitblom")</f>
        <v>SZeitblom</v>
      </c>
      <c r="D1036" s="75">
        <f>IFERROR(__xludf.DUMMYFUNCTION("""COMPUTED_VALUE"""),0.0)</f>
        <v>0</v>
      </c>
      <c r="E1036" s="64"/>
      <c r="F1036" s="95"/>
      <c r="G1036" s="96"/>
      <c r="H1036" s="64"/>
      <c r="I1036" s="64"/>
      <c r="J1036" s="64"/>
      <c r="K1036" s="64"/>
      <c r="L1036" s="64"/>
    </row>
    <row r="1037" ht="16.5" customHeight="1">
      <c r="A1037" s="64"/>
      <c r="B1037" s="80" t="s">
        <v>18249</v>
      </c>
      <c r="C1037" s="81" t="str">
        <f>IFERROR(__xludf.DUMMYFUNCTION("""COMPUTED_VALUE"""),"Sajad_Faz")</f>
        <v>Sajad_Faz</v>
      </c>
      <c r="D1037" s="75">
        <f>IFERROR(__xludf.DUMMYFUNCTION("""COMPUTED_VALUE"""),0.0)</f>
        <v>0</v>
      </c>
      <c r="E1037" s="64"/>
      <c r="F1037" s="95"/>
      <c r="G1037" s="96"/>
      <c r="H1037" s="64"/>
      <c r="I1037" s="64"/>
      <c r="J1037" s="64"/>
      <c r="K1037" s="64"/>
      <c r="L1037" s="64"/>
    </row>
    <row r="1038" ht="16.5" customHeight="1">
      <c r="A1038" s="64"/>
      <c r="B1038" s="80" t="s">
        <v>18249</v>
      </c>
      <c r="C1038" s="81" t="str">
        <f>IFERROR(__xludf.DUMMYFUNCTION("""COMPUTED_VALUE"""),"Salanais")</f>
        <v>Salanais</v>
      </c>
      <c r="D1038" s="75">
        <f>IFERROR(__xludf.DUMMYFUNCTION("""COMPUTED_VALUE"""),0.0)</f>
        <v>0</v>
      </c>
      <c r="E1038" s="64"/>
      <c r="F1038" s="95"/>
      <c r="G1038" s="96"/>
      <c r="H1038" s="64"/>
      <c r="I1038" s="64"/>
      <c r="J1038" s="64"/>
      <c r="K1038" s="64"/>
      <c r="L1038" s="64"/>
    </row>
    <row r="1039" ht="16.5" customHeight="1">
      <c r="A1039" s="64"/>
      <c r="B1039" s="80" t="s">
        <v>18249</v>
      </c>
      <c r="C1039" s="81" t="str">
        <f>IFERROR(__xludf.DUMMYFUNCTION("""COMPUTED_VALUE"""),"SallyAnneWalker")</f>
        <v>SallyAnneWalker</v>
      </c>
      <c r="D1039" s="75">
        <f>IFERROR(__xludf.DUMMYFUNCTION("""COMPUTED_VALUE"""),0.0)</f>
        <v>0</v>
      </c>
      <c r="E1039" s="64"/>
      <c r="F1039" s="95"/>
      <c r="G1039" s="96"/>
      <c r="H1039" s="64"/>
      <c r="I1039" s="64"/>
      <c r="J1039" s="64"/>
      <c r="K1039" s="64"/>
      <c r="L1039" s="64"/>
    </row>
    <row r="1040" ht="16.5" customHeight="1">
      <c r="A1040" s="64"/>
      <c r="B1040" s="80" t="s">
        <v>18249</v>
      </c>
      <c r="C1040" s="81" t="str">
        <f>IFERROR(__xludf.DUMMYFUNCTION("""COMPUTED_VALUE"""),"SallyFereday")</f>
        <v>SallyFereday</v>
      </c>
      <c r="D1040" s="75">
        <f>IFERROR(__xludf.DUMMYFUNCTION("""COMPUTED_VALUE"""),0.0)</f>
        <v>0</v>
      </c>
      <c r="E1040" s="64"/>
      <c r="F1040" s="95"/>
      <c r="G1040" s="96"/>
      <c r="H1040" s="64"/>
      <c r="I1040" s="64"/>
      <c r="J1040" s="64"/>
      <c r="K1040" s="64"/>
      <c r="L1040" s="64"/>
    </row>
    <row r="1041" ht="16.5" customHeight="1">
      <c r="A1041" s="64"/>
      <c r="B1041" s="80" t="s">
        <v>18249</v>
      </c>
      <c r="C1041" s="81" t="str">
        <f>IFERROR(__xludf.DUMMYFUNCTION("""COMPUTED_VALUE"""),"Sam19803119")</f>
        <v>Sam19803119</v>
      </c>
      <c r="D1041" s="75">
        <f>IFERROR(__xludf.DUMMYFUNCTION("""COMPUTED_VALUE"""),0.0)</f>
        <v>0</v>
      </c>
      <c r="E1041" s="64"/>
      <c r="F1041" s="95"/>
      <c r="G1041" s="96"/>
      <c r="H1041" s="64"/>
      <c r="I1041" s="64"/>
      <c r="J1041" s="64"/>
      <c r="K1041" s="64"/>
      <c r="L1041" s="64"/>
    </row>
    <row r="1042" ht="16.5" customHeight="1">
      <c r="A1042" s="64"/>
      <c r="B1042" s="80" t="s">
        <v>18249</v>
      </c>
      <c r="C1042" s="81" t="str">
        <f>IFERROR(__xludf.DUMMYFUNCTION("""COMPUTED_VALUE"""),"SamFrance89")</f>
        <v>SamFrance89</v>
      </c>
      <c r="D1042" s="75">
        <f>IFERROR(__xludf.DUMMYFUNCTION("""COMPUTED_VALUE"""),0.0)</f>
        <v>0</v>
      </c>
      <c r="E1042" s="64"/>
      <c r="F1042" s="95"/>
      <c r="G1042" s="96"/>
      <c r="H1042" s="64"/>
      <c r="I1042" s="64"/>
      <c r="J1042" s="64"/>
      <c r="K1042" s="64"/>
      <c r="L1042" s="64"/>
    </row>
    <row r="1043" ht="16.5" customHeight="1">
      <c r="A1043" s="64"/>
      <c r="B1043" s="80" t="s">
        <v>18249</v>
      </c>
      <c r="C1043" s="81" t="str">
        <f>IFERROR(__xludf.DUMMYFUNCTION("""COMPUTED_VALUE"""),"Sam_Fellowes")</f>
        <v>Sam_Fellowes</v>
      </c>
      <c r="D1043" s="75">
        <f>IFERROR(__xludf.DUMMYFUNCTION("""COMPUTED_VALUE"""),0.0)</f>
        <v>0</v>
      </c>
      <c r="E1043" s="64"/>
      <c r="F1043" s="95"/>
      <c r="G1043" s="96"/>
      <c r="H1043" s="64"/>
      <c r="I1043" s="64"/>
      <c r="J1043" s="64"/>
      <c r="K1043" s="64"/>
      <c r="L1043" s="64"/>
    </row>
    <row r="1044" ht="16.5" customHeight="1">
      <c r="A1044" s="64"/>
      <c r="B1044" s="80" t="s">
        <v>18249</v>
      </c>
      <c r="C1044" s="81" t="str">
        <f>IFERROR(__xludf.DUMMYFUNCTION("""COMPUTED_VALUE"""),"SamanthaOdessa")</f>
        <v>SamanthaOdessa</v>
      </c>
      <c r="D1044" s="75">
        <f>IFERROR(__xludf.DUMMYFUNCTION("""COMPUTED_VALUE"""),0.0)</f>
        <v>0</v>
      </c>
      <c r="E1044" s="64"/>
      <c r="F1044" s="95"/>
      <c r="G1044" s="96"/>
      <c r="H1044" s="64"/>
      <c r="I1044" s="64"/>
      <c r="J1044" s="64"/>
      <c r="K1044" s="64"/>
      <c r="L1044" s="64"/>
    </row>
    <row r="1045" ht="16.5" customHeight="1">
      <c r="A1045" s="64"/>
      <c r="B1045" s="80" t="s">
        <v>18249</v>
      </c>
      <c r="C1045" s="81" t="str">
        <f>IFERROR(__xludf.DUMMYFUNCTION("""COMPUTED_VALUE"""),"SandraDunn1955")</f>
        <v>SandraDunn1955</v>
      </c>
      <c r="D1045" s="75">
        <f>IFERROR(__xludf.DUMMYFUNCTION("""COMPUTED_VALUE"""),0.0)</f>
        <v>0</v>
      </c>
      <c r="E1045" s="64"/>
      <c r="F1045" s="95"/>
      <c r="G1045" s="96"/>
      <c r="H1045" s="64"/>
      <c r="I1045" s="64"/>
      <c r="J1045" s="64"/>
      <c r="K1045" s="64"/>
      <c r="L1045" s="64"/>
    </row>
    <row r="1046" ht="16.5" customHeight="1">
      <c r="A1046" s="64"/>
      <c r="B1046" s="80" t="s">
        <v>18249</v>
      </c>
      <c r="C1046" s="81" t="str">
        <f>IFERROR(__xludf.DUMMYFUNCTION("""COMPUTED_VALUE"""),"SandraE82526551")</f>
        <v>SandraE82526551</v>
      </c>
      <c r="D1046" s="75">
        <f>IFERROR(__xludf.DUMMYFUNCTION("""COMPUTED_VALUE"""),0.0)</f>
        <v>0</v>
      </c>
      <c r="E1046" s="64"/>
      <c r="F1046" s="95"/>
      <c r="G1046" s="96"/>
      <c r="H1046" s="64"/>
      <c r="I1046" s="64"/>
      <c r="J1046" s="64"/>
      <c r="K1046" s="64"/>
      <c r="L1046" s="64"/>
    </row>
    <row r="1047" ht="16.5" customHeight="1">
      <c r="A1047" s="64"/>
      <c r="B1047" s="80" t="s">
        <v>18249</v>
      </c>
      <c r="C1047" s="81" t="str">
        <f>IFERROR(__xludf.DUMMYFUNCTION("""COMPUTED_VALUE"""),"Sandrapeake10")</f>
        <v>Sandrapeake10</v>
      </c>
      <c r="D1047" s="75">
        <f>IFERROR(__xludf.DUMMYFUNCTION("""COMPUTED_VALUE"""),0.0)</f>
        <v>0</v>
      </c>
      <c r="E1047" s="64"/>
      <c r="F1047" s="95"/>
      <c r="G1047" s="96"/>
      <c r="H1047" s="64"/>
      <c r="I1047" s="64"/>
      <c r="J1047" s="64"/>
      <c r="K1047" s="64"/>
      <c r="L1047" s="64"/>
    </row>
    <row r="1048" ht="16.5" customHeight="1">
      <c r="A1048" s="64"/>
      <c r="B1048" s="80" t="s">
        <v>18249</v>
      </c>
      <c r="C1048" s="81" t="str">
        <f>IFERROR(__xludf.DUMMYFUNCTION("""COMPUTED_VALUE"""),"Sanvers84")</f>
        <v>Sanvers84</v>
      </c>
      <c r="D1048" s="75">
        <f>IFERROR(__xludf.DUMMYFUNCTION("""COMPUTED_VALUE"""),0.0)</f>
        <v>0</v>
      </c>
      <c r="E1048" s="64"/>
      <c r="F1048" s="95"/>
      <c r="G1048" s="96"/>
      <c r="H1048" s="64"/>
      <c r="I1048" s="64"/>
      <c r="J1048" s="64"/>
      <c r="K1048" s="64"/>
      <c r="L1048" s="64"/>
    </row>
    <row r="1049" ht="16.5" customHeight="1">
      <c r="A1049" s="64"/>
      <c r="B1049" s="80" t="s">
        <v>18249</v>
      </c>
      <c r="C1049" s="81" t="str">
        <f>IFERROR(__xludf.DUMMYFUNCTION("""COMPUTED_VALUE"""),"SaraGSLondon")</f>
        <v>SaraGSLondon</v>
      </c>
      <c r="D1049" s="75">
        <f>IFERROR(__xludf.DUMMYFUNCTION("""COMPUTED_VALUE"""),0.0)</f>
        <v>0</v>
      </c>
      <c r="E1049" s="64"/>
      <c r="F1049" s="95"/>
      <c r="G1049" s="96"/>
      <c r="H1049" s="64"/>
      <c r="I1049" s="64"/>
      <c r="J1049" s="64"/>
      <c r="K1049" s="64"/>
      <c r="L1049" s="64"/>
    </row>
    <row r="1050" ht="16.5" customHeight="1">
      <c r="A1050" s="64"/>
      <c r="B1050" s="80" t="s">
        <v>18249</v>
      </c>
      <c r="C1050" s="81" t="str">
        <f>IFERROR(__xludf.DUMMYFUNCTION("""COMPUTED_VALUE"""),"SarahSt61447620")</f>
        <v>SarahSt61447620</v>
      </c>
      <c r="D1050" s="75">
        <f>IFERROR(__xludf.DUMMYFUNCTION("""COMPUTED_VALUE"""),0.0)</f>
        <v>0</v>
      </c>
      <c r="E1050" s="64"/>
      <c r="F1050" s="95"/>
      <c r="G1050" s="96"/>
      <c r="H1050" s="64"/>
      <c r="I1050" s="64"/>
      <c r="J1050" s="64"/>
      <c r="K1050" s="64"/>
      <c r="L1050" s="64"/>
    </row>
    <row r="1051" ht="16.5" customHeight="1">
      <c r="A1051" s="64"/>
      <c r="B1051" s="80" t="s">
        <v>18249</v>
      </c>
      <c r="C1051" s="81" t="str">
        <f>IFERROR(__xludf.DUMMYFUNCTION("""COMPUTED_VALUE"""),"ScarletBertie")</f>
        <v>ScarletBertie</v>
      </c>
      <c r="D1051" s="75">
        <f>IFERROR(__xludf.DUMMYFUNCTION("""COMPUTED_VALUE"""),0.0)</f>
        <v>0</v>
      </c>
      <c r="E1051" s="64"/>
      <c r="F1051" s="95"/>
      <c r="G1051" s="96"/>
      <c r="H1051" s="64"/>
      <c r="I1051" s="64"/>
      <c r="J1051" s="64"/>
      <c r="K1051" s="64"/>
      <c r="L1051" s="64"/>
    </row>
    <row r="1052" ht="16.5" customHeight="1">
      <c r="A1052" s="64"/>
      <c r="B1052" s="80" t="s">
        <v>18249</v>
      </c>
      <c r="C1052" s="81" t="str">
        <f>IFERROR(__xludf.DUMMYFUNCTION("""COMPUTED_VALUE"""),"ScootinaK")</f>
        <v>ScootinaK</v>
      </c>
      <c r="D1052" s="75">
        <f>IFERROR(__xludf.DUMMYFUNCTION("""COMPUTED_VALUE"""),0.0)</f>
        <v>0</v>
      </c>
      <c r="E1052" s="64"/>
      <c r="F1052" s="95"/>
      <c r="G1052" s="96"/>
      <c r="H1052" s="64"/>
      <c r="I1052" s="64"/>
      <c r="J1052" s="64"/>
      <c r="K1052" s="64"/>
      <c r="L1052" s="64"/>
    </row>
    <row r="1053" ht="16.5" customHeight="1">
      <c r="A1053" s="64"/>
      <c r="B1053" s="80" t="s">
        <v>18249</v>
      </c>
      <c r="C1053" s="81" t="str">
        <f>IFERROR(__xludf.DUMMYFUNCTION("""COMPUTED_VALUE"""),"ScottBIngram")</f>
        <v>ScottBIngram</v>
      </c>
      <c r="D1053" s="75">
        <f>IFERROR(__xludf.DUMMYFUNCTION("""COMPUTED_VALUE"""),0.0)</f>
        <v>0</v>
      </c>
      <c r="E1053" s="64"/>
      <c r="F1053" s="95"/>
      <c r="G1053" s="96"/>
      <c r="H1053" s="64"/>
      <c r="I1053" s="64"/>
      <c r="J1053" s="64"/>
      <c r="K1053" s="64"/>
      <c r="L1053" s="64"/>
    </row>
    <row r="1054" ht="16.5" customHeight="1">
      <c r="A1054" s="64"/>
      <c r="B1054" s="80" t="s">
        <v>18249</v>
      </c>
      <c r="C1054" s="81" t="str">
        <f>IFERROR(__xludf.DUMMYFUNCTION("""COMPUTED_VALUE"""),"Scout342")</f>
        <v>Scout342</v>
      </c>
      <c r="D1054" s="75">
        <f>IFERROR(__xludf.DUMMYFUNCTION("""COMPUTED_VALUE"""),0.0)</f>
        <v>0</v>
      </c>
      <c r="E1054" s="64"/>
      <c r="F1054" s="95"/>
      <c r="G1054" s="96"/>
      <c r="H1054" s="64"/>
      <c r="I1054" s="64"/>
      <c r="J1054" s="64"/>
      <c r="K1054" s="64"/>
      <c r="L1054" s="64"/>
    </row>
    <row r="1055" ht="16.5" customHeight="1">
      <c r="A1055" s="64"/>
      <c r="B1055" s="80" t="s">
        <v>18249</v>
      </c>
      <c r="C1055" s="81" t="str">
        <f>IFERROR(__xludf.DUMMYFUNCTION("""COMPUTED_VALUE"""),"Scrabble817")</f>
        <v>Scrabble817</v>
      </c>
      <c r="D1055" s="75">
        <f>IFERROR(__xludf.DUMMYFUNCTION("""COMPUTED_VALUE"""),0.0)</f>
        <v>0</v>
      </c>
      <c r="E1055" s="64"/>
      <c r="F1055" s="95"/>
      <c r="G1055" s="96"/>
      <c r="H1055" s="64"/>
      <c r="I1055" s="64"/>
      <c r="J1055" s="64"/>
      <c r="K1055" s="64"/>
      <c r="L1055" s="64"/>
    </row>
    <row r="1056" ht="16.5" customHeight="1">
      <c r="A1056" s="64"/>
      <c r="B1056" s="80" t="s">
        <v>18249</v>
      </c>
      <c r="C1056" s="81" t="str">
        <f>IFERROR(__xludf.DUMMYFUNCTION("""COMPUTED_VALUE"""),"ScrewedContrac1")</f>
        <v>ScrewedContrac1</v>
      </c>
      <c r="D1056" s="75">
        <f>IFERROR(__xludf.DUMMYFUNCTION("""COMPUTED_VALUE"""),0.0)</f>
        <v>0</v>
      </c>
      <c r="E1056" s="64"/>
      <c r="F1056" s="95"/>
      <c r="G1056" s="96"/>
      <c r="H1056" s="64"/>
      <c r="I1056" s="64"/>
      <c r="J1056" s="64"/>
      <c r="K1056" s="64"/>
      <c r="L1056" s="64"/>
    </row>
    <row r="1057" ht="16.5" customHeight="1">
      <c r="A1057" s="64"/>
      <c r="B1057" s="80" t="s">
        <v>18249</v>
      </c>
      <c r="C1057" s="81" t="str">
        <f>IFERROR(__xludf.DUMMYFUNCTION("""COMPUTED_VALUE"""),"Scunner666")</f>
        <v>Scunner666</v>
      </c>
      <c r="D1057" s="75">
        <f>IFERROR(__xludf.DUMMYFUNCTION("""COMPUTED_VALUE"""),0.0)</f>
        <v>0</v>
      </c>
      <c r="E1057" s="64"/>
      <c r="F1057" s="95"/>
      <c r="G1057" s="96"/>
      <c r="H1057" s="64"/>
      <c r="I1057" s="64"/>
      <c r="J1057" s="64"/>
      <c r="K1057" s="64"/>
      <c r="L1057" s="64"/>
    </row>
    <row r="1058" ht="16.5" customHeight="1">
      <c r="A1058" s="64"/>
      <c r="B1058" s="80" t="s">
        <v>18249</v>
      </c>
      <c r="C1058" s="81" t="str">
        <f>IFERROR(__xludf.DUMMYFUNCTION("""COMPUTED_VALUE"""),"SeaBee35831442")</f>
        <v>SeaBee35831442</v>
      </c>
      <c r="D1058" s="75">
        <f>IFERROR(__xludf.DUMMYFUNCTION("""COMPUTED_VALUE"""),0.0)</f>
        <v>0</v>
      </c>
      <c r="E1058" s="64"/>
      <c r="F1058" s="95"/>
      <c r="G1058" s="96"/>
      <c r="H1058" s="64"/>
      <c r="I1058" s="64"/>
      <c r="J1058" s="64"/>
      <c r="K1058" s="64"/>
      <c r="L1058" s="64"/>
    </row>
    <row r="1059" ht="16.5" customHeight="1">
      <c r="A1059" s="64"/>
      <c r="B1059" s="80" t="s">
        <v>18249</v>
      </c>
      <c r="C1059" s="81" t="str">
        <f>IFERROR(__xludf.DUMMYFUNCTION("""COMPUTED_VALUE"""),"SeanScannell")</f>
        <v>SeanScannell</v>
      </c>
      <c r="D1059" s="75">
        <f>IFERROR(__xludf.DUMMYFUNCTION("""COMPUTED_VALUE"""),0.0)</f>
        <v>0</v>
      </c>
      <c r="E1059" s="64"/>
      <c r="F1059" s="95"/>
      <c r="G1059" s="96"/>
      <c r="H1059" s="64"/>
      <c r="I1059" s="64"/>
      <c r="J1059" s="64"/>
      <c r="K1059" s="64"/>
      <c r="L1059" s="64"/>
    </row>
    <row r="1060" ht="16.5" customHeight="1">
      <c r="A1060" s="64"/>
      <c r="B1060" s="80" t="s">
        <v>18249</v>
      </c>
      <c r="C1060" s="81" t="str">
        <f>IFERROR(__xludf.DUMMYFUNCTION("""COMPUTED_VALUE"""),"SebFinknottle")</f>
        <v>SebFinknottle</v>
      </c>
      <c r="D1060" s="75">
        <f>IFERROR(__xludf.DUMMYFUNCTION("""COMPUTED_VALUE"""),0.0)</f>
        <v>0</v>
      </c>
      <c r="E1060" s="64"/>
      <c r="F1060" s="95"/>
      <c r="G1060" s="96"/>
      <c r="H1060" s="64"/>
      <c r="I1060" s="64"/>
      <c r="J1060" s="64"/>
      <c r="K1060" s="64"/>
      <c r="L1060" s="64"/>
    </row>
    <row r="1061" ht="16.5" customHeight="1">
      <c r="A1061" s="64"/>
      <c r="B1061" s="80" t="s">
        <v>18249</v>
      </c>
      <c r="C1061" s="81" t="str">
        <f>IFERROR(__xludf.DUMMYFUNCTION("""COMPUTED_VALUE"""),"Sharpy47")</f>
        <v>Sharpy47</v>
      </c>
      <c r="D1061" s="75">
        <f>IFERROR(__xludf.DUMMYFUNCTION("""COMPUTED_VALUE"""),0.0)</f>
        <v>0</v>
      </c>
      <c r="E1061" s="64"/>
      <c r="F1061" s="95"/>
      <c r="G1061" s="96"/>
      <c r="H1061" s="64"/>
      <c r="I1061" s="64"/>
      <c r="J1061" s="64"/>
      <c r="K1061" s="64"/>
      <c r="L1061" s="64"/>
    </row>
    <row r="1062" ht="16.5" customHeight="1">
      <c r="A1062" s="64"/>
      <c r="B1062" s="80" t="s">
        <v>18249</v>
      </c>
      <c r="C1062" s="81" t="str">
        <f>IFERROR(__xludf.DUMMYFUNCTION("""COMPUTED_VALUE"""),"Shaukat786786")</f>
        <v>Shaukat786786</v>
      </c>
      <c r="D1062" s="75">
        <f>IFERROR(__xludf.DUMMYFUNCTION("""COMPUTED_VALUE"""),0.0)</f>
        <v>0</v>
      </c>
      <c r="E1062" s="64"/>
      <c r="F1062" s="95"/>
      <c r="G1062" s="96"/>
      <c r="H1062" s="64"/>
      <c r="I1062" s="64"/>
      <c r="J1062" s="64"/>
      <c r="K1062" s="64"/>
      <c r="L1062" s="64"/>
    </row>
    <row r="1063" ht="16.5" customHeight="1">
      <c r="A1063" s="64"/>
      <c r="B1063" s="80" t="s">
        <v>18249</v>
      </c>
      <c r="C1063" s="81" t="str">
        <f>IFERROR(__xludf.DUMMYFUNCTION("""COMPUTED_VALUE"""),"SheilaLeahW")</f>
        <v>SheilaLeahW</v>
      </c>
      <c r="D1063" s="75">
        <f>IFERROR(__xludf.DUMMYFUNCTION("""COMPUTED_VALUE"""),0.0)</f>
        <v>0</v>
      </c>
      <c r="E1063" s="64"/>
      <c r="F1063" s="95"/>
      <c r="G1063" s="96"/>
      <c r="H1063" s="64"/>
      <c r="I1063" s="64"/>
      <c r="J1063" s="64"/>
      <c r="K1063" s="64"/>
      <c r="L1063" s="64"/>
    </row>
    <row r="1064" ht="16.5" customHeight="1">
      <c r="A1064" s="64"/>
      <c r="B1064" s="80" t="s">
        <v>18249</v>
      </c>
      <c r="C1064" s="81" t="str">
        <f>IFERROR(__xludf.DUMMYFUNCTION("""COMPUTED_VALUE"""),"SheronBoyle1")</f>
        <v>SheronBoyle1</v>
      </c>
      <c r="D1064" s="75">
        <f>IFERROR(__xludf.DUMMYFUNCTION("""COMPUTED_VALUE"""),0.0)</f>
        <v>0</v>
      </c>
      <c r="E1064" s="64"/>
      <c r="F1064" s="95"/>
      <c r="G1064" s="96"/>
      <c r="H1064" s="64"/>
      <c r="I1064" s="64"/>
      <c r="J1064" s="64"/>
      <c r="K1064" s="64"/>
      <c r="L1064" s="64"/>
    </row>
    <row r="1065" ht="16.5" customHeight="1">
      <c r="A1065" s="64"/>
      <c r="B1065" s="80" t="s">
        <v>18249</v>
      </c>
      <c r="C1065" s="81" t="str">
        <f>IFERROR(__xludf.DUMMYFUNCTION("""COMPUTED_VALUE"""),"ShortbreadFairy")</f>
        <v>ShortbreadFairy</v>
      </c>
      <c r="D1065" s="75">
        <f>IFERROR(__xludf.DUMMYFUNCTION("""COMPUTED_VALUE"""),0.0)</f>
        <v>0</v>
      </c>
      <c r="E1065" s="64"/>
      <c r="F1065" s="95"/>
      <c r="G1065" s="96"/>
      <c r="H1065" s="64"/>
      <c r="I1065" s="64"/>
      <c r="J1065" s="64"/>
      <c r="K1065" s="64"/>
      <c r="L1065" s="64"/>
    </row>
    <row r="1066" ht="16.5" customHeight="1">
      <c r="A1066" s="64"/>
      <c r="B1066" s="80" t="s">
        <v>18249</v>
      </c>
      <c r="C1066" s="81" t="str">
        <f>IFERROR(__xludf.DUMMYFUNCTION("""COMPUTED_VALUE"""),"Silklink")</f>
        <v>Silklink</v>
      </c>
      <c r="D1066" s="75">
        <f>IFERROR(__xludf.DUMMYFUNCTION("""COMPUTED_VALUE"""),0.0)</f>
        <v>0</v>
      </c>
      <c r="E1066" s="64"/>
      <c r="F1066" s="95"/>
      <c r="G1066" s="96"/>
      <c r="H1066" s="64"/>
      <c r="I1066" s="64"/>
      <c r="J1066" s="64"/>
      <c r="K1066" s="64"/>
      <c r="L1066" s="64"/>
    </row>
    <row r="1067" ht="16.5" customHeight="1">
      <c r="A1067" s="64"/>
      <c r="B1067" s="80" t="s">
        <v>18249</v>
      </c>
      <c r="C1067" s="81" t="str">
        <f>IFERROR(__xludf.DUMMYFUNCTION("""COMPUTED_VALUE"""),"SillyDeity")</f>
        <v>SillyDeity</v>
      </c>
      <c r="D1067" s="75">
        <f>IFERROR(__xludf.DUMMYFUNCTION("""COMPUTED_VALUE"""),0.0)</f>
        <v>0</v>
      </c>
      <c r="E1067" s="64"/>
      <c r="F1067" s="95"/>
      <c r="G1067" s="96"/>
      <c r="H1067" s="64"/>
      <c r="I1067" s="64"/>
      <c r="J1067" s="64"/>
      <c r="K1067" s="64"/>
      <c r="L1067" s="64"/>
    </row>
    <row r="1068" ht="16.5" customHeight="1">
      <c r="A1068" s="64"/>
      <c r="B1068" s="80" t="s">
        <v>18249</v>
      </c>
      <c r="C1068" s="81" t="str">
        <f>IFERROR(__xludf.DUMMYFUNCTION("""COMPUTED_VALUE"""),"SilverSniper007")</f>
        <v>SilverSniper007</v>
      </c>
      <c r="D1068" s="75">
        <f>IFERROR(__xludf.DUMMYFUNCTION("""COMPUTED_VALUE"""),0.0)</f>
        <v>0</v>
      </c>
      <c r="E1068" s="64"/>
      <c r="F1068" s="95"/>
      <c r="G1068" s="96"/>
      <c r="H1068" s="64"/>
      <c r="I1068" s="64"/>
      <c r="J1068" s="64"/>
      <c r="K1068" s="64"/>
      <c r="L1068" s="64"/>
    </row>
    <row r="1069" ht="16.5" customHeight="1">
      <c r="A1069" s="64"/>
      <c r="B1069" s="80" t="s">
        <v>18249</v>
      </c>
      <c r="C1069" s="81" t="str">
        <f>IFERROR(__xludf.DUMMYFUNCTION("""COMPUTED_VALUE"""),"SilverstonePod")</f>
        <v>SilverstonePod</v>
      </c>
      <c r="D1069" s="75">
        <f>IFERROR(__xludf.DUMMYFUNCTION("""COMPUTED_VALUE"""),0.0)</f>
        <v>0</v>
      </c>
      <c r="E1069" s="64"/>
      <c r="F1069" s="95"/>
      <c r="G1069" s="96"/>
      <c r="H1069" s="64"/>
      <c r="I1069" s="64"/>
      <c r="J1069" s="64"/>
      <c r="K1069" s="64"/>
      <c r="L1069" s="64"/>
    </row>
    <row r="1070" ht="16.5" customHeight="1">
      <c r="A1070" s="64"/>
      <c r="B1070" s="80" t="s">
        <v>18249</v>
      </c>
      <c r="C1070" s="81" t="str">
        <f>IFERROR(__xludf.DUMMYFUNCTION("""COMPUTED_VALUE"""),"SimmonsKen")</f>
        <v>SimmonsKen</v>
      </c>
      <c r="D1070" s="75">
        <f>IFERROR(__xludf.DUMMYFUNCTION("""COMPUTED_VALUE"""),0.0)</f>
        <v>0</v>
      </c>
      <c r="E1070" s="64"/>
      <c r="F1070" s="95"/>
      <c r="G1070" s="96"/>
      <c r="H1070" s="64"/>
      <c r="I1070" s="64"/>
      <c r="J1070" s="64"/>
      <c r="K1070" s="64"/>
      <c r="L1070" s="64"/>
    </row>
    <row r="1071" ht="16.5" customHeight="1">
      <c r="A1071" s="64"/>
      <c r="B1071" s="80" t="s">
        <v>18249</v>
      </c>
      <c r="C1071" s="81" t="str">
        <f>IFERROR(__xludf.DUMMYFUNCTION("""COMPUTED_VALUE"""),"SimonFoxWriter")</f>
        <v>SimonFoxWriter</v>
      </c>
      <c r="D1071" s="75">
        <f>IFERROR(__xludf.DUMMYFUNCTION("""COMPUTED_VALUE"""),0.0)</f>
        <v>0</v>
      </c>
      <c r="E1071" s="64"/>
      <c r="F1071" s="95"/>
      <c r="G1071" s="96"/>
      <c r="H1071" s="64"/>
      <c r="I1071" s="64"/>
      <c r="J1071" s="64"/>
      <c r="K1071" s="64"/>
      <c r="L1071" s="64"/>
    </row>
    <row r="1072" ht="16.5" customHeight="1">
      <c r="A1072" s="64"/>
      <c r="B1072" s="80" t="s">
        <v>18249</v>
      </c>
      <c r="C1072" s="81" t="str">
        <f>IFERROR(__xludf.DUMMYFUNCTION("""COMPUTED_VALUE"""),"SimonGardner18")</f>
        <v>SimonGardner18</v>
      </c>
      <c r="D1072" s="75">
        <f>IFERROR(__xludf.DUMMYFUNCTION("""COMPUTED_VALUE"""),0.0)</f>
        <v>0</v>
      </c>
      <c r="E1072" s="64"/>
      <c r="F1072" s="95"/>
      <c r="G1072" s="96"/>
      <c r="H1072" s="64"/>
      <c r="I1072" s="64"/>
      <c r="J1072" s="64"/>
      <c r="K1072" s="64"/>
      <c r="L1072" s="64"/>
    </row>
    <row r="1073" ht="16.5" customHeight="1">
      <c r="A1073" s="64"/>
      <c r="B1073" s="80" t="s">
        <v>18249</v>
      </c>
      <c r="C1073" s="81" t="str">
        <f>IFERROR(__xludf.DUMMYFUNCTION("""COMPUTED_VALUE"""),"SimonRodger8")</f>
        <v>SimonRodger8</v>
      </c>
      <c r="D1073" s="75">
        <f>IFERROR(__xludf.DUMMYFUNCTION("""COMPUTED_VALUE"""),0.0)</f>
        <v>0</v>
      </c>
      <c r="E1073" s="64"/>
      <c r="F1073" s="95"/>
      <c r="G1073" s="96"/>
      <c r="H1073" s="64"/>
      <c r="I1073" s="64"/>
      <c r="J1073" s="64"/>
      <c r="K1073" s="64"/>
      <c r="L1073" s="64"/>
    </row>
    <row r="1074" ht="16.5" customHeight="1">
      <c r="A1074" s="64"/>
      <c r="B1074" s="80" t="s">
        <v>18249</v>
      </c>
      <c r="C1074" s="81" t="str">
        <f>IFERROR(__xludf.DUMMYFUNCTION("""COMPUTED_VALUE"""),"SimonTurkas")</f>
        <v>SimonTurkas</v>
      </c>
      <c r="D1074" s="75">
        <f>IFERROR(__xludf.DUMMYFUNCTION("""COMPUTED_VALUE"""),0.0)</f>
        <v>0</v>
      </c>
      <c r="E1074" s="64"/>
      <c r="F1074" s="95"/>
      <c r="G1074" s="96"/>
      <c r="H1074" s="64"/>
      <c r="I1074" s="64"/>
      <c r="J1074" s="64"/>
      <c r="K1074" s="64"/>
      <c r="L1074" s="64"/>
    </row>
    <row r="1075" ht="16.5" customHeight="1">
      <c r="A1075" s="64"/>
      <c r="B1075" s="80" t="s">
        <v>18249</v>
      </c>
      <c r="C1075" s="81" t="str">
        <f>IFERROR(__xludf.DUMMYFUNCTION("""COMPUTED_VALUE"""),"SimonWattsHull")</f>
        <v>SimonWattsHull</v>
      </c>
      <c r="D1075" s="75">
        <f>IFERROR(__xludf.DUMMYFUNCTION("""COMPUTED_VALUE"""),0.0)</f>
        <v>0</v>
      </c>
      <c r="E1075" s="64"/>
      <c r="F1075" s="95"/>
      <c r="G1075" s="96"/>
      <c r="H1075" s="64"/>
      <c r="I1075" s="64"/>
      <c r="J1075" s="64"/>
      <c r="K1075" s="64"/>
      <c r="L1075" s="64"/>
    </row>
    <row r="1076" ht="16.5" customHeight="1">
      <c r="A1076" s="64"/>
      <c r="B1076" s="80" t="s">
        <v>18249</v>
      </c>
      <c r="C1076" s="81" t="str">
        <f>IFERROR(__xludf.DUMMYFUNCTION("""COMPUTED_VALUE"""),"SiobhanTurner23")</f>
        <v>SiobhanTurner23</v>
      </c>
      <c r="D1076" s="75">
        <f>IFERROR(__xludf.DUMMYFUNCTION("""COMPUTED_VALUE"""),0.0)</f>
        <v>0</v>
      </c>
      <c r="E1076" s="64"/>
      <c r="F1076" s="95"/>
      <c r="G1076" s="96"/>
      <c r="H1076" s="64"/>
      <c r="I1076" s="64"/>
      <c r="J1076" s="64"/>
      <c r="K1076" s="64"/>
      <c r="L1076" s="64"/>
    </row>
    <row r="1077" ht="16.5" customHeight="1">
      <c r="A1077" s="64"/>
      <c r="B1077" s="80" t="s">
        <v>18249</v>
      </c>
      <c r="C1077" s="81" t="str">
        <f>IFERROR(__xludf.DUMMYFUNCTION("""COMPUTED_VALUE"""),"SiouxsieShoo")</f>
        <v>SiouxsieShoo</v>
      </c>
      <c r="D1077" s="75">
        <f>IFERROR(__xludf.DUMMYFUNCTION("""COMPUTED_VALUE"""),0.0)</f>
        <v>0</v>
      </c>
      <c r="E1077" s="64"/>
      <c r="F1077" s="95"/>
      <c r="G1077" s="96"/>
      <c r="H1077" s="64"/>
      <c r="I1077" s="64"/>
      <c r="J1077" s="64"/>
      <c r="K1077" s="64"/>
      <c r="L1077" s="64"/>
    </row>
    <row r="1078" ht="16.5" customHeight="1">
      <c r="A1078" s="64"/>
      <c r="B1078" s="80" t="s">
        <v>18249</v>
      </c>
      <c r="C1078" s="81" t="str">
        <f>IFERROR(__xludf.DUMMYFUNCTION("""COMPUTED_VALUE"""),"SirCCodpiece")</f>
        <v>SirCCodpiece</v>
      </c>
      <c r="D1078" s="75">
        <f>IFERROR(__xludf.DUMMYFUNCTION("""COMPUTED_VALUE"""),0.0)</f>
        <v>0</v>
      </c>
      <c r="E1078" s="64"/>
      <c r="F1078" s="95"/>
      <c r="G1078" s="96"/>
      <c r="H1078" s="64"/>
      <c r="I1078" s="64"/>
      <c r="J1078" s="64"/>
      <c r="K1078" s="64"/>
      <c r="L1078" s="64"/>
    </row>
    <row r="1079" ht="16.5" customHeight="1">
      <c r="A1079" s="64"/>
      <c r="B1079" s="80" t="s">
        <v>18249</v>
      </c>
      <c r="C1079" s="81" t="str">
        <f>IFERROR(__xludf.DUMMYFUNCTION("""COMPUTED_VALUE"""),"SittingHard")</f>
        <v>SittingHard</v>
      </c>
      <c r="D1079" s="75">
        <f>IFERROR(__xludf.DUMMYFUNCTION("""COMPUTED_VALUE"""),0.0)</f>
        <v>0</v>
      </c>
      <c r="E1079" s="64"/>
      <c r="F1079" s="95"/>
      <c r="G1079" s="96"/>
      <c r="H1079" s="64"/>
      <c r="I1079" s="64"/>
      <c r="J1079" s="64"/>
      <c r="K1079" s="64"/>
      <c r="L1079" s="64"/>
    </row>
    <row r="1080" ht="16.5" customHeight="1">
      <c r="A1080" s="64"/>
      <c r="B1080" s="80" t="s">
        <v>18249</v>
      </c>
      <c r="C1080" s="81" t="str">
        <f>IFERROR(__xludf.DUMMYFUNCTION("""COMPUTED_VALUE"""),"Skaro7")</f>
        <v>Skaro7</v>
      </c>
      <c r="D1080" s="75">
        <f>IFERROR(__xludf.DUMMYFUNCTION("""COMPUTED_VALUE"""),0.0)</f>
        <v>0</v>
      </c>
      <c r="E1080" s="64"/>
      <c r="F1080" s="95"/>
      <c r="G1080" s="96"/>
      <c r="H1080" s="64"/>
      <c r="I1080" s="64"/>
      <c r="J1080" s="64"/>
      <c r="K1080" s="64"/>
      <c r="L1080" s="64"/>
    </row>
    <row r="1081" ht="16.5" customHeight="1">
      <c r="A1081" s="64"/>
      <c r="B1081" s="80" t="s">
        <v>18249</v>
      </c>
      <c r="C1081" s="81" t="str">
        <f>IFERROR(__xludf.DUMMYFUNCTION("""COMPUTED_VALUE"""),"Slimbarry2")</f>
        <v>Slimbarry2</v>
      </c>
      <c r="D1081" s="75">
        <f>IFERROR(__xludf.DUMMYFUNCTION("""COMPUTED_VALUE"""),0.0)</f>
        <v>0</v>
      </c>
      <c r="E1081" s="64"/>
      <c r="F1081" s="95"/>
      <c r="G1081" s="96"/>
      <c r="H1081" s="64"/>
      <c r="I1081" s="64"/>
      <c r="J1081" s="64"/>
      <c r="K1081" s="64"/>
      <c r="L1081" s="64"/>
    </row>
    <row r="1082" ht="16.5" customHeight="1">
      <c r="A1082" s="64"/>
      <c r="B1082" s="80" t="s">
        <v>18249</v>
      </c>
      <c r="C1082" s="81" t="str">
        <f>IFERROR(__xludf.DUMMYFUNCTION("""COMPUTED_VALUE"""),"Slots_o_fun")</f>
        <v>Slots_o_fun</v>
      </c>
      <c r="D1082" s="75">
        <f>IFERROR(__xludf.DUMMYFUNCTION("""COMPUTED_VALUE"""),0.0)</f>
        <v>0</v>
      </c>
      <c r="E1082" s="64"/>
      <c r="F1082" s="95"/>
      <c r="G1082" s="96"/>
      <c r="H1082" s="64"/>
      <c r="I1082" s="64"/>
      <c r="J1082" s="64"/>
      <c r="K1082" s="64"/>
      <c r="L1082" s="64"/>
    </row>
    <row r="1083" ht="16.5" customHeight="1">
      <c r="A1083" s="64"/>
      <c r="B1083" s="80" t="s">
        <v>18249</v>
      </c>
      <c r="C1083" s="81" t="str">
        <f>IFERROR(__xludf.DUMMYFUNCTION("""COMPUTED_VALUE"""),"SnookMalcolm")</f>
        <v>SnookMalcolm</v>
      </c>
      <c r="D1083" s="75">
        <f>IFERROR(__xludf.DUMMYFUNCTION("""COMPUTED_VALUE"""),0.0)</f>
        <v>0</v>
      </c>
      <c r="E1083" s="64"/>
      <c r="F1083" s="95"/>
      <c r="G1083" s="96"/>
      <c r="H1083" s="64"/>
      <c r="I1083" s="64"/>
      <c r="J1083" s="64"/>
      <c r="K1083" s="64"/>
      <c r="L1083" s="64"/>
    </row>
    <row r="1084" ht="16.5" customHeight="1">
      <c r="A1084" s="64"/>
      <c r="B1084" s="80" t="s">
        <v>18249</v>
      </c>
      <c r="C1084" s="81" t="str">
        <f>IFERROR(__xludf.DUMMYFUNCTION("""COMPUTED_VALUE"""),"SobiaStellarS")</f>
        <v>SobiaStellarS</v>
      </c>
      <c r="D1084" s="75">
        <f>IFERROR(__xludf.DUMMYFUNCTION("""COMPUTED_VALUE"""),0.0)</f>
        <v>0</v>
      </c>
      <c r="E1084" s="64"/>
      <c r="F1084" s="95"/>
      <c r="G1084" s="96"/>
      <c r="H1084" s="64"/>
      <c r="I1084" s="64"/>
      <c r="J1084" s="64"/>
      <c r="K1084" s="64"/>
      <c r="L1084" s="64"/>
    </row>
    <row r="1085" ht="16.5" customHeight="1">
      <c r="A1085" s="64"/>
      <c r="B1085" s="80" t="s">
        <v>18249</v>
      </c>
      <c r="C1085" s="81" t="str">
        <f>IFERROR(__xludf.DUMMYFUNCTION("""COMPUTED_VALUE"""),"SomersetDutch")</f>
        <v>SomersetDutch</v>
      </c>
      <c r="D1085" s="75">
        <f>IFERROR(__xludf.DUMMYFUNCTION("""COMPUTED_VALUE"""),0.0)</f>
        <v>0</v>
      </c>
      <c r="E1085" s="64"/>
      <c r="F1085" s="95"/>
      <c r="G1085" s="96"/>
      <c r="H1085" s="64"/>
      <c r="I1085" s="64"/>
      <c r="J1085" s="64"/>
      <c r="K1085" s="64"/>
      <c r="L1085" s="64"/>
    </row>
    <row r="1086" ht="16.5" customHeight="1">
      <c r="A1086" s="64"/>
      <c r="B1086" s="80" t="s">
        <v>18249</v>
      </c>
      <c r="C1086" s="81" t="str">
        <f>IFERROR(__xludf.DUMMYFUNCTION("""COMPUTED_VALUE"""),"SometimesMagic_")</f>
        <v>SometimesMagic_</v>
      </c>
      <c r="D1086" s="75">
        <f>IFERROR(__xludf.DUMMYFUNCTION("""COMPUTED_VALUE"""),0.0)</f>
        <v>0</v>
      </c>
      <c r="E1086" s="64"/>
      <c r="F1086" s="95"/>
      <c r="G1086" s="96"/>
      <c r="H1086" s="64"/>
      <c r="I1086" s="64"/>
      <c r="J1086" s="64"/>
      <c r="K1086" s="64"/>
      <c r="L1086" s="64"/>
    </row>
    <row r="1087" ht="16.5" customHeight="1">
      <c r="A1087" s="64"/>
      <c r="B1087" s="80" t="s">
        <v>18249</v>
      </c>
      <c r="C1087" s="81" t="str">
        <f>IFERROR(__xludf.DUMMYFUNCTION("""COMPUTED_VALUE"""),"SparklersW")</f>
        <v>SparklersW</v>
      </c>
      <c r="D1087" s="75">
        <f>IFERROR(__xludf.DUMMYFUNCTION("""COMPUTED_VALUE"""),0.0)</f>
        <v>0</v>
      </c>
      <c r="E1087" s="64"/>
      <c r="F1087" s="95"/>
      <c r="G1087" s="96"/>
      <c r="H1087" s="64"/>
      <c r="I1087" s="64"/>
      <c r="J1087" s="64"/>
      <c r="K1087" s="64"/>
      <c r="L1087" s="64"/>
    </row>
    <row r="1088" ht="16.5" customHeight="1">
      <c r="A1088" s="64"/>
      <c r="B1088" s="80" t="s">
        <v>18249</v>
      </c>
      <c r="C1088" s="81" t="str">
        <f>IFERROR(__xludf.DUMMYFUNCTION("""COMPUTED_VALUE"""),"SpindleBiggins")</f>
        <v>SpindleBiggins</v>
      </c>
      <c r="D1088" s="75">
        <f>IFERROR(__xludf.DUMMYFUNCTION("""COMPUTED_VALUE"""),0.0)</f>
        <v>0</v>
      </c>
      <c r="E1088" s="64"/>
      <c r="F1088" s="95"/>
      <c r="G1088" s="96"/>
      <c r="H1088" s="64"/>
      <c r="I1088" s="64"/>
      <c r="J1088" s="64"/>
      <c r="K1088" s="64"/>
      <c r="L1088" s="64"/>
    </row>
    <row r="1089" ht="16.5" customHeight="1">
      <c r="A1089" s="64"/>
      <c r="B1089" s="80" t="s">
        <v>18249</v>
      </c>
      <c r="C1089" s="81" t="str">
        <f>IFERROR(__xludf.DUMMYFUNCTION("""COMPUTED_VALUE"""),"SportIntegrity")</f>
        <v>SportIntegrity</v>
      </c>
      <c r="D1089" s="75">
        <f>IFERROR(__xludf.DUMMYFUNCTION("""COMPUTED_VALUE"""),0.0)</f>
        <v>0</v>
      </c>
      <c r="E1089" s="64"/>
      <c r="F1089" s="95"/>
      <c r="G1089" s="96"/>
      <c r="H1089" s="64"/>
      <c r="I1089" s="64"/>
      <c r="J1089" s="64"/>
      <c r="K1089" s="64"/>
      <c r="L1089" s="64"/>
    </row>
    <row r="1090" ht="16.5" customHeight="1">
      <c r="A1090" s="64"/>
      <c r="B1090" s="80" t="s">
        <v>18249</v>
      </c>
      <c r="C1090" s="81" t="str">
        <f>IFERROR(__xludf.DUMMYFUNCTION("""COMPUTED_VALUE"""),"Stanfrank53")</f>
        <v>Stanfrank53</v>
      </c>
      <c r="D1090" s="75">
        <f>IFERROR(__xludf.DUMMYFUNCTION("""COMPUTED_VALUE"""),0.0)</f>
        <v>0</v>
      </c>
      <c r="E1090" s="64"/>
      <c r="F1090" s="95"/>
      <c r="G1090" s="96"/>
      <c r="H1090" s="64"/>
      <c r="I1090" s="64"/>
      <c r="J1090" s="64"/>
      <c r="K1090" s="64"/>
      <c r="L1090" s="64"/>
    </row>
    <row r="1091" ht="16.5" customHeight="1">
      <c r="A1091" s="64"/>
      <c r="B1091" s="80" t="s">
        <v>18249</v>
      </c>
      <c r="C1091" s="81" t="str">
        <f>IFERROR(__xludf.DUMMYFUNCTION("""COMPUTED_VALUE"""),"StecEng22")</f>
        <v>StecEng22</v>
      </c>
      <c r="D1091" s="75">
        <f>IFERROR(__xludf.DUMMYFUNCTION("""COMPUTED_VALUE"""),0.0)</f>
        <v>0</v>
      </c>
      <c r="E1091" s="64"/>
      <c r="F1091" s="95"/>
      <c r="G1091" s="96"/>
      <c r="H1091" s="64"/>
      <c r="I1091" s="64"/>
      <c r="J1091" s="64"/>
      <c r="K1091" s="64"/>
      <c r="L1091" s="64"/>
    </row>
    <row r="1092" ht="16.5" customHeight="1">
      <c r="A1092" s="64"/>
      <c r="B1092" s="80" t="s">
        <v>18249</v>
      </c>
      <c r="C1092" s="81" t="str">
        <f>IFERROR(__xludf.DUMMYFUNCTION("""COMPUTED_VALUE"""),"StephenGill55")</f>
        <v>StephenGill55</v>
      </c>
      <c r="D1092" s="75">
        <f>IFERROR(__xludf.DUMMYFUNCTION("""COMPUTED_VALUE"""),0.0)</f>
        <v>0</v>
      </c>
      <c r="E1092" s="64"/>
      <c r="F1092" s="95"/>
      <c r="G1092" s="96"/>
      <c r="H1092" s="64"/>
      <c r="I1092" s="64"/>
      <c r="J1092" s="64"/>
      <c r="K1092" s="64"/>
      <c r="L1092" s="64"/>
    </row>
    <row r="1093" ht="16.5" customHeight="1">
      <c r="A1093" s="64"/>
      <c r="B1093" s="80" t="s">
        <v>18249</v>
      </c>
      <c r="C1093" s="81" t="str">
        <f>IFERROR(__xludf.DUMMYFUNCTION("""COMPUTED_VALUE"""),"SteveACooper")</f>
        <v>SteveACooper</v>
      </c>
      <c r="D1093" s="75">
        <f>IFERROR(__xludf.DUMMYFUNCTION("""COMPUTED_VALUE"""),0.0)</f>
        <v>0</v>
      </c>
      <c r="E1093" s="64"/>
      <c r="F1093" s="95"/>
      <c r="G1093" s="96"/>
      <c r="H1093" s="64"/>
      <c r="I1093" s="64"/>
      <c r="J1093" s="64"/>
      <c r="K1093" s="64"/>
      <c r="L1093" s="64"/>
    </row>
    <row r="1094" ht="16.5" customHeight="1">
      <c r="A1094" s="64"/>
      <c r="B1094" s="80" t="s">
        <v>18249</v>
      </c>
      <c r="C1094" s="81" t="str">
        <f>IFERROR(__xludf.DUMMYFUNCTION("""COMPUTED_VALUE"""),"Steve_Tomlin")</f>
        <v>Steve_Tomlin</v>
      </c>
      <c r="D1094" s="75">
        <f>IFERROR(__xludf.DUMMYFUNCTION("""COMPUTED_VALUE"""),0.0)</f>
        <v>0</v>
      </c>
      <c r="E1094" s="64"/>
      <c r="F1094" s="95"/>
      <c r="G1094" s="96"/>
      <c r="H1094" s="64"/>
      <c r="I1094" s="64"/>
      <c r="J1094" s="64"/>
      <c r="K1094" s="64"/>
      <c r="L1094" s="64"/>
    </row>
    <row r="1095" ht="16.5" customHeight="1">
      <c r="A1095" s="64"/>
      <c r="B1095" s="80" t="s">
        <v>18249</v>
      </c>
      <c r="C1095" s="81" t="str">
        <f>IFERROR(__xludf.DUMMYFUNCTION("""COMPUTED_VALUE"""),"StevenHeywood")</f>
        <v>StevenHeywood</v>
      </c>
      <c r="D1095" s="75">
        <f>IFERROR(__xludf.DUMMYFUNCTION("""COMPUTED_VALUE"""),0.0)</f>
        <v>0</v>
      </c>
      <c r="E1095" s="64"/>
      <c r="F1095" s="95"/>
      <c r="G1095" s="96"/>
      <c r="H1095" s="64"/>
      <c r="I1095" s="64"/>
      <c r="J1095" s="64"/>
      <c r="K1095" s="64"/>
      <c r="L1095" s="64"/>
    </row>
    <row r="1096" ht="16.5" customHeight="1">
      <c r="A1096" s="64"/>
      <c r="B1096" s="80" t="s">
        <v>18249</v>
      </c>
      <c r="C1096" s="81" t="str">
        <f>IFERROR(__xludf.DUMMYFUNCTION("""COMPUTED_VALUE"""),"SteviMandi")</f>
        <v>SteviMandi</v>
      </c>
      <c r="D1096" s="75">
        <f>IFERROR(__xludf.DUMMYFUNCTION("""COMPUTED_VALUE"""),0.0)</f>
        <v>0</v>
      </c>
      <c r="E1096" s="64"/>
      <c r="F1096" s="95"/>
      <c r="G1096" s="96"/>
      <c r="H1096" s="64"/>
      <c r="I1096" s="64"/>
      <c r="J1096" s="64"/>
      <c r="K1096" s="64"/>
      <c r="L1096" s="64"/>
    </row>
    <row r="1097" ht="16.5" customHeight="1">
      <c r="A1097" s="64"/>
      <c r="B1097" s="80" t="s">
        <v>18249</v>
      </c>
      <c r="C1097" s="81" t="str">
        <f>IFERROR(__xludf.DUMMYFUNCTION("""COMPUTED_VALUE"""),"StonedBishop1")</f>
        <v>StonedBishop1</v>
      </c>
      <c r="D1097" s="75">
        <f>IFERROR(__xludf.DUMMYFUNCTION("""COMPUTED_VALUE"""),0.0)</f>
        <v>0</v>
      </c>
      <c r="E1097" s="64"/>
      <c r="F1097" s="95"/>
      <c r="G1097" s="96"/>
      <c r="H1097" s="64"/>
      <c r="I1097" s="64"/>
      <c r="J1097" s="64"/>
      <c r="K1097" s="64"/>
      <c r="L1097" s="64"/>
    </row>
    <row r="1098" ht="16.5" customHeight="1">
      <c r="A1098" s="64"/>
      <c r="B1098" s="80" t="s">
        <v>18249</v>
      </c>
      <c r="C1098" s="81" t="str">
        <f>IFERROR(__xludf.DUMMYFUNCTION("""COMPUTED_VALUE"""),"StuBearhop")</f>
        <v>StuBearhop</v>
      </c>
      <c r="D1098" s="75">
        <f>IFERROR(__xludf.DUMMYFUNCTION("""COMPUTED_VALUE"""),0.0)</f>
        <v>0</v>
      </c>
      <c r="E1098" s="64"/>
      <c r="F1098" s="95"/>
      <c r="G1098" s="96"/>
      <c r="H1098" s="64"/>
      <c r="I1098" s="64"/>
      <c r="J1098" s="64"/>
      <c r="K1098" s="64"/>
      <c r="L1098" s="64"/>
    </row>
    <row r="1099" ht="16.5" customHeight="1">
      <c r="A1099" s="64"/>
      <c r="B1099" s="80" t="s">
        <v>18249</v>
      </c>
      <c r="C1099" s="81" t="str">
        <f>IFERROR(__xludf.DUMMYFUNCTION("""COMPUTED_VALUE"""),"Stu__F")</f>
        <v>Stu__F</v>
      </c>
      <c r="D1099" s="75">
        <f>IFERROR(__xludf.DUMMYFUNCTION("""COMPUTED_VALUE"""),0.0)</f>
        <v>0</v>
      </c>
      <c r="E1099" s="64"/>
      <c r="F1099" s="95"/>
      <c r="G1099" s="96"/>
      <c r="H1099" s="64"/>
      <c r="I1099" s="64"/>
      <c r="J1099" s="64"/>
      <c r="K1099" s="64"/>
      <c r="L1099" s="64"/>
    </row>
    <row r="1100" ht="16.5" customHeight="1">
      <c r="A1100" s="64"/>
      <c r="B1100" s="80" t="s">
        <v>18249</v>
      </c>
      <c r="C1100" s="81" t="str">
        <f>IFERROR(__xludf.DUMMYFUNCTION("""COMPUTED_VALUE"""),"StuartWeinstoc1")</f>
        <v>StuartWeinstoc1</v>
      </c>
      <c r="D1100" s="75">
        <f>IFERROR(__xludf.DUMMYFUNCTION("""COMPUTED_VALUE"""),0.0)</f>
        <v>0</v>
      </c>
      <c r="E1100" s="64"/>
      <c r="F1100" s="95"/>
      <c r="G1100" s="96"/>
      <c r="H1100" s="64"/>
      <c r="I1100" s="64"/>
      <c r="J1100" s="64"/>
      <c r="K1100" s="64"/>
      <c r="L1100" s="64"/>
    </row>
    <row r="1101" ht="16.5" customHeight="1">
      <c r="A1101" s="64"/>
      <c r="B1101" s="80" t="s">
        <v>18249</v>
      </c>
      <c r="C1101" s="81" t="str">
        <f>IFERROR(__xludf.DUMMYFUNCTION("""COMPUTED_VALUE"""),"StunnedVoter")</f>
        <v>StunnedVoter</v>
      </c>
      <c r="D1101" s="75">
        <f>IFERROR(__xludf.DUMMYFUNCTION("""COMPUTED_VALUE"""),0.0)</f>
        <v>0</v>
      </c>
      <c r="E1101" s="64"/>
      <c r="F1101" s="95"/>
      <c r="G1101" s="96"/>
      <c r="H1101" s="64"/>
      <c r="I1101" s="64"/>
      <c r="J1101" s="64"/>
      <c r="K1101" s="64"/>
      <c r="L1101" s="64"/>
    </row>
    <row r="1102" ht="16.5" customHeight="1">
      <c r="A1102" s="64"/>
      <c r="B1102" s="80" t="s">
        <v>18249</v>
      </c>
      <c r="C1102" s="81" t="str">
        <f>IFERROR(__xludf.DUMMYFUNCTION("""COMPUTED_VALUE"""),"Sue35497795")</f>
        <v>Sue35497795</v>
      </c>
      <c r="D1102" s="75">
        <f>IFERROR(__xludf.DUMMYFUNCTION("""COMPUTED_VALUE"""),0.0)</f>
        <v>0</v>
      </c>
      <c r="E1102" s="64"/>
      <c r="F1102" s="95"/>
      <c r="G1102" s="96"/>
      <c r="H1102" s="64"/>
      <c r="I1102" s="64"/>
      <c r="J1102" s="64"/>
      <c r="K1102" s="64"/>
      <c r="L1102" s="64"/>
    </row>
    <row r="1103" ht="16.5" customHeight="1">
      <c r="A1103" s="64"/>
      <c r="B1103" s="80" t="s">
        <v>18249</v>
      </c>
      <c r="C1103" s="81" t="str">
        <f>IFERROR(__xludf.DUMMYFUNCTION("""COMPUTED_VALUE"""),"SueEvan74444692")</f>
        <v>SueEvan74444692</v>
      </c>
      <c r="D1103" s="75">
        <f>IFERROR(__xludf.DUMMYFUNCTION("""COMPUTED_VALUE"""),0.0)</f>
        <v>0</v>
      </c>
      <c r="E1103" s="64"/>
      <c r="F1103" s="95"/>
      <c r="G1103" s="96"/>
      <c r="H1103" s="64"/>
      <c r="I1103" s="64"/>
      <c r="J1103" s="64"/>
      <c r="K1103" s="64"/>
      <c r="L1103" s="64"/>
    </row>
    <row r="1104" ht="16.5" customHeight="1">
      <c r="A1104" s="64"/>
      <c r="B1104" s="80" t="s">
        <v>18249</v>
      </c>
      <c r="C1104" s="81" t="str">
        <f>IFERROR(__xludf.DUMMYFUNCTION("""COMPUTED_VALUE"""),"SueHorsley7")</f>
        <v>SueHorsley7</v>
      </c>
      <c r="D1104" s="75">
        <f>IFERROR(__xludf.DUMMYFUNCTION("""COMPUTED_VALUE"""),0.0)</f>
        <v>0</v>
      </c>
      <c r="E1104" s="64"/>
      <c r="F1104" s="95"/>
      <c r="G1104" s="96"/>
      <c r="H1104" s="64"/>
      <c r="I1104" s="64"/>
      <c r="J1104" s="64"/>
      <c r="K1104" s="64"/>
      <c r="L1104" s="64"/>
    </row>
    <row r="1105" ht="16.5" customHeight="1">
      <c r="A1105" s="64"/>
      <c r="B1105" s="80" t="s">
        <v>18249</v>
      </c>
      <c r="C1105" s="81" t="str">
        <f>IFERROR(__xludf.DUMMYFUNCTION("""COMPUTED_VALUE"""),"SueKeen1")</f>
        <v>SueKeen1</v>
      </c>
      <c r="D1105" s="75">
        <f>IFERROR(__xludf.DUMMYFUNCTION("""COMPUTED_VALUE"""),0.0)</f>
        <v>0</v>
      </c>
      <c r="E1105" s="64"/>
      <c r="F1105" s="95"/>
      <c r="G1105" s="96"/>
      <c r="H1105" s="64"/>
      <c r="I1105" s="64"/>
      <c r="J1105" s="64"/>
      <c r="K1105" s="64"/>
      <c r="L1105" s="64"/>
    </row>
    <row r="1106" ht="16.5" customHeight="1">
      <c r="A1106" s="64"/>
      <c r="B1106" s="80" t="s">
        <v>18249</v>
      </c>
      <c r="C1106" s="81" t="str">
        <f>IFERROR(__xludf.DUMMYFUNCTION("""COMPUTED_VALUE"""),"SuePayn40820522")</f>
        <v>SuePayn40820522</v>
      </c>
      <c r="D1106" s="75">
        <f>IFERROR(__xludf.DUMMYFUNCTION("""COMPUTED_VALUE"""),0.0)</f>
        <v>0</v>
      </c>
      <c r="E1106" s="64"/>
      <c r="F1106" s="95"/>
      <c r="G1106" s="96"/>
      <c r="H1106" s="64"/>
      <c r="I1106" s="64"/>
      <c r="J1106" s="64"/>
      <c r="K1106" s="64"/>
      <c r="L1106" s="64"/>
    </row>
    <row r="1107" ht="16.5" customHeight="1">
      <c r="A1107" s="64"/>
      <c r="B1107" s="80" t="s">
        <v>18249</v>
      </c>
      <c r="C1107" s="81" t="str">
        <f>IFERROR(__xludf.DUMMYFUNCTION("""COMPUTED_VALUE"""),"Sukraine")</f>
        <v>Sukraine</v>
      </c>
      <c r="D1107" s="75">
        <f>IFERROR(__xludf.DUMMYFUNCTION("""COMPUTED_VALUE"""),0.0)</f>
        <v>0</v>
      </c>
      <c r="E1107" s="64"/>
      <c r="F1107" s="95"/>
      <c r="G1107" s="96"/>
      <c r="H1107" s="64"/>
      <c r="I1107" s="64"/>
      <c r="J1107" s="64"/>
      <c r="K1107" s="64"/>
      <c r="L1107" s="64"/>
    </row>
    <row r="1108" ht="16.5" customHeight="1">
      <c r="A1108" s="64"/>
      <c r="B1108" s="80" t="s">
        <v>18249</v>
      </c>
      <c r="C1108" s="81" t="str">
        <f>IFERROR(__xludf.DUMMYFUNCTION("""COMPUTED_VALUE"""),"SunandMoon15")</f>
        <v>SunandMoon15</v>
      </c>
      <c r="D1108" s="75">
        <f>IFERROR(__xludf.DUMMYFUNCTION("""COMPUTED_VALUE"""),0.0)</f>
        <v>0</v>
      </c>
      <c r="E1108" s="64"/>
      <c r="F1108" s="95"/>
      <c r="G1108" s="96"/>
      <c r="H1108" s="64"/>
      <c r="I1108" s="64"/>
      <c r="J1108" s="64"/>
      <c r="K1108" s="64"/>
      <c r="L1108" s="64"/>
    </row>
    <row r="1109" ht="16.5" customHeight="1">
      <c r="A1109" s="64"/>
      <c r="B1109" s="80" t="s">
        <v>18249</v>
      </c>
      <c r="C1109" s="81" t="str">
        <f>IFERROR(__xludf.DUMMYFUNCTION("""COMPUTED_VALUE"""),"Sunpoches")</f>
        <v>Sunpoches</v>
      </c>
      <c r="D1109" s="75">
        <f>IFERROR(__xludf.DUMMYFUNCTION("""COMPUTED_VALUE"""),0.0)</f>
        <v>0</v>
      </c>
      <c r="E1109" s="64"/>
      <c r="F1109" s="95"/>
      <c r="G1109" s="96"/>
      <c r="H1109" s="64"/>
      <c r="I1109" s="64"/>
      <c r="J1109" s="64"/>
      <c r="K1109" s="64"/>
      <c r="L1109" s="64"/>
    </row>
    <row r="1110" ht="16.5" customHeight="1">
      <c r="A1110" s="64"/>
      <c r="B1110" s="80" t="s">
        <v>18249</v>
      </c>
      <c r="C1110" s="81" t="str">
        <f>IFERROR(__xludf.DUMMYFUNCTION("""COMPUTED_VALUE"""),"Superbusinesz")</f>
        <v>Superbusinesz</v>
      </c>
      <c r="D1110" s="75">
        <f>IFERROR(__xludf.DUMMYFUNCTION("""COMPUTED_VALUE"""),0.0)</f>
        <v>0</v>
      </c>
      <c r="E1110" s="64"/>
      <c r="F1110" s="95"/>
      <c r="G1110" s="96"/>
      <c r="H1110" s="64"/>
      <c r="I1110" s="64"/>
      <c r="J1110" s="64"/>
      <c r="K1110" s="64"/>
      <c r="L1110" s="64"/>
    </row>
    <row r="1111" ht="16.5" customHeight="1">
      <c r="A1111" s="64"/>
      <c r="B1111" s="80" t="s">
        <v>18249</v>
      </c>
      <c r="C1111" s="81" t="str">
        <f>IFERROR(__xludf.DUMMYFUNCTION("""COMPUTED_VALUE"""),"Superfind")</f>
        <v>Superfind</v>
      </c>
      <c r="D1111" s="75">
        <f>IFERROR(__xludf.DUMMYFUNCTION("""COMPUTED_VALUE"""),0.0)</f>
        <v>0</v>
      </c>
      <c r="E1111" s="64"/>
      <c r="F1111" s="95"/>
      <c r="G1111" s="96"/>
      <c r="H1111" s="64"/>
      <c r="I1111" s="64"/>
      <c r="J1111" s="64"/>
      <c r="K1111" s="64"/>
      <c r="L1111" s="64"/>
    </row>
    <row r="1112" ht="16.5" customHeight="1">
      <c r="A1112" s="64"/>
      <c r="B1112" s="80" t="s">
        <v>18249</v>
      </c>
      <c r="C1112" s="81" t="str">
        <f>IFERROR(__xludf.DUMMYFUNCTION("""COMPUTED_VALUE"""),"SurreyHeathLDs")</f>
        <v>SurreyHeathLDs</v>
      </c>
      <c r="D1112" s="75">
        <f>IFERROR(__xludf.DUMMYFUNCTION("""COMPUTED_VALUE"""),0.0)</f>
        <v>0</v>
      </c>
      <c r="E1112" s="64"/>
      <c r="F1112" s="95"/>
      <c r="G1112" s="96"/>
      <c r="H1112" s="64"/>
      <c r="I1112" s="64"/>
      <c r="J1112" s="64"/>
      <c r="K1112" s="64"/>
      <c r="L1112" s="64"/>
    </row>
    <row r="1113" ht="16.5" customHeight="1">
      <c r="A1113" s="64"/>
      <c r="B1113" s="80" t="s">
        <v>18249</v>
      </c>
      <c r="C1113" s="81" t="str">
        <f>IFERROR(__xludf.DUMMYFUNCTION("""COMPUTED_VALUE"""),"Survindar")</f>
        <v>Survindar</v>
      </c>
      <c r="D1113" s="75">
        <f>IFERROR(__xludf.DUMMYFUNCTION("""COMPUTED_VALUE"""),0.0)</f>
        <v>0</v>
      </c>
      <c r="E1113" s="64"/>
      <c r="F1113" s="95"/>
      <c r="G1113" s="96"/>
      <c r="H1113" s="64"/>
      <c r="I1113" s="64"/>
      <c r="J1113" s="64"/>
      <c r="K1113" s="64"/>
      <c r="L1113" s="64"/>
    </row>
    <row r="1114" ht="16.5" customHeight="1">
      <c r="A1114" s="64"/>
      <c r="B1114" s="80" t="s">
        <v>18249</v>
      </c>
      <c r="C1114" s="81" t="str">
        <f>IFERROR(__xludf.DUMMYFUNCTION("""COMPUTED_VALUE"""),"SusanBayliss6")</f>
        <v>SusanBayliss6</v>
      </c>
      <c r="D1114" s="75">
        <f>IFERROR(__xludf.DUMMYFUNCTION("""COMPUTED_VALUE"""),0.0)</f>
        <v>0</v>
      </c>
      <c r="E1114" s="64"/>
      <c r="F1114" s="95"/>
      <c r="G1114" s="96"/>
      <c r="H1114" s="64"/>
      <c r="I1114" s="64"/>
      <c r="J1114" s="64"/>
      <c r="K1114" s="64"/>
      <c r="L1114" s="64"/>
    </row>
    <row r="1115" ht="16.5" customHeight="1">
      <c r="A1115" s="64"/>
      <c r="B1115" s="80" t="s">
        <v>18249</v>
      </c>
      <c r="C1115" s="81" t="str">
        <f>IFERROR(__xludf.DUMMYFUNCTION("""COMPUTED_VALUE"""),"SusanJo43071601")</f>
        <v>SusanJo43071601</v>
      </c>
      <c r="D1115" s="75">
        <f>IFERROR(__xludf.DUMMYFUNCTION("""COMPUTED_VALUE"""),0.0)</f>
        <v>0</v>
      </c>
      <c r="E1115" s="64"/>
      <c r="F1115" s="95"/>
      <c r="G1115" s="96"/>
      <c r="H1115" s="64"/>
      <c r="I1115" s="64"/>
      <c r="J1115" s="64"/>
      <c r="K1115" s="64"/>
      <c r="L1115" s="64"/>
    </row>
    <row r="1116" ht="16.5" customHeight="1">
      <c r="A1116" s="64"/>
      <c r="B1116" s="80" t="s">
        <v>18249</v>
      </c>
      <c r="C1116" s="81" t="str">
        <f>IFERROR(__xludf.DUMMYFUNCTION("""COMPUTED_VALUE"""),"SusiNew1")</f>
        <v>SusiNew1</v>
      </c>
      <c r="D1116" s="75">
        <f>IFERROR(__xludf.DUMMYFUNCTION("""COMPUTED_VALUE"""),0.0)</f>
        <v>0</v>
      </c>
      <c r="E1116" s="64"/>
      <c r="F1116" s="95"/>
      <c r="G1116" s="96"/>
      <c r="H1116" s="64"/>
      <c r="I1116" s="64"/>
      <c r="J1116" s="64"/>
      <c r="K1116" s="64"/>
      <c r="L1116" s="64"/>
    </row>
    <row r="1117" ht="16.5" customHeight="1">
      <c r="A1117" s="64"/>
      <c r="B1117" s="80" t="s">
        <v>18249</v>
      </c>
      <c r="C1117" s="81" t="str">
        <f>IFERROR(__xludf.DUMMYFUNCTION("""COMPUTED_VALUE"""),"SussexMark")</f>
        <v>SussexMark</v>
      </c>
      <c r="D1117" s="75">
        <f>IFERROR(__xludf.DUMMYFUNCTION("""COMPUTED_VALUE"""),0.0)</f>
        <v>0</v>
      </c>
      <c r="E1117" s="64"/>
      <c r="F1117" s="95"/>
      <c r="G1117" s="96"/>
      <c r="H1117" s="64"/>
      <c r="I1117" s="64"/>
      <c r="J1117" s="64"/>
      <c r="K1117" s="64"/>
      <c r="L1117" s="64"/>
    </row>
    <row r="1118" ht="16.5" customHeight="1">
      <c r="A1118" s="64"/>
      <c r="B1118" s="80" t="s">
        <v>18249</v>
      </c>
      <c r="C1118" s="81" t="str">
        <f>IFERROR(__xludf.DUMMYFUNCTION("""COMPUTED_VALUE"""),"Suziey33")</f>
        <v>Suziey33</v>
      </c>
      <c r="D1118" s="75">
        <f>IFERROR(__xludf.DUMMYFUNCTION("""COMPUTED_VALUE"""),0.0)</f>
        <v>0</v>
      </c>
      <c r="E1118" s="64"/>
      <c r="F1118" s="95"/>
      <c r="G1118" s="96"/>
      <c r="H1118" s="64"/>
      <c r="I1118" s="64"/>
      <c r="J1118" s="64"/>
      <c r="K1118" s="64"/>
      <c r="L1118" s="64"/>
    </row>
    <row r="1119" ht="16.5" customHeight="1">
      <c r="A1119" s="64"/>
      <c r="B1119" s="80" t="s">
        <v>18249</v>
      </c>
      <c r="C1119" s="81" t="str">
        <f>IFERROR(__xludf.DUMMYFUNCTION("""COMPUTED_VALUE"""),"Swingkatz")</f>
        <v>Swingkatz</v>
      </c>
      <c r="D1119" s="75">
        <f>IFERROR(__xludf.DUMMYFUNCTION("""COMPUTED_VALUE"""),0.0)</f>
        <v>0</v>
      </c>
      <c r="E1119" s="64"/>
      <c r="F1119" s="95"/>
      <c r="G1119" s="96"/>
      <c r="H1119" s="64"/>
      <c r="I1119" s="64"/>
      <c r="J1119" s="64"/>
      <c r="K1119" s="64"/>
      <c r="L1119" s="64"/>
    </row>
    <row r="1120" ht="16.5" customHeight="1">
      <c r="A1120" s="64"/>
      <c r="B1120" s="80" t="s">
        <v>18249</v>
      </c>
      <c r="C1120" s="81" t="str">
        <f>IFERROR(__xludf.DUMMYFUNCTION("""COMPUTED_VALUE"""),"Syed_A_Jaffery")</f>
        <v>Syed_A_Jaffery</v>
      </c>
      <c r="D1120" s="75">
        <f>IFERROR(__xludf.DUMMYFUNCTION("""COMPUTED_VALUE"""),0.0)</f>
        <v>0</v>
      </c>
      <c r="E1120" s="64"/>
      <c r="F1120" s="95"/>
      <c r="G1120" s="96"/>
      <c r="H1120" s="64"/>
      <c r="I1120" s="64"/>
      <c r="J1120" s="64"/>
      <c r="K1120" s="64"/>
      <c r="L1120" s="64"/>
    </row>
    <row r="1121" ht="16.5" customHeight="1">
      <c r="A1121" s="64"/>
      <c r="B1121" s="80" t="s">
        <v>18249</v>
      </c>
      <c r="C1121" s="81" t="str">
        <f>IFERROR(__xludf.DUMMYFUNCTION("""COMPUTED_VALUE"""),"Szipi27")</f>
        <v>Szipi27</v>
      </c>
      <c r="D1121" s="75">
        <f>IFERROR(__xludf.DUMMYFUNCTION("""COMPUTED_VALUE"""),0.0)</f>
        <v>0</v>
      </c>
      <c r="E1121" s="64"/>
      <c r="F1121" s="95"/>
      <c r="G1121" s="96"/>
      <c r="H1121" s="64"/>
      <c r="I1121" s="64"/>
      <c r="J1121" s="64"/>
      <c r="K1121" s="64"/>
      <c r="L1121" s="64"/>
    </row>
    <row r="1122" ht="16.5" customHeight="1">
      <c r="A1122" s="64"/>
      <c r="B1122" s="80" t="s">
        <v>18249</v>
      </c>
      <c r="C1122" s="81" t="str">
        <f>IFERROR(__xludf.DUMMYFUNCTION("""COMPUTED_VALUE"""),"TBHonestlizz")</f>
        <v>TBHonestlizz</v>
      </c>
      <c r="D1122" s="75">
        <f>IFERROR(__xludf.DUMMYFUNCTION("""COMPUTED_VALUE"""),0.0)</f>
        <v>0</v>
      </c>
      <c r="E1122" s="64"/>
      <c r="F1122" s="95"/>
      <c r="G1122" s="96"/>
      <c r="H1122" s="64"/>
      <c r="I1122" s="64"/>
      <c r="J1122" s="64"/>
      <c r="K1122" s="64"/>
      <c r="L1122" s="64"/>
    </row>
    <row r="1123" ht="16.5" customHeight="1">
      <c r="A1123" s="64"/>
      <c r="B1123" s="80" t="s">
        <v>18249</v>
      </c>
      <c r="C1123" s="81" t="str">
        <f>IFERROR(__xludf.DUMMYFUNCTION("""COMPUTED_VALUE"""),"TFpgbp")</f>
        <v>TFpgbp</v>
      </c>
      <c r="D1123" s="75">
        <f>IFERROR(__xludf.DUMMYFUNCTION("""COMPUTED_VALUE"""),0.0)</f>
        <v>0</v>
      </c>
      <c r="E1123" s="64"/>
      <c r="F1123" s="95"/>
      <c r="G1123" s="96"/>
      <c r="H1123" s="64"/>
      <c r="I1123" s="64"/>
      <c r="J1123" s="64"/>
      <c r="K1123" s="64"/>
      <c r="L1123" s="64"/>
    </row>
    <row r="1124" ht="16.5" customHeight="1">
      <c r="A1124" s="64"/>
      <c r="B1124" s="80" t="s">
        <v>18249</v>
      </c>
      <c r="C1124" s="81" t="str">
        <f>IFERROR(__xludf.DUMMYFUNCTION("""COMPUTED_VALUE"""),"TK_Golf_Buys")</f>
        <v>TK_Golf_Buys</v>
      </c>
      <c r="D1124" s="75">
        <f>IFERROR(__xludf.DUMMYFUNCTION("""COMPUTED_VALUE"""),0.0)</f>
        <v>0</v>
      </c>
      <c r="E1124" s="64"/>
      <c r="F1124" s="95"/>
      <c r="G1124" s="96"/>
      <c r="H1124" s="64"/>
      <c r="I1124" s="64"/>
      <c r="J1124" s="64"/>
      <c r="K1124" s="64"/>
      <c r="L1124" s="64"/>
    </row>
    <row r="1125" ht="16.5" customHeight="1">
      <c r="A1125" s="64"/>
      <c r="B1125" s="80" t="s">
        <v>18249</v>
      </c>
      <c r="C1125" s="81" t="str">
        <f>IFERROR(__xludf.DUMMYFUNCTION("""COMPUTED_VALUE"""),"TLNnieuws")</f>
        <v>TLNnieuws</v>
      </c>
      <c r="D1125" s="75">
        <f>IFERROR(__xludf.DUMMYFUNCTION("""COMPUTED_VALUE"""),0.0)</f>
        <v>0</v>
      </c>
      <c r="E1125" s="64"/>
      <c r="F1125" s="95"/>
      <c r="G1125" s="96"/>
      <c r="H1125" s="64"/>
      <c r="I1125" s="64"/>
      <c r="J1125" s="64"/>
      <c r="K1125" s="64"/>
      <c r="L1125" s="64"/>
    </row>
    <row r="1126" ht="16.5" customHeight="1">
      <c r="A1126" s="64"/>
      <c r="B1126" s="80" t="s">
        <v>18249</v>
      </c>
      <c r="C1126" s="81" t="str">
        <f>IFERROR(__xludf.DUMMYFUNCTION("""COMPUTED_VALUE"""),"Tah72388211")</f>
        <v>Tah72388211</v>
      </c>
      <c r="D1126" s="75">
        <f>IFERROR(__xludf.DUMMYFUNCTION("""COMPUTED_VALUE"""),0.0)</f>
        <v>0</v>
      </c>
      <c r="E1126" s="64"/>
      <c r="F1126" s="95"/>
      <c r="G1126" s="96"/>
      <c r="H1126" s="64"/>
      <c r="I1126" s="64"/>
      <c r="J1126" s="64"/>
      <c r="K1126" s="64"/>
      <c r="L1126" s="64"/>
    </row>
    <row r="1127" ht="16.5" customHeight="1">
      <c r="A1127" s="64"/>
      <c r="B1127" s="80" t="s">
        <v>18249</v>
      </c>
      <c r="C1127" s="81" t="str">
        <f>IFERROR(__xludf.DUMMYFUNCTION("""COMPUTED_VALUE"""),"TalktoBeverley")</f>
        <v>TalktoBeverley</v>
      </c>
      <c r="D1127" s="75">
        <f>IFERROR(__xludf.DUMMYFUNCTION("""COMPUTED_VALUE"""),0.0)</f>
        <v>0</v>
      </c>
      <c r="E1127" s="64"/>
      <c r="F1127" s="95"/>
      <c r="G1127" s="96"/>
      <c r="H1127" s="64"/>
      <c r="I1127" s="64"/>
      <c r="J1127" s="64"/>
      <c r="K1127" s="64"/>
      <c r="L1127" s="64"/>
    </row>
    <row r="1128" ht="16.5" customHeight="1">
      <c r="A1128" s="64"/>
      <c r="B1128" s="80" t="s">
        <v>18249</v>
      </c>
      <c r="C1128" s="81" t="str">
        <f>IFERROR(__xludf.DUMMYFUNCTION("""COMPUTED_VALUE"""),"Tallestpurpl")</f>
        <v>Tallestpurpl</v>
      </c>
      <c r="D1128" s="75">
        <f>IFERROR(__xludf.DUMMYFUNCTION("""COMPUTED_VALUE"""),0.0)</f>
        <v>0</v>
      </c>
      <c r="E1128" s="64"/>
      <c r="F1128" s="95"/>
      <c r="G1128" s="96"/>
      <c r="H1128" s="64"/>
      <c r="I1128" s="64"/>
      <c r="J1128" s="64"/>
      <c r="K1128" s="64"/>
      <c r="L1128" s="64"/>
    </row>
    <row r="1129" ht="16.5" customHeight="1">
      <c r="A1129" s="64"/>
      <c r="B1129" s="80" t="s">
        <v>18249</v>
      </c>
      <c r="C1129" s="81" t="str">
        <f>IFERROR(__xludf.DUMMYFUNCTION("""COMPUTED_VALUE"""),"TaraOCo38612075")</f>
        <v>TaraOCo38612075</v>
      </c>
      <c r="D1129" s="75">
        <f>IFERROR(__xludf.DUMMYFUNCTION("""COMPUTED_VALUE"""),0.0)</f>
        <v>0</v>
      </c>
      <c r="E1129" s="64"/>
      <c r="F1129" s="95"/>
      <c r="G1129" s="96"/>
      <c r="H1129" s="64"/>
      <c r="I1129" s="64"/>
      <c r="J1129" s="64"/>
      <c r="K1129" s="64"/>
      <c r="L1129" s="64"/>
    </row>
    <row r="1130" ht="16.5" customHeight="1">
      <c r="A1130" s="64"/>
      <c r="B1130" s="80" t="s">
        <v>18249</v>
      </c>
      <c r="C1130" s="81" t="str">
        <f>IFERROR(__xludf.DUMMYFUNCTION("""COMPUTED_VALUE"""),"TaskerDavid")</f>
        <v>TaskerDavid</v>
      </c>
      <c r="D1130" s="75">
        <f>IFERROR(__xludf.DUMMYFUNCTION("""COMPUTED_VALUE"""),0.0)</f>
        <v>0</v>
      </c>
      <c r="E1130" s="64"/>
      <c r="F1130" s="95"/>
      <c r="G1130" s="96"/>
      <c r="H1130" s="64"/>
      <c r="I1130" s="64"/>
      <c r="J1130" s="64"/>
      <c r="K1130" s="64"/>
      <c r="L1130" s="64"/>
    </row>
    <row r="1131" ht="16.5" customHeight="1">
      <c r="A1131" s="64"/>
      <c r="B1131" s="80" t="s">
        <v>18249</v>
      </c>
      <c r="C1131" s="81" t="str">
        <f>IFERROR(__xludf.DUMMYFUNCTION("""COMPUTED_VALUE"""),"TassGpops")</f>
        <v>TassGpops</v>
      </c>
      <c r="D1131" s="75">
        <f>IFERROR(__xludf.DUMMYFUNCTION("""COMPUTED_VALUE"""),0.0)</f>
        <v>0</v>
      </c>
      <c r="E1131" s="64"/>
      <c r="F1131" s="95"/>
      <c r="G1131" s="96"/>
      <c r="H1131" s="64"/>
      <c r="I1131" s="64"/>
      <c r="J1131" s="64"/>
      <c r="K1131" s="64"/>
      <c r="L1131" s="64"/>
    </row>
    <row r="1132" ht="16.5" customHeight="1">
      <c r="A1132" s="64"/>
      <c r="B1132" s="80" t="s">
        <v>18249</v>
      </c>
      <c r="C1132" s="81" t="str">
        <f>IFERROR(__xludf.DUMMYFUNCTION("""COMPUTED_VALUE"""),"Tbuthfer")</f>
        <v>Tbuthfer</v>
      </c>
      <c r="D1132" s="75">
        <f>IFERROR(__xludf.DUMMYFUNCTION("""COMPUTED_VALUE"""),0.0)</f>
        <v>0</v>
      </c>
      <c r="E1132" s="64"/>
      <c r="F1132" s="95"/>
      <c r="G1132" s="96"/>
      <c r="H1132" s="64"/>
      <c r="I1132" s="64"/>
      <c r="J1132" s="64"/>
      <c r="K1132" s="64"/>
      <c r="L1132" s="64"/>
    </row>
    <row r="1133" ht="16.5" customHeight="1">
      <c r="A1133" s="64"/>
      <c r="B1133" s="80" t="s">
        <v>18249</v>
      </c>
      <c r="C1133" s="81" t="str">
        <f>IFERROR(__xludf.DUMMYFUNCTION("""COMPUTED_VALUE"""),"TeachganAinm")</f>
        <v>TeachganAinm</v>
      </c>
      <c r="D1133" s="75">
        <f>IFERROR(__xludf.DUMMYFUNCTION("""COMPUTED_VALUE"""),0.0)</f>
        <v>0</v>
      </c>
      <c r="E1133" s="64"/>
      <c r="F1133" s="95"/>
      <c r="G1133" s="96"/>
      <c r="H1133" s="64"/>
      <c r="I1133" s="64"/>
      <c r="J1133" s="64"/>
      <c r="K1133" s="64"/>
      <c r="L1133" s="64"/>
    </row>
    <row r="1134" ht="16.5" customHeight="1">
      <c r="A1134" s="64"/>
      <c r="B1134" s="80" t="s">
        <v>18249</v>
      </c>
      <c r="C1134" s="81" t="str">
        <f>IFERROR(__xludf.DUMMYFUNCTION("""COMPUTED_VALUE"""),"Tedestrela")</f>
        <v>Tedestrela</v>
      </c>
      <c r="D1134" s="75">
        <f>IFERROR(__xludf.DUMMYFUNCTION("""COMPUTED_VALUE"""),0.0)</f>
        <v>0</v>
      </c>
      <c r="E1134" s="64"/>
      <c r="F1134" s="95"/>
      <c r="G1134" s="96"/>
      <c r="H1134" s="64"/>
      <c r="I1134" s="64"/>
      <c r="J1134" s="64"/>
      <c r="K1134" s="64"/>
      <c r="L1134" s="64"/>
    </row>
    <row r="1135" ht="16.5" customHeight="1">
      <c r="A1135" s="64"/>
      <c r="B1135" s="80" t="s">
        <v>18249</v>
      </c>
      <c r="C1135" s="81" t="str">
        <f>IFERROR(__xludf.DUMMYFUNCTION("""COMPUTED_VALUE"""),"Telecast1958")</f>
        <v>Telecast1958</v>
      </c>
      <c r="D1135" s="75">
        <f>IFERROR(__xludf.DUMMYFUNCTION("""COMPUTED_VALUE"""),0.0)</f>
        <v>0</v>
      </c>
      <c r="E1135" s="64"/>
      <c r="F1135" s="95"/>
      <c r="G1135" s="96"/>
      <c r="H1135" s="64"/>
      <c r="I1135" s="64"/>
      <c r="J1135" s="64"/>
      <c r="K1135" s="64"/>
      <c r="L1135" s="64"/>
    </row>
    <row r="1136" ht="16.5" customHeight="1">
      <c r="A1136" s="64"/>
      <c r="B1136" s="80" t="s">
        <v>18249</v>
      </c>
      <c r="C1136" s="81" t="str">
        <f>IFERROR(__xludf.DUMMYFUNCTION("""COMPUTED_VALUE"""),"TeresaWeath")</f>
        <v>TeresaWeath</v>
      </c>
      <c r="D1136" s="75">
        <f>IFERROR(__xludf.DUMMYFUNCTION("""COMPUTED_VALUE"""),0.0)</f>
        <v>0</v>
      </c>
      <c r="E1136" s="64"/>
      <c r="F1136" s="95"/>
      <c r="G1136" s="96"/>
      <c r="H1136" s="64"/>
      <c r="I1136" s="64"/>
      <c r="J1136" s="64"/>
      <c r="K1136" s="64"/>
      <c r="L1136" s="64"/>
    </row>
    <row r="1137" ht="16.5" customHeight="1">
      <c r="A1137" s="64"/>
      <c r="B1137" s="80" t="s">
        <v>18249</v>
      </c>
      <c r="C1137" s="81" t="str">
        <f>IFERROR(__xludf.DUMMYFUNCTION("""COMPUTED_VALUE"""),"TerryBush14")</f>
        <v>TerryBush14</v>
      </c>
      <c r="D1137" s="75">
        <f>IFERROR(__xludf.DUMMYFUNCTION("""COMPUTED_VALUE"""),0.0)</f>
        <v>0</v>
      </c>
      <c r="E1137" s="64"/>
      <c r="F1137" s="95"/>
      <c r="G1137" s="96"/>
      <c r="H1137" s="64"/>
      <c r="I1137" s="64"/>
      <c r="J1137" s="64"/>
      <c r="K1137" s="64"/>
      <c r="L1137" s="64"/>
    </row>
    <row r="1138" ht="16.5" customHeight="1">
      <c r="A1138" s="64"/>
      <c r="B1138" s="80" t="s">
        <v>18249</v>
      </c>
      <c r="C1138" s="81" t="str">
        <f>IFERROR(__xludf.DUMMYFUNCTION("""COMPUTED_VALUE"""),"TessaDo45654514")</f>
        <v>TessaDo45654514</v>
      </c>
      <c r="D1138" s="75">
        <f>IFERROR(__xludf.DUMMYFUNCTION("""COMPUTED_VALUE"""),0.0)</f>
        <v>0</v>
      </c>
      <c r="E1138" s="64"/>
      <c r="F1138" s="95"/>
      <c r="G1138" s="96"/>
      <c r="H1138" s="64"/>
      <c r="I1138" s="64"/>
      <c r="J1138" s="64"/>
      <c r="K1138" s="64"/>
      <c r="L1138" s="64"/>
    </row>
    <row r="1139" ht="16.5" customHeight="1">
      <c r="A1139" s="64"/>
      <c r="B1139" s="80" t="s">
        <v>18249</v>
      </c>
      <c r="C1139" s="81" t="str">
        <f>IFERROR(__xludf.DUMMYFUNCTION("""COMPUTED_VALUE"""),"ThanGenghisKhan")</f>
        <v>ThanGenghisKhan</v>
      </c>
      <c r="D1139" s="75">
        <f>IFERROR(__xludf.DUMMYFUNCTION("""COMPUTED_VALUE"""),0.0)</f>
        <v>0</v>
      </c>
      <c r="E1139" s="64"/>
      <c r="F1139" s="95"/>
      <c r="G1139" s="96"/>
      <c r="H1139" s="64"/>
      <c r="I1139" s="64"/>
      <c r="J1139" s="64"/>
      <c r="K1139" s="64"/>
      <c r="L1139" s="64"/>
    </row>
    <row r="1140" ht="16.5" customHeight="1">
      <c r="A1140" s="64"/>
      <c r="B1140" s="80" t="s">
        <v>18249</v>
      </c>
      <c r="C1140" s="81" t="str">
        <f>IFERROR(__xludf.DUMMYFUNCTION("""COMPUTED_VALUE"""),"ThatCarterBlunt")</f>
        <v>ThatCarterBlunt</v>
      </c>
      <c r="D1140" s="75">
        <f>IFERROR(__xludf.DUMMYFUNCTION("""COMPUTED_VALUE"""),0.0)</f>
        <v>0</v>
      </c>
      <c r="E1140" s="64"/>
      <c r="F1140" s="95"/>
      <c r="G1140" s="96"/>
      <c r="H1140" s="64"/>
      <c r="I1140" s="64"/>
      <c r="J1140" s="64"/>
      <c r="K1140" s="64"/>
      <c r="L1140" s="64"/>
    </row>
    <row r="1141" ht="16.5" customHeight="1">
      <c r="A1141" s="64"/>
      <c r="B1141" s="80" t="s">
        <v>18249</v>
      </c>
      <c r="C1141" s="81" t="str">
        <f>IFERROR(__xludf.DUMMYFUNCTION("""COMPUTED_VALUE"""),"TheAlexHughes")</f>
        <v>TheAlexHughes</v>
      </c>
      <c r="D1141" s="75">
        <f>IFERROR(__xludf.DUMMYFUNCTION("""COMPUTED_VALUE"""),0.0)</f>
        <v>0</v>
      </c>
      <c r="E1141" s="64"/>
      <c r="F1141" s="95"/>
      <c r="G1141" s="96"/>
      <c r="H1141" s="64"/>
      <c r="I1141" s="64"/>
      <c r="J1141" s="64"/>
      <c r="K1141" s="64"/>
      <c r="L1141" s="64"/>
    </row>
    <row r="1142" ht="16.5" customHeight="1">
      <c r="A1142" s="64"/>
      <c r="B1142" s="80" t="s">
        <v>18249</v>
      </c>
      <c r="C1142" s="81" t="str">
        <f>IFERROR(__xludf.DUMMYFUNCTION("""COMPUTED_VALUE"""),"TheCPDiary")</f>
        <v>TheCPDiary</v>
      </c>
      <c r="D1142" s="75">
        <f>IFERROR(__xludf.DUMMYFUNCTION("""COMPUTED_VALUE"""),0.0)</f>
        <v>0</v>
      </c>
      <c r="E1142" s="64"/>
      <c r="F1142" s="95"/>
      <c r="G1142" s="96"/>
      <c r="H1142" s="64"/>
      <c r="I1142" s="64"/>
      <c r="J1142" s="64"/>
      <c r="K1142" s="64"/>
      <c r="L1142" s="64"/>
    </row>
    <row r="1143" ht="16.5" customHeight="1">
      <c r="A1143" s="64"/>
      <c r="B1143" s="80" t="s">
        <v>18249</v>
      </c>
      <c r="C1143" s="81" t="str">
        <f>IFERROR(__xludf.DUMMYFUNCTION("""COMPUTED_VALUE"""),"TheFlexibleChef")</f>
        <v>TheFlexibleChef</v>
      </c>
      <c r="D1143" s="75">
        <f>IFERROR(__xludf.DUMMYFUNCTION("""COMPUTED_VALUE"""),0.0)</f>
        <v>0</v>
      </c>
      <c r="E1143" s="64"/>
      <c r="F1143" s="95"/>
      <c r="G1143" s="96"/>
      <c r="H1143" s="64"/>
      <c r="I1143" s="64"/>
      <c r="J1143" s="64"/>
      <c r="K1143" s="64"/>
      <c r="L1143" s="64"/>
    </row>
    <row r="1144" ht="16.5" customHeight="1">
      <c r="A1144" s="64"/>
      <c r="B1144" s="80" t="s">
        <v>18249</v>
      </c>
      <c r="C1144" s="81" t="str">
        <f>IFERROR(__xludf.DUMMYFUNCTION("""COMPUTED_VALUE"""),"TheFluffyViking")</f>
        <v>TheFluffyViking</v>
      </c>
      <c r="D1144" s="75">
        <f>IFERROR(__xludf.DUMMYFUNCTION("""COMPUTED_VALUE"""),0.0)</f>
        <v>0</v>
      </c>
      <c r="E1144" s="64"/>
      <c r="F1144" s="95"/>
      <c r="G1144" s="96"/>
      <c r="H1144" s="64"/>
      <c r="I1144" s="64"/>
      <c r="J1144" s="64"/>
      <c r="K1144" s="64"/>
      <c r="L1144" s="64"/>
    </row>
    <row r="1145" ht="16.5" customHeight="1">
      <c r="A1145" s="64"/>
      <c r="B1145" s="80" t="s">
        <v>18249</v>
      </c>
      <c r="C1145" s="81" t="str">
        <f>IFERROR(__xludf.DUMMYFUNCTION("""COMPUTED_VALUE"""),"TheGilse")</f>
        <v>TheGilse</v>
      </c>
      <c r="D1145" s="75">
        <f>IFERROR(__xludf.DUMMYFUNCTION("""COMPUTED_VALUE"""),0.0)</f>
        <v>0</v>
      </c>
      <c r="E1145" s="64"/>
      <c r="F1145" s="95"/>
      <c r="G1145" s="96"/>
      <c r="H1145" s="64"/>
      <c r="I1145" s="64"/>
      <c r="J1145" s="64"/>
      <c r="K1145" s="64"/>
      <c r="L1145" s="64"/>
    </row>
    <row r="1146" ht="16.5" customHeight="1">
      <c r="A1146" s="64"/>
      <c r="B1146" s="80" t="s">
        <v>18249</v>
      </c>
      <c r="C1146" s="81" t="str">
        <f>IFERROR(__xludf.DUMMYFUNCTION("""COMPUTED_VALUE"""),"TheGlobalSpring")</f>
        <v>TheGlobalSpring</v>
      </c>
      <c r="D1146" s="75">
        <f>IFERROR(__xludf.DUMMYFUNCTION("""COMPUTED_VALUE"""),0.0)</f>
        <v>0</v>
      </c>
      <c r="E1146" s="64"/>
      <c r="F1146" s="95"/>
      <c r="G1146" s="96"/>
      <c r="H1146" s="64"/>
      <c r="I1146" s="64"/>
      <c r="J1146" s="64"/>
      <c r="K1146" s="64"/>
      <c r="L1146" s="64"/>
    </row>
    <row r="1147" ht="16.5" customHeight="1">
      <c r="A1147" s="64"/>
      <c r="B1147" s="80" t="s">
        <v>18249</v>
      </c>
      <c r="C1147" s="81" t="str">
        <f>IFERROR(__xludf.DUMMYFUNCTION("""COMPUTED_VALUE"""),"TheLoganIndia")</f>
        <v>TheLoganIndia</v>
      </c>
      <c r="D1147" s="75">
        <f>IFERROR(__xludf.DUMMYFUNCTION("""COMPUTED_VALUE"""),0.0)</f>
        <v>0</v>
      </c>
      <c r="E1147" s="64"/>
      <c r="F1147" s="95"/>
      <c r="G1147" s="96"/>
      <c r="H1147" s="64"/>
      <c r="I1147" s="64"/>
      <c r="J1147" s="64"/>
      <c r="K1147" s="64"/>
      <c r="L1147" s="64"/>
    </row>
    <row r="1148" ht="16.5" customHeight="1">
      <c r="A1148" s="64"/>
      <c r="B1148" s="80" t="s">
        <v>18249</v>
      </c>
      <c r="C1148" s="81" t="str">
        <f>IFERROR(__xludf.DUMMYFUNCTION("""COMPUTED_VALUE"""),"TheLynch10")</f>
        <v>TheLynch10</v>
      </c>
      <c r="D1148" s="75">
        <f>IFERROR(__xludf.DUMMYFUNCTION("""COMPUTED_VALUE"""),0.0)</f>
        <v>0</v>
      </c>
      <c r="E1148" s="64"/>
      <c r="F1148" s="95"/>
      <c r="G1148" s="96"/>
      <c r="H1148" s="64"/>
      <c r="I1148" s="64"/>
      <c r="J1148" s="64"/>
      <c r="K1148" s="64"/>
      <c r="L1148" s="64"/>
    </row>
    <row r="1149" ht="16.5" customHeight="1">
      <c r="A1149" s="64"/>
      <c r="B1149" s="80" t="s">
        <v>18249</v>
      </c>
      <c r="C1149" s="81" t="str">
        <f>IFERROR(__xludf.DUMMYFUNCTION("""COMPUTED_VALUE"""),"TheManicBuddha")</f>
        <v>TheManicBuddha</v>
      </c>
      <c r="D1149" s="75">
        <f>IFERROR(__xludf.DUMMYFUNCTION("""COMPUTED_VALUE"""),0.0)</f>
        <v>0</v>
      </c>
      <c r="E1149" s="64"/>
      <c r="F1149" s="95"/>
      <c r="G1149" s="96"/>
      <c r="H1149" s="64"/>
      <c r="I1149" s="64"/>
      <c r="J1149" s="64"/>
      <c r="K1149" s="64"/>
      <c r="L1149" s="64"/>
    </row>
    <row r="1150" ht="16.5" customHeight="1">
      <c r="A1150" s="64"/>
      <c r="B1150" s="80" t="s">
        <v>18249</v>
      </c>
      <c r="C1150" s="81" t="str">
        <f>IFERROR(__xludf.DUMMYFUNCTION("""COMPUTED_VALUE"""),"TheOlivr")</f>
        <v>TheOlivr</v>
      </c>
      <c r="D1150" s="75">
        <f>IFERROR(__xludf.DUMMYFUNCTION("""COMPUTED_VALUE"""),0.0)</f>
        <v>0</v>
      </c>
      <c r="E1150" s="64"/>
      <c r="F1150" s="95"/>
      <c r="G1150" s="96"/>
      <c r="H1150" s="64"/>
      <c r="I1150" s="64"/>
      <c r="J1150" s="64"/>
      <c r="K1150" s="64"/>
      <c r="L1150" s="64"/>
    </row>
    <row r="1151" ht="16.5" customHeight="1">
      <c r="A1151" s="64"/>
      <c r="B1151" s="80" t="s">
        <v>18249</v>
      </c>
      <c r="C1151" s="81" t="str">
        <f>IFERROR(__xludf.DUMMYFUNCTION("""COMPUTED_VALUE"""),"TheScri76057990")</f>
        <v>TheScri76057990</v>
      </c>
      <c r="D1151" s="75">
        <f>IFERROR(__xludf.DUMMYFUNCTION("""COMPUTED_VALUE"""),0.0)</f>
        <v>0</v>
      </c>
      <c r="E1151" s="64"/>
      <c r="F1151" s="95"/>
      <c r="G1151" s="96"/>
      <c r="H1151" s="64"/>
      <c r="I1151" s="64"/>
      <c r="J1151" s="64"/>
      <c r="K1151" s="64"/>
      <c r="L1151" s="64"/>
    </row>
    <row r="1152" ht="16.5" customHeight="1">
      <c r="A1152" s="64"/>
      <c r="B1152" s="80" t="s">
        <v>18249</v>
      </c>
      <c r="C1152" s="81" t="str">
        <f>IFERROR(__xludf.DUMMYFUNCTION("""COMPUTED_VALUE"""),"TheSirFin")</f>
        <v>TheSirFin</v>
      </c>
      <c r="D1152" s="75">
        <f>IFERROR(__xludf.DUMMYFUNCTION("""COMPUTED_VALUE"""),0.0)</f>
        <v>0</v>
      </c>
      <c r="E1152" s="64"/>
      <c r="F1152" s="95"/>
      <c r="G1152" s="96"/>
      <c r="H1152" s="64"/>
      <c r="I1152" s="64"/>
      <c r="J1152" s="64"/>
      <c r="K1152" s="64"/>
      <c r="L1152" s="64"/>
    </row>
    <row r="1153" ht="16.5" customHeight="1">
      <c r="A1153" s="64"/>
      <c r="B1153" s="80" t="s">
        <v>18249</v>
      </c>
      <c r="C1153" s="81" t="str">
        <f>IFERROR(__xludf.DUMMYFUNCTION("""COMPUTED_VALUE"""),"TheSocReview")</f>
        <v>TheSocReview</v>
      </c>
      <c r="D1153" s="75">
        <f>IFERROR(__xludf.DUMMYFUNCTION("""COMPUTED_VALUE"""),0.0)</f>
        <v>0</v>
      </c>
      <c r="E1153" s="64"/>
      <c r="F1153" s="95"/>
      <c r="G1153" s="96"/>
      <c r="H1153" s="64"/>
      <c r="I1153" s="64"/>
      <c r="J1153" s="64"/>
      <c r="K1153" s="64"/>
      <c r="L1153" s="64"/>
    </row>
    <row r="1154" ht="16.5" customHeight="1">
      <c r="A1154" s="64"/>
      <c r="B1154" s="80" t="s">
        <v>18249</v>
      </c>
      <c r="C1154" s="81" t="str">
        <f>IFERROR(__xludf.DUMMYFUNCTION("""COMPUTED_VALUE"""),"TheStephenRalph")</f>
        <v>TheStephenRalph</v>
      </c>
      <c r="D1154" s="75">
        <f>IFERROR(__xludf.DUMMYFUNCTION("""COMPUTED_VALUE"""),0.0)</f>
        <v>0</v>
      </c>
      <c r="E1154" s="64"/>
      <c r="F1154" s="95"/>
      <c r="G1154" s="96"/>
      <c r="H1154" s="64"/>
      <c r="I1154" s="64"/>
      <c r="J1154" s="64"/>
      <c r="K1154" s="64"/>
      <c r="L1154" s="64"/>
    </row>
    <row r="1155" ht="16.5" customHeight="1">
      <c r="A1155" s="64"/>
      <c r="B1155" s="80" t="s">
        <v>18249</v>
      </c>
      <c r="C1155" s="81" t="str">
        <f>IFERROR(__xludf.DUMMYFUNCTION("""COMPUTED_VALUE"""),"ThelmaMcNamara3")</f>
        <v>ThelmaMcNamara3</v>
      </c>
      <c r="D1155" s="75">
        <f>IFERROR(__xludf.DUMMYFUNCTION("""COMPUTED_VALUE"""),0.0)</f>
        <v>0</v>
      </c>
      <c r="E1155" s="64"/>
      <c r="F1155" s="95"/>
      <c r="G1155" s="96"/>
      <c r="H1155" s="64"/>
      <c r="I1155" s="64"/>
      <c r="J1155" s="64"/>
      <c r="K1155" s="64"/>
      <c r="L1155" s="64"/>
    </row>
    <row r="1156" ht="16.5" customHeight="1">
      <c r="A1156" s="64"/>
      <c r="B1156" s="80" t="s">
        <v>18249</v>
      </c>
      <c r="C1156" s="81" t="str">
        <f>IFERROR(__xludf.DUMMYFUNCTION("""COMPUTED_VALUE"""),"TheresaMayOTR")</f>
        <v>TheresaMayOTR</v>
      </c>
      <c r="D1156" s="75">
        <f>IFERROR(__xludf.DUMMYFUNCTION("""COMPUTED_VALUE"""),0.0)</f>
        <v>0</v>
      </c>
      <c r="E1156" s="64"/>
      <c r="F1156" s="95"/>
      <c r="G1156" s="96"/>
      <c r="H1156" s="64"/>
      <c r="I1156" s="64"/>
      <c r="J1156" s="64"/>
      <c r="K1156" s="64"/>
      <c r="L1156" s="64"/>
    </row>
    <row r="1157" ht="16.5" customHeight="1">
      <c r="A1157" s="64"/>
      <c r="B1157" s="80" t="s">
        <v>18249</v>
      </c>
      <c r="C1157" s="81" t="str">
        <f>IFERROR(__xludf.DUMMYFUNCTION("""COMPUTED_VALUE"""),"Therese32449599")</f>
        <v>Therese32449599</v>
      </c>
      <c r="D1157" s="75">
        <f>IFERROR(__xludf.DUMMYFUNCTION("""COMPUTED_VALUE"""),0.0)</f>
        <v>0</v>
      </c>
      <c r="E1157" s="64"/>
      <c r="F1157" s="95"/>
      <c r="G1157" s="96"/>
      <c r="H1157" s="64"/>
      <c r="I1157" s="64"/>
      <c r="J1157" s="64"/>
      <c r="K1157" s="64"/>
      <c r="L1157" s="64"/>
    </row>
    <row r="1158" ht="16.5" customHeight="1">
      <c r="A1158" s="64"/>
      <c r="B1158" s="80" t="s">
        <v>18249</v>
      </c>
      <c r="C1158" s="81" t="str">
        <f>IFERROR(__xludf.DUMMYFUNCTION("""COMPUTED_VALUE"""),"ThomasF86612463")</f>
        <v>ThomasF86612463</v>
      </c>
      <c r="D1158" s="75">
        <f>IFERROR(__xludf.DUMMYFUNCTION("""COMPUTED_VALUE"""),0.0)</f>
        <v>0</v>
      </c>
      <c r="E1158" s="64"/>
      <c r="F1158" s="95"/>
      <c r="G1158" s="96"/>
      <c r="H1158" s="64"/>
      <c r="I1158" s="64"/>
      <c r="J1158" s="64"/>
      <c r="K1158" s="64"/>
      <c r="L1158" s="64"/>
    </row>
    <row r="1159" ht="16.5" customHeight="1">
      <c r="A1159" s="64"/>
      <c r="B1159" s="80" t="s">
        <v>18249</v>
      </c>
      <c r="C1159" s="81" t="str">
        <f>IFERROR(__xludf.DUMMYFUNCTION("""COMPUTED_VALUE"""),"TigerLover161")</f>
        <v>TigerLover161</v>
      </c>
      <c r="D1159" s="75">
        <f>IFERROR(__xludf.DUMMYFUNCTION("""COMPUTED_VALUE"""),0.0)</f>
        <v>0</v>
      </c>
      <c r="E1159" s="64"/>
      <c r="F1159" s="95"/>
      <c r="G1159" s="96"/>
      <c r="H1159" s="64"/>
      <c r="I1159" s="64"/>
      <c r="J1159" s="64"/>
      <c r="K1159" s="64"/>
      <c r="L1159" s="64"/>
    </row>
    <row r="1160" ht="16.5" customHeight="1">
      <c r="A1160" s="64"/>
      <c r="B1160" s="80" t="s">
        <v>18249</v>
      </c>
      <c r="C1160" s="81" t="str">
        <f>IFERROR(__xludf.DUMMYFUNCTION("""COMPUTED_VALUE"""),"Tighnacoille")</f>
        <v>Tighnacoille</v>
      </c>
      <c r="D1160" s="75">
        <f>IFERROR(__xludf.DUMMYFUNCTION("""COMPUTED_VALUE"""),0.0)</f>
        <v>0</v>
      </c>
      <c r="E1160" s="64"/>
      <c r="F1160" s="95"/>
      <c r="G1160" s="96"/>
      <c r="H1160" s="64"/>
      <c r="I1160" s="64"/>
      <c r="J1160" s="64"/>
      <c r="K1160" s="64"/>
      <c r="L1160" s="64"/>
    </row>
    <row r="1161" ht="16.5" customHeight="1">
      <c r="A1161" s="64"/>
      <c r="B1161" s="80" t="s">
        <v>18249</v>
      </c>
      <c r="C1161" s="81" t="str">
        <f>IFERROR(__xludf.DUMMYFUNCTION("""COMPUTED_VALUE"""),"TimCR_Baker")</f>
        <v>TimCR_Baker</v>
      </c>
      <c r="D1161" s="75">
        <f>IFERROR(__xludf.DUMMYFUNCTION("""COMPUTED_VALUE"""),0.0)</f>
        <v>0</v>
      </c>
      <c r="E1161" s="64"/>
      <c r="F1161" s="95"/>
      <c r="G1161" s="96"/>
      <c r="H1161" s="64"/>
      <c r="I1161" s="64"/>
      <c r="J1161" s="64"/>
      <c r="K1161" s="64"/>
      <c r="L1161" s="64"/>
    </row>
    <row r="1162" ht="16.5" customHeight="1">
      <c r="A1162" s="64"/>
      <c r="B1162" s="80" t="s">
        <v>18249</v>
      </c>
      <c r="C1162" s="81" t="str">
        <f>IFERROR(__xludf.DUMMYFUNCTION("""COMPUTED_VALUE"""),"TimInSuffolk")</f>
        <v>TimInSuffolk</v>
      </c>
      <c r="D1162" s="75">
        <f>IFERROR(__xludf.DUMMYFUNCTION("""COMPUTED_VALUE"""),0.0)</f>
        <v>0</v>
      </c>
      <c r="E1162" s="64"/>
      <c r="F1162" s="95"/>
      <c r="G1162" s="96"/>
      <c r="H1162" s="64"/>
      <c r="I1162" s="64"/>
      <c r="J1162" s="64"/>
      <c r="K1162" s="64"/>
      <c r="L1162" s="64"/>
    </row>
    <row r="1163" ht="16.5" customHeight="1">
      <c r="A1163" s="64"/>
      <c r="B1163" s="80" t="s">
        <v>18249</v>
      </c>
      <c r="C1163" s="81" t="str">
        <f>IFERROR(__xludf.DUMMYFUNCTION("""COMPUTED_VALUE"""),"TippettMatthew")</f>
        <v>TippettMatthew</v>
      </c>
      <c r="D1163" s="75">
        <f>IFERROR(__xludf.DUMMYFUNCTION("""COMPUTED_VALUE"""),0.0)</f>
        <v>0</v>
      </c>
      <c r="E1163" s="64"/>
      <c r="F1163" s="95"/>
      <c r="G1163" s="96"/>
      <c r="H1163" s="64"/>
      <c r="I1163" s="64"/>
      <c r="J1163" s="64"/>
      <c r="K1163" s="64"/>
      <c r="L1163" s="64"/>
    </row>
    <row r="1164" ht="16.5" customHeight="1">
      <c r="A1164" s="64"/>
      <c r="B1164" s="80" t="s">
        <v>18249</v>
      </c>
      <c r="C1164" s="81" t="str">
        <f>IFERROR(__xludf.DUMMYFUNCTION("""COMPUTED_VALUE"""),"TomFriang")</f>
        <v>TomFriang</v>
      </c>
      <c r="D1164" s="75">
        <f>IFERROR(__xludf.DUMMYFUNCTION("""COMPUTED_VALUE"""),0.0)</f>
        <v>0</v>
      </c>
      <c r="E1164" s="64"/>
      <c r="F1164" s="95"/>
      <c r="G1164" s="96"/>
      <c r="H1164" s="64"/>
      <c r="I1164" s="64"/>
      <c r="J1164" s="64"/>
      <c r="K1164" s="64"/>
      <c r="L1164" s="64"/>
    </row>
    <row r="1165" ht="16.5" customHeight="1">
      <c r="A1165" s="64"/>
      <c r="B1165" s="80" t="s">
        <v>18249</v>
      </c>
      <c r="C1165" s="81" t="str">
        <f>IFERROR(__xludf.DUMMYFUNCTION("""COMPUTED_VALUE"""),"TomGoodfellow")</f>
        <v>TomGoodfellow</v>
      </c>
      <c r="D1165" s="75">
        <f>IFERROR(__xludf.DUMMYFUNCTION("""COMPUTED_VALUE"""),0.0)</f>
        <v>0</v>
      </c>
      <c r="E1165" s="64"/>
      <c r="F1165" s="95"/>
      <c r="G1165" s="96"/>
      <c r="H1165" s="64"/>
      <c r="I1165" s="64"/>
      <c r="J1165" s="64"/>
      <c r="K1165" s="64"/>
      <c r="L1165" s="64"/>
    </row>
    <row r="1166" ht="16.5" customHeight="1">
      <c r="A1166" s="64"/>
      <c r="B1166" s="80" t="s">
        <v>18249</v>
      </c>
      <c r="C1166" s="81" t="str">
        <f>IFERROR(__xludf.DUMMYFUNCTION("""COMPUTED_VALUE"""),"Tom_StCroix")</f>
        <v>Tom_StCroix</v>
      </c>
      <c r="D1166" s="75">
        <f>IFERROR(__xludf.DUMMYFUNCTION("""COMPUTED_VALUE"""),0.0)</f>
        <v>0</v>
      </c>
      <c r="E1166" s="64"/>
      <c r="F1166" s="95"/>
      <c r="G1166" s="96"/>
      <c r="H1166" s="64"/>
      <c r="I1166" s="64"/>
      <c r="J1166" s="64"/>
      <c r="K1166" s="64"/>
      <c r="L1166" s="64"/>
    </row>
    <row r="1167" ht="16.5" customHeight="1">
      <c r="A1167" s="64"/>
      <c r="B1167" s="80" t="s">
        <v>18249</v>
      </c>
      <c r="C1167" s="81" t="str">
        <f>IFERROR(__xludf.DUMMYFUNCTION("""COMPUTED_VALUE"""),"TommysDaddy")</f>
        <v>TommysDaddy</v>
      </c>
      <c r="D1167" s="75">
        <f>IFERROR(__xludf.DUMMYFUNCTION("""COMPUTED_VALUE"""),0.0)</f>
        <v>0</v>
      </c>
      <c r="E1167" s="64"/>
      <c r="F1167" s="95"/>
      <c r="G1167" s="96"/>
      <c r="H1167" s="64"/>
      <c r="I1167" s="64"/>
      <c r="J1167" s="64"/>
      <c r="K1167" s="64"/>
      <c r="L1167" s="64"/>
    </row>
    <row r="1168" ht="16.5" customHeight="1">
      <c r="A1168" s="64"/>
      <c r="B1168" s="80" t="s">
        <v>18249</v>
      </c>
      <c r="C1168" s="81" t="str">
        <f>IFERROR(__xludf.DUMMYFUNCTION("""COMPUTED_VALUE"""),"Tomster72")</f>
        <v>Tomster72</v>
      </c>
      <c r="D1168" s="75">
        <f>IFERROR(__xludf.DUMMYFUNCTION("""COMPUTED_VALUE"""),0.0)</f>
        <v>0</v>
      </c>
      <c r="E1168" s="64"/>
      <c r="F1168" s="95"/>
      <c r="G1168" s="96"/>
      <c r="H1168" s="64"/>
      <c r="I1168" s="64"/>
      <c r="J1168" s="64"/>
      <c r="K1168" s="64"/>
      <c r="L1168" s="64"/>
    </row>
    <row r="1169" ht="16.5" customHeight="1">
      <c r="A1169" s="64"/>
      <c r="B1169" s="80" t="s">
        <v>18249</v>
      </c>
      <c r="C1169" s="81" t="str">
        <f>IFERROR(__xludf.DUMMYFUNCTION("""COMPUTED_VALUE"""),"TonyGentGD1")</f>
        <v>TonyGentGD1</v>
      </c>
      <c r="D1169" s="75">
        <f>IFERROR(__xludf.DUMMYFUNCTION("""COMPUTED_VALUE"""),0.0)</f>
        <v>0</v>
      </c>
      <c r="E1169" s="64"/>
      <c r="F1169" s="95"/>
      <c r="G1169" s="96"/>
      <c r="H1169" s="64"/>
      <c r="I1169" s="64"/>
      <c r="J1169" s="64"/>
      <c r="K1169" s="64"/>
      <c r="L1169" s="64"/>
    </row>
    <row r="1170" ht="16.5" customHeight="1">
      <c r="A1170" s="64"/>
      <c r="B1170" s="80" t="s">
        <v>18249</v>
      </c>
      <c r="C1170" s="81" t="str">
        <f>IFERROR(__xludf.DUMMYFUNCTION("""COMPUTED_VALUE"""),"TonySch71961942")</f>
        <v>TonySch71961942</v>
      </c>
      <c r="D1170" s="75">
        <f>IFERROR(__xludf.DUMMYFUNCTION("""COMPUTED_VALUE"""),0.0)</f>
        <v>0</v>
      </c>
      <c r="E1170" s="64"/>
      <c r="F1170" s="95"/>
      <c r="G1170" s="96"/>
      <c r="H1170" s="64"/>
      <c r="I1170" s="64"/>
      <c r="J1170" s="64"/>
      <c r="K1170" s="64"/>
      <c r="L1170" s="64"/>
    </row>
    <row r="1171" ht="16.5" customHeight="1">
      <c r="A1171" s="64"/>
      <c r="B1171" s="80" t="s">
        <v>18249</v>
      </c>
      <c r="C1171" s="81" t="str">
        <f>IFERROR(__xludf.DUMMYFUNCTION("""COMPUTED_VALUE"""),"Tonytg806")</f>
        <v>Tonytg806</v>
      </c>
      <c r="D1171" s="75">
        <f>IFERROR(__xludf.DUMMYFUNCTION("""COMPUTED_VALUE"""),0.0)</f>
        <v>0</v>
      </c>
      <c r="E1171" s="64"/>
      <c r="F1171" s="95"/>
      <c r="G1171" s="96"/>
      <c r="H1171" s="64"/>
      <c r="I1171" s="64"/>
      <c r="J1171" s="64"/>
      <c r="K1171" s="64"/>
      <c r="L1171" s="64"/>
    </row>
    <row r="1172" ht="16.5" customHeight="1">
      <c r="A1172" s="64"/>
      <c r="B1172" s="80" t="s">
        <v>18249</v>
      </c>
      <c r="C1172" s="81" t="str">
        <f>IFERROR(__xludf.DUMMYFUNCTION("""COMPUTED_VALUE"""),"ToucheAdrian")</f>
        <v>ToucheAdrian</v>
      </c>
      <c r="D1172" s="75">
        <f>IFERROR(__xludf.DUMMYFUNCTION("""COMPUTED_VALUE"""),0.0)</f>
        <v>0</v>
      </c>
      <c r="E1172" s="64"/>
      <c r="F1172" s="95"/>
      <c r="G1172" s="96"/>
      <c r="H1172" s="64"/>
      <c r="I1172" s="64"/>
      <c r="J1172" s="64"/>
      <c r="K1172" s="64"/>
      <c r="L1172" s="64"/>
    </row>
    <row r="1173" ht="16.5" customHeight="1">
      <c r="A1173" s="64"/>
      <c r="B1173" s="80" t="s">
        <v>18249</v>
      </c>
      <c r="C1173" s="81" t="str">
        <f>IFERROR(__xludf.DUMMYFUNCTION("""COMPUTED_VALUE"""),"Towler")</f>
        <v>Towler</v>
      </c>
      <c r="D1173" s="75">
        <f>IFERROR(__xludf.DUMMYFUNCTION("""COMPUTED_VALUE"""),0.0)</f>
        <v>0</v>
      </c>
      <c r="E1173" s="64"/>
      <c r="F1173" s="95"/>
      <c r="G1173" s="96"/>
      <c r="H1173" s="64"/>
      <c r="I1173" s="64"/>
      <c r="J1173" s="64"/>
      <c r="K1173" s="64"/>
      <c r="L1173" s="64"/>
    </row>
    <row r="1174" ht="16.5" customHeight="1">
      <c r="A1174" s="64"/>
      <c r="B1174" s="80" t="s">
        <v>18249</v>
      </c>
      <c r="C1174" s="81" t="str">
        <f>IFERROR(__xludf.DUMMYFUNCTION("""COMPUTED_VALUE"""),"TraceyAplin1")</f>
        <v>TraceyAplin1</v>
      </c>
      <c r="D1174" s="75">
        <f>IFERROR(__xludf.DUMMYFUNCTION("""COMPUTED_VALUE"""),0.0)</f>
        <v>0</v>
      </c>
      <c r="E1174" s="64"/>
      <c r="F1174" s="95"/>
      <c r="G1174" s="96"/>
      <c r="H1174" s="64"/>
      <c r="I1174" s="64"/>
      <c r="J1174" s="64"/>
      <c r="K1174" s="64"/>
      <c r="L1174" s="64"/>
    </row>
    <row r="1175" ht="16.5" customHeight="1">
      <c r="A1175" s="64"/>
      <c r="B1175" s="80" t="s">
        <v>18249</v>
      </c>
      <c r="C1175" s="81" t="str">
        <f>IFERROR(__xludf.DUMMYFUNCTION("""COMPUTED_VALUE"""),"TransInfoENG1")</f>
        <v>TransInfoENG1</v>
      </c>
      <c r="D1175" s="75">
        <f>IFERROR(__xludf.DUMMYFUNCTION("""COMPUTED_VALUE"""),0.0)</f>
        <v>0</v>
      </c>
      <c r="E1175" s="64"/>
      <c r="F1175" s="95"/>
      <c r="G1175" s="96"/>
      <c r="H1175" s="64"/>
      <c r="I1175" s="64"/>
      <c r="J1175" s="64"/>
      <c r="K1175" s="64"/>
      <c r="L1175" s="64"/>
    </row>
    <row r="1176" ht="16.5" customHeight="1">
      <c r="A1176" s="64"/>
      <c r="B1176" s="80" t="s">
        <v>18249</v>
      </c>
      <c r="C1176" s="81" t="str">
        <f>IFERROR(__xludf.DUMMYFUNCTION("""COMPUTED_VALUE"""),"Treensy2")</f>
        <v>Treensy2</v>
      </c>
      <c r="D1176" s="75">
        <f>IFERROR(__xludf.DUMMYFUNCTION("""COMPUTED_VALUE"""),0.0)</f>
        <v>0</v>
      </c>
      <c r="E1176" s="64"/>
      <c r="F1176" s="95"/>
      <c r="G1176" s="96"/>
      <c r="H1176" s="64"/>
      <c r="I1176" s="64"/>
      <c r="J1176" s="64"/>
      <c r="K1176" s="64"/>
      <c r="L1176" s="64"/>
    </row>
    <row r="1177" ht="16.5" customHeight="1">
      <c r="A1177" s="64"/>
      <c r="B1177" s="80" t="s">
        <v>18249</v>
      </c>
      <c r="C1177" s="81" t="str">
        <f>IFERROR(__xludf.DUMMYFUNCTION("""COMPUTED_VALUE"""),"TrevorWAllman")</f>
        <v>TrevorWAllman</v>
      </c>
      <c r="D1177" s="75">
        <f>IFERROR(__xludf.DUMMYFUNCTION("""COMPUTED_VALUE"""),0.0)</f>
        <v>0</v>
      </c>
      <c r="E1177" s="64"/>
      <c r="F1177" s="95"/>
      <c r="G1177" s="96"/>
      <c r="H1177" s="64"/>
      <c r="I1177" s="64"/>
      <c r="J1177" s="64"/>
      <c r="K1177" s="64"/>
      <c r="L1177" s="64"/>
    </row>
    <row r="1178" ht="16.5" customHeight="1">
      <c r="A1178" s="64"/>
      <c r="B1178" s="80" t="s">
        <v>18249</v>
      </c>
      <c r="C1178" s="81" t="str">
        <f>IFERROR(__xludf.DUMMYFUNCTION("""COMPUTED_VALUE"""),"TribeIceni")</f>
        <v>TribeIceni</v>
      </c>
      <c r="D1178" s="75">
        <f>IFERROR(__xludf.DUMMYFUNCTION("""COMPUTED_VALUE"""),0.0)</f>
        <v>0</v>
      </c>
      <c r="E1178" s="64"/>
      <c r="F1178" s="95"/>
      <c r="G1178" s="96"/>
      <c r="H1178" s="64"/>
      <c r="I1178" s="64"/>
      <c r="J1178" s="64"/>
      <c r="K1178" s="64"/>
      <c r="L1178" s="64"/>
    </row>
    <row r="1179" ht="16.5" customHeight="1">
      <c r="A1179" s="64"/>
      <c r="B1179" s="80" t="s">
        <v>18249</v>
      </c>
      <c r="C1179" s="81" t="str">
        <f>IFERROR(__xludf.DUMMYFUNCTION("""COMPUTED_VALUE"""),"Tricky_1")</f>
        <v>Tricky_1</v>
      </c>
      <c r="D1179" s="75">
        <f>IFERROR(__xludf.DUMMYFUNCTION("""COMPUTED_VALUE"""),0.0)</f>
        <v>0</v>
      </c>
      <c r="E1179" s="64"/>
      <c r="F1179" s="95"/>
      <c r="G1179" s="96"/>
      <c r="H1179" s="64"/>
      <c r="I1179" s="64"/>
      <c r="J1179" s="64"/>
      <c r="K1179" s="64"/>
      <c r="L1179" s="64"/>
    </row>
    <row r="1180" ht="16.5" customHeight="1">
      <c r="A1180" s="64"/>
      <c r="B1180" s="80" t="s">
        <v>18249</v>
      </c>
      <c r="C1180" s="81" t="str">
        <f>IFERROR(__xludf.DUMMYFUNCTION("""COMPUTED_VALUE"""),"Trisha81")</f>
        <v>Trisha81</v>
      </c>
      <c r="D1180" s="75">
        <f>IFERROR(__xludf.DUMMYFUNCTION("""COMPUTED_VALUE"""),0.0)</f>
        <v>0</v>
      </c>
      <c r="E1180" s="64"/>
      <c r="F1180" s="95"/>
      <c r="G1180" s="96"/>
      <c r="H1180" s="64"/>
      <c r="I1180" s="64"/>
      <c r="J1180" s="64"/>
      <c r="K1180" s="64"/>
      <c r="L1180" s="64"/>
    </row>
    <row r="1181" ht="16.5" customHeight="1">
      <c r="A1181" s="64"/>
      <c r="B1181" s="80" t="s">
        <v>18249</v>
      </c>
      <c r="C1181" s="81" t="str">
        <f>IFERROR(__xludf.DUMMYFUNCTION("""COMPUTED_VALUE"""),"TristramWyatt")</f>
        <v>TristramWyatt</v>
      </c>
      <c r="D1181" s="75">
        <f>IFERROR(__xludf.DUMMYFUNCTION("""COMPUTED_VALUE"""),0.0)</f>
        <v>0</v>
      </c>
      <c r="E1181" s="64"/>
      <c r="F1181" s="95"/>
      <c r="G1181" s="96"/>
      <c r="H1181" s="64"/>
      <c r="I1181" s="64"/>
      <c r="J1181" s="64"/>
      <c r="K1181" s="64"/>
      <c r="L1181" s="64"/>
    </row>
    <row r="1182" ht="16.5" customHeight="1">
      <c r="A1182" s="64"/>
      <c r="B1182" s="80" t="s">
        <v>18249</v>
      </c>
      <c r="C1182" s="81" t="str">
        <f>IFERROR(__xludf.DUMMYFUNCTION("""COMPUTED_VALUE"""),"TrowsdaleGary")</f>
        <v>TrowsdaleGary</v>
      </c>
      <c r="D1182" s="75">
        <f>IFERROR(__xludf.DUMMYFUNCTION("""COMPUTED_VALUE"""),0.0)</f>
        <v>0</v>
      </c>
      <c r="E1182" s="64"/>
      <c r="F1182" s="95"/>
      <c r="G1182" s="96"/>
      <c r="H1182" s="64"/>
      <c r="I1182" s="64"/>
      <c r="J1182" s="64"/>
      <c r="K1182" s="64"/>
      <c r="L1182" s="64"/>
    </row>
    <row r="1183" ht="16.5" customHeight="1">
      <c r="A1183" s="64"/>
      <c r="B1183" s="80" t="s">
        <v>18249</v>
      </c>
      <c r="C1183" s="81" t="str">
        <f>IFERROR(__xludf.DUMMYFUNCTION("""COMPUTED_VALUE"""),"Truthmeister01")</f>
        <v>Truthmeister01</v>
      </c>
      <c r="D1183" s="75">
        <f>IFERROR(__xludf.DUMMYFUNCTION("""COMPUTED_VALUE"""),0.0)</f>
        <v>0</v>
      </c>
      <c r="E1183" s="64"/>
      <c r="F1183" s="95"/>
      <c r="G1183" s="96"/>
      <c r="H1183" s="64"/>
      <c r="I1183" s="64"/>
      <c r="J1183" s="64"/>
      <c r="K1183" s="64"/>
      <c r="L1183" s="64"/>
    </row>
    <row r="1184" ht="16.5" customHeight="1">
      <c r="A1184" s="64"/>
      <c r="B1184" s="80" t="s">
        <v>18249</v>
      </c>
      <c r="C1184" s="81" t="str">
        <f>IFERROR(__xludf.DUMMYFUNCTION("""COMPUTED_VALUE"""),"Turner_PhD")</f>
        <v>Turner_PhD</v>
      </c>
      <c r="D1184" s="75">
        <f>IFERROR(__xludf.DUMMYFUNCTION("""COMPUTED_VALUE"""),0.0)</f>
        <v>0</v>
      </c>
      <c r="E1184" s="64"/>
      <c r="F1184" s="95"/>
      <c r="G1184" s="96"/>
      <c r="H1184" s="64"/>
      <c r="I1184" s="64"/>
      <c r="J1184" s="64"/>
      <c r="K1184" s="64"/>
      <c r="L1184" s="64"/>
    </row>
    <row r="1185" ht="16.5" customHeight="1">
      <c r="A1185" s="64"/>
      <c r="B1185" s="80" t="s">
        <v>18249</v>
      </c>
      <c r="C1185" s="81" t="str">
        <f>IFERROR(__xludf.DUMMYFUNCTION("""COMPUTED_VALUE"""),"UH60Andy")</f>
        <v>UH60Andy</v>
      </c>
      <c r="D1185" s="75">
        <f>IFERROR(__xludf.DUMMYFUNCTION("""COMPUTED_VALUE"""),0.0)</f>
        <v>0</v>
      </c>
      <c r="E1185" s="64"/>
      <c r="F1185" s="95"/>
      <c r="G1185" s="96"/>
      <c r="H1185" s="64"/>
      <c r="I1185" s="64"/>
      <c r="J1185" s="64"/>
      <c r="K1185" s="64"/>
      <c r="L1185" s="64"/>
    </row>
    <row r="1186" ht="16.5" customHeight="1">
      <c r="A1186" s="64"/>
      <c r="B1186" s="80" t="s">
        <v>18249</v>
      </c>
      <c r="C1186" s="81" t="str">
        <f>IFERROR(__xludf.DUMMYFUNCTION("""COMPUTED_VALUE"""),"UKandEU")</f>
        <v>UKandEU</v>
      </c>
      <c r="D1186" s="75">
        <f>IFERROR(__xludf.DUMMYFUNCTION("""COMPUTED_VALUE"""),0.0)</f>
        <v>0</v>
      </c>
      <c r="E1186" s="64"/>
      <c r="F1186" s="95"/>
      <c r="G1186" s="96"/>
      <c r="H1186" s="64"/>
      <c r="I1186" s="64"/>
      <c r="J1186" s="64"/>
      <c r="K1186" s="64"/>
      <c r="L1186" s="64"/>
    </row>
    <row r="1187" ht="16.5" customHeight="1">
      <c r="A1187" s="64"/>
      <c r="B1187" s="80" t="s">
        <v>18249</v>
      </c>
      <c r="C1187" s="81" t="str">
        <f>IFERROR(__xludf.DUMMYFUNCTION("""COMPUTED_VALUE"""),"Uber_Rat")</f>
        <v>Uber_Rat</v>
      </c>
      <c r="D1187" s="75">
        <f>IFERROR(__xludf.DUMMYFUNCTION("""COMPUTED_VALUE"""),0.0)</f>
        <v>0</v>
      </c>
      <c r="E1187" s="64"/>
      <c r="F1187" s="95"/>
      <c r="G1187" s="96"/>
      <c r="H1187" s="64"/>
      <c r="I1187" s="64"/>
      <c r="J1187" s="64"/>
      <c r="K1187" s="64"/>
      <c r="L1187" s="64"/>
    </row>
    <row r="1188" ht="16.5" customHeight="1">
      <c r="A1188" s="64"/>
      <c r="B1188" s="80" t="s">
        <v>18249</v>
      </c>
      <c r="C1188" s="81" t="str">
        <f>IFERROR(__xludf.DUMMYFUNCTION("""COMPUTED_VALUE"""),"Ulkopolitist")</f>
        <v>Ulkopolitist</v>
      </c>
      <c r="D1188" s="75">
        <f>IFERROR(__xludf.DUMMYFUNCTION("""COMPUTED_VALUE"""),0.0)</f>
        <v>0</v>
      </c>
      <c r="E1188" s="64"/>
      <c r="F1188" s="95"/>
      <c r="G1188" s="96"/>
      <c r="H1188" s="64"/>
      <c r="I1188" s="64"/>
      <c r="J1188" s="64"/>
      <c r="K1188" s="64"/>
      <c r="L1188" s="64"/>
    </row>
    <row r="1189" ht="16.5" customHeight="1">
      <c r="A1189" s="64"/>
      <c r="B1189" s="80" t="s">
        <v>18249</v>
      </c>
      <c r="C1189" s="81" t="str">
        <f>IFERROR(__xludf.DUMMYFUNCTION("""COMPUTED_VALUE"""),"UncleBobW")</f>
        <v>UncleBobW</v>
      </c>
      <c r="D1189" s="75">
        <f>IFERROR(__xludf.DUMMYFUNCTION("""COMPUTED_VALUE"""),0.0)</f>
        <v>0</v>
      </c>
      <c r="E1189" s="64"/>
      <c r="F1189" s="95"/>
      <c r="G1189" s="96"/>
      <c r="H1189" s="64"/>
      <c r="I1189" s="64"/>
      <c r="J1189" s="64"/>
      <c r="K1189" s="64"/>
      <c r="L1189" s="64"/>
    </row>
    <row r="1190" ht="16.5" customHeight="1">
      <c r="A1190" s="64"/>
      <c r="B1190" s="80" t="s">
        <v>18249</v>
      </c>
      <c r="C1190" s="81" t="str">
        <f>IFERROR(__xludf.DUMMYFUNCTION("""COMPUTED_VALUE"""),"UnicornChettiar")</f>
        <v>UnicornChettiar</v>
      </c>
      <c r="D1190" s="75">
        <f>IFERROR(__xludf.DUMMYFUNCTION("""COMPUTED_VALUE"""),0.0)</f>
        <v>0</v>
      </c>
      <c r="E1190" s="64"/>
      <c r="F1190" s="95"/>
      <c r="G1190" s="96"/>
      <c r="H1190" s="64"/>
      <c r="I1190" s="64"/>
      <c r="J1190" s="64"/>
      <c r="K1190" s="64"/>
      <c r="L1190" s="64"/>
    </row>
    <row r="1191" ht="16.5" customHeight="1">
      <c r="A1191" s="64"/>
      <c r="B1191" s="80" t="s">
        <v>18249</v>
      </c>
      <c r="C1191" s="81" t="str">
        <f>IFERROR(__xludf.DUMMYFUNCTION("""COMPUTED_VALUE"""),"UnpubWrites")</f>
        <v>UnpubWrites</v>
      </c>
      <c r="D1191" s="75">
        <f>IFERROR(__xludf.DUMMYFUNCTION("""COMPUTED_VALUE"""),0.0)</f>
        <v>0</v>
      </c>
      <c r="E1191" s="64"/>
      <c r="F1191" s="95"/>
      <c r="G1191" s="96"/>
      <c r="H1191" s="64"/>
      <c r="I1191" s="64"/>
      <c r="J1191" s="64"/>
      <c r="K1191" s="64"/>
      <c r="L1191" s="64"/>
    </row>
    <row r="1192" ht="16.5" customHeight="1">
      <c r="A1192" s="64"/>
      <c r="B1192" s="80" t="s">
        <v>18249</v>
      </c>
      <c r="C1192" s="81" t="str">
        <f>IFERROR(__xludf.DUMMYFUNCTION("""COMPUTED_VALUE"""),"Unsilversurfer")</f>
        <v>Unsilversurfer</v>
      </c>
      <c r="D1192" s="75">
        <f>IFERROR(__xludf.DUMMYFUNCTION("""COMPUTED_VALUE"""),0.0)</f>
        <v>0</v>
      </c>
      <c r="E1192" s="64"/>
      <c r="F1192" s="95"/>
      <c r="G1192" s="96"/>
      <c r="H1192" s="64"/>
      <c r="I1192" s="64"/>
      <c r="J1192" s="64"/>
      <c r="K1192" s="64"/>
      <c r="L1192" s="64"/>
    </row>
    <row r="1193" ht="16.5" customHeight="1">
      <c r="A1193" s="64"/>
      <c r="B1193" s="80" t="s">
        <v>18249</v>
      </c>
      <c r="C1193" s="81" t="str">
        <f>IFERROR(__xludf.DUMMYFUNCTION("""COMPUTED_VALUE"""),"UrsusClan")</f>
        <v>UrsusClan</v>
      </c>
      <c r="D1193" s="75">
        <f>IFERROR(__xludf.DUMMYFUNCTION("""COMPUTED_VALUE"""),0.0)</f>
        <v>0</v>
      </c>
      <c r="E1193" s="64"/>
      <c r="F1193" s="95"/>
      <c r="G1193" s="96"/>
      <c r="H1193" s="64"/>
      <c r="I1193" s="64"/>
      <c r="J1193" s="64"/>
      <c r="K1193" s="64"/>
      <c r="L1193" s="64"/>
    </row>
    <row r="1194" ht="16.5" customHeight="1">
      <c r="A1194" s="64"/>
      <c r="B1194" s="80" t="s">
        <v>18249</v>
      </c>
      <c r="C1194" s="81" t="str">
        <f>IFERROR(__xludf.DUMMYFUNCTION("""COMPUTED_VALUE"""),"Usernamesake")</f>
        <v>Usernamesake</v>
      </c>
      <c r="D1194" s="75">
        <f>IFERROR(__xludf.DUMMYFUNCTION("""COMPUTED_VALUE"""),0.0)</f>
        <v>0</v>
      </c>
      <c r="E1194" s="64"/>
      <c r="F1194" s="95"/>
      <c r="G1194" s="96"/>
      <c r="H1194" s="64"/>
      <c r="I1194" s="64"/>
      <c r="J1194" s="64"/>
      <c r="K1194" s="64"/>
      <c r="L1194" s="64"/>
    </row>
    <row r="1195" ht="16.5" customHeight="1">
      <c r="A1195" s="64"/>
      <c r="B1195" s="80" t="s">
        <v>18249</v>
      </c>
      <c r="C1195" s="81" t="str">
        <f>IFERROR(__xludf.DUMMYFUNCTION("""COMPUTED_VALUE"""),"VEverettmfl")</f>
        <v>VEverettmfl</v>
      </c>
      <c r="D1195" s="75">
        <f>IFERROR(__xludf.DUMMYFUNCTION("""COMPUTED_VALUE"""),0.0)</f>
        <v>0</v>
      </c>
      <c r="E1195" s="64"/>
      <c r="F1195" s="95"/>
      <c r="G1195" s="96"/>
      <c r="H1195" s="64"/>
      <c r="I1195" s="64"/>
      <c r="J1195" s="64"/>
      <c r="K1195" s="64"/>
      <c r="L1195" s="64"/>
    </row>
    <row r="1196" ht="16.5" customHeight="1">
      <c r="A1196" s="64"/>
      <c r="B1196" s="80" t="s">
        <v>18249</v>
      </c>
      <c r="C1196" s="81" t="str">
        <f>IFERROR(__xludf.DUMMYFUNCTION("""COMPUTED_VALUE"""),"VSnodin")</f>
        <v>VSnodin</v>
      </c>
      <c r="D1196" s="75">
        <f>IFERROR(__xludf.DUMMYFUNCTION("""COMPUTED_VALUE"""),0.0)</f>
        <v>0</v>
      </c>
      <c r="E1196" s="64"/>
      <c r="F1196" s="95"/>
      <c r="G1196" s="96"/>
      <c r="H1196" s="64"/>
      <c r="I1196" s="64"/>
      <c r="J1196" s="64"/>
      <c r="K1196" s="64"/>
      <c r="L1196" s="64"/>
    </row>
    <row r="1197" ht="16.5" customHeight="1">
      <c r="A1197" s="64"/>
      <c r="B1197" s="80" t="s">
        <v>18249</v>
      </c>
      <c r="C1197" s="81" t="str">
        <f>IFERROR(__xludf.DUMMYFUNCTION("""COMPUTED_VALUE"""),"V_partners")</f>
        <v>V_partners</v>
      </c>
      <c r="D1197" s="75">
        <f>IFERROR(__xludf.DUMMYFUNCTION("""COMPUTED_VALUE"""),0.0)</f>
        <v>0</v>
      </c>
      <c r="E1197" s="64"/>
      <c r="F1197" s="95"/>
      <c r="G1197" s="96"/>
      <c r="H1197" s="64"/>
      <c r="I1197" s="64"/>
      <c r="J1197" s="64"/>
      <c r="K1197" s="64"/>
      <c r="L1197" s="64"/>
    </row>
    <row r="1198" ht="16.5" customHeight="1">
      <c r="A1198" s="64"/>
      <c r="B1198" s="80" t="s">
        <v>18249</v>
      </c>
      <c r="C1198" s="81" t="str">
        <f>IFERROR(__xludf.DUMMYFUNCTION("""COMPUTED_VALUE"""),"Val_Do")</f>
        <v>Val_Do</v>
      </c>
      <c r="D1198" s="75">
        <f>IFERROR(__xludf.DUMMYFUNCTION("""COMPUTED_VALUE"""),0.0)</f>
        <v>0</v>
      </c>
      <c r="E1198" s="64"/>
      <c r="F1198" s="95"/>
      <c r="G1198" s="96"/>
      <c r="H1198" s="64"/>
      <c r="I1198" s="64"/>
      <c r="J1198" s="64"/>
      <c r="K1198" s="64"/>
      <c r="L1198" s="64"/>
    </row>
    <row r="1199" ht="16.5" customHeight="1">
      <c r="A1199" s="64"/>
      <c r="B1199" s="80" t="s">
        <v>18249</v>
      </c>
      <c r="C1199" s="81" t="str">
        <f>IFERROR(__xludf.DUMMYFUNCTION("""COMPUTED_VALUE"""),"ValerieJStorm")</f>
        <v>ValerieJStorm</v>
      </c>
      <c r="D1199" s="75">
        <f>IFERROR(__xludf.DUMMYFUNCTION("""COMPUTED_VALUE"""),0.0)</f>
        <v>0</v>
      </c>
      <c r="E1199" s="64"/>
      <c r="F1199" s="95"/>
      <c r="G1199" s="96"/>
      <c r="H1199" s="64"/>
      <c r="I1199" s="64"/>
      <c r="J1199" s="64"/>
      <c r="K1199" s="64"/>
      <c r="L1199" s="64"/>
    </row>
    <row r="1200" ht="16.5" customHeight="1">
      <c r="A1200" s="64"/>
      <c r="B1200" s="80" t="s">
        <v>18249</v>
      </c>
      <c r="C1200" s="81" t="str">
        <f>IFERROR(__xludf.DUMMYFUNCTION("""COMPUTED_VALUE"""),"VanDutchmanXXX")</f>
        <v>VanDutchmanXXX</v>
      </c>
      <c r="D1200" s="75">
        <f>IFERROR(__xludf.DUMMYFUNCTION("""COMPUTED_VALUE"""),0.0)</f>
        <v>0</v>
      </c>
      <c r="E1200" s="64"/>
      <c r="F1200" s="95"/>
      <c r="G1200" s="96"/>
      <c r="H1200" s="64"/>
      <c r="I1200" s="64"/>
      <c r="J1200" s="64"/>
      <c r="K1200" s="64"/>
      <c r="L1200" s="64"/>
    </row>
    <row r="1201" ht="16.5" customHeight="1">
      <c r="A1201" s="64"/>
      <c r="B1201" s="80" t="s">
        <v>18249</v>
      </c>
      <c r="C1201" s="81" t="str">
        <f>IFERROR(__xludf.DUMMYFUNCTION("""COMPUTED_VALUE"""),"VanesEtim")</f>
        <v>VanesEtim</v>
      </c>
      <c r="D1201" s="75">
        <f>IFERROR(__xludf.DUMMYFUNCTION("""COMPUTED_VALUE"""),0.0)</f>
        <v>0</v>
      </c>
      <c r="E1201" s="64"/>
      <c r="F1201" s="95"/>
      <c r="G1201" s="96"/>
      <c r="H1201" s="64"/>
      <c r="I1201" s="64"/>
      <c r="J1201" s="64"/>
      <c r="K1201" s="64"/>
      <c r="L1201" s="64"/>
    </row>
    <row r="1202" ht="16.5" customHeight="1">
      <c r="A1202" s="64"/>
      <c r="B1202" s="80" t="s">
        <v>18249</v>
      </c>
      <c r="C1202" s="81" t="str">
        <f>IFERROR(__xludf.DUMMYFUNCTION("""COMPUTED_VALUE"""),"VeraVeritas3")</f>
        <v>VeraVeritas3</v>
      </c>
      <c r="D1202" s="75">
        <f>IFERROR(__xludf.DUMMYFUNCTION("""COMPUTED_VALUE"""),0.0)</f>
        <v>0</v>
      </c>
      <c r="E1202" s="64"/>
      <c r="F1202" s="95"/>
      <c r="G1202" s="96"/>
      <c r="H1202" s="64"/>
      <c r="I1202" s="64"/>
      <c r="J1202" s="64"/>
      <c r="K1202" s="64"/>
      <c r="L1202" s="64"/>
    </row>
    <row r="1203" ht="16.5" customHeight="1">
      <c r="A1203" s="64"/>
      <c r="B1203" s="80" t="s">
        <v>18249</v>
      </c>
      <c r="C1203" s="81" t="str">
        <f>IFERROR(__xludf.DUMMYFUNCTION("""COMPUTED_VALUE"""),"VerityKalcev")</f>
        <v>VerityKalcev</v>
      </c>
      <c r="D1203" s="75">
        <f>IFERROR(__xludf.DUMMYFUNCTION("""COMPUTED_VALUE"""),0.0)</f>
        <v>0</v>
      </c>
      <c r="E1203" s="64"/>
      <c r="F1203" s="95"/>
      <c r="G1203" s="96"/>
      <c r="H1203" s="64"/>
      <c r="I1203" s="64"/>
      <c r="J1203" s="64"/>
      <c r="K1203" s="64"/>
      <c r="L1203" s="64"/>
    </row>
    <row r="1204" ht="16.5" customHeight="1">
      <c r="A1204" s="64"/>
      <c r="B1204" s="80" t="s">
        <v>18249</v>
      </c>
      <c r="C1204" s="81" t="str">
        <f>IFERROR(__xludf.DUMMYFUNCTION("""COMPUTED_VALUE"""),"Vicktor1111")</f>
        <v>Vicktor1111</v>
      </c>
      <c r="D1204" s="75">
        <f>IFERROR(__xludf.DUMMYFUNCTION("""COMPUTED_VALUE"""),0.0)</f>
        <v>0</v>
      </c>
      <c r="E1204" s="64"/>
      <c r="F1204" s="95"/>
      <c r="G1204" s="96"/>
      <c r="H1204" s="64"/>
      <c r="I1204" s="64"/>
      <c r="J1204" s="64"/>
      <c r="K1204" s="64"/>
      <c r="L1204" s="64"/>
    </row>
    <row r="1205" ht="16.5" customHeight="1">
      <c r="A1205" s="64"/>
      <c r="B1205" s="80" t="s">
        <v>18249</v>
      </c>
      <c r="C1205" s="81" t="str">
        <f>IFERROR(__xludf.DUMMYFUNCTION("""COMPUTED_VALUE"""),"VinaigretteGirl")</f>
        <v>VinaigretteGirl</v>
      </c>
      <c r="D1205" s="75">
        <f>IFERROR(__xludf.DUMMYFUNCTION("""COMPUTED_VALUE"""),0.0)</f>
        <v>0</v>
      </c>
      <c r="E1205" s="64"/>
      <c r="F1205" s="95"/>
      <c r="G1205" s="96"/>
      <c r="H1205" s="64"/>
      <c r="I1205" s="64"/>
      <c r="J1205" s="64"/>
      <c r="K1205" s="64"/>
      <c r="L1205" s="64"/>
    </row>
    <row r="1206" ht="16.5" customHeight="1">
      <c r="A1206" s="64"/>
      <c r="B1206" s="80" t="s">
        <v>18249</v>
      </c>
      <c r="C1206" s="81" t="str">
        <f>IFERROR(__xludf.DUMMYFUNCTION("""COMPUTED_VALUE"""),"VincentCantrill")</f>
        <v>VincentCantrill</v>
      </c>
      <c r="D1206" s="75">
        <f>IFERROR(__xludf.DUMMYFUNCTION("""COMPUTED_VALUE"""),0.0)</f>
        <v>0</v>
      </c>
      <c r="E1206" s="64"/>
      <c r="F1206" s="95"/>
      <c r="G1206" s="96"/>
      <c r="H1206" s="64"/>
      <c r="I1206" s="64"/>
      <c r="J1206" s="64"/>
      <c r="K1206" s="64"/>
      <c r="L1206" s="64"/>
    </row>
    <row r="1207" ht="16.5" customHeight="1">
      <c r="A1207" s="64"/>
      <c r="B1207" s="80" t="s">
        <v>18249</v>
      </c>
      <c r="C1207" s="81" t="str">
        <f>IFERROR(__xludf.DUMMYFUNCTION("""COMPUTED_VALUE"""),"VincitOmniaVe18")</f>
        <v>VincitOmniaVe18</v>
      </c>
      <c r="D1207" s="75">
        <f>IFERROR(__xludf.DUMMYFUNCTION("""COMPUTED_VALUE"""),0.0)</f>
        <v>0</v>
      </c>
      <c r="E1207" s="64"/>
      <c r="F1207" s="95"/>
      <c r="G1207" s="96"/>
      <c r="H1207" s="64"/>
      <c r="I1207" s="64"/>
      <c r="J1207" s="64"/>
      <c r="K1207" s="64"/>
      <c r="L1207" s="64"/>
    </row>
    <row r="1208" ht="16.5" customHeight="1">
      <c r="A1208" s="64"/>
      <c r="B1208" s="80" t="s">
        <v>18249</v>
      </c>
      <c r="C1208" s="81" t="str">
        <f>IFERROR(__xludf.DUMMYFUNCTION("""COMPUTED_VALUE"""),"VineyBernard")</f>
        <v>VineyBernard</v>
      </c>
      <c r="D1208" s="75">
        <f>IFERROR(__xludf.DUMMYFUNCTION("""COMPUTED_VALUE"""),0.0)</f>
        <v>0</v>
      </c>
      <c r="E1208" s="64"/>
      <c r="F1208" s="95"/>
      <c r="G1208" s="96"/>
      <c r="H1208" s="64"/>
      <c r="I1208" s="64"/>
      <c r="J1208" s="64"/>
      <c r="K1208" s="64"/>
      <c r="L1208" s="64"/>
    </row>
    <row r="1209" ht="16.5" customHeight="1">
      <c r="A1209" s="64"/>
      <c r="B1209" s="80" t="s">
        <v>18249</v>
      </c>
      <c r="C1209" s="81" t="str">
        <f>IFERROR(__xludf.DUMMYFUNCTION("""COMPUTED_VALUE"""),"VishaPhullah")</f>
        <v>VishaPhullah</v>
      </c>
      <c r="D1209" s="75">
        <f>IFERROR(__xludf.DUMMYFUNCTION("""COMPUTED_VALUE"""),0.0)</f>
        <v>0</v>
      </c>
      <c r="E1209" s="64"/>
      <c r="F1209" s="95"/>
      <c r="G1209" s="96"/>
      <c r="H1209" s="64"/>
      <c r="I1209" s="64"/>
      <c r="J1209" s="64"/>
      <c r="K1209" s="64"/>
      <c r="L1209" s="64"/>
    </row>
    <row r="1210" ht="16.5" customHeight="1">
      <c r="A1210" s="64"/>
      <c r="B1210" s="80" t="s">
        <v>18249</v>
      </c>
      <c r="C1210" s="81" t="str">
        <f>IFERROR(__xludf.DUMMYFUNCTION("""COMPUTED_VALUE"""),"VogonScout")</f>
        <v>VogonScout</v>
      </c>
      <c r="D1210" s="75">
        <f>IFERROR(__xludf.DUMMYFUNCTION("""COMPUTED_VALUE"""),0.0)</f>
        <v>0</v>
      </c>
      <c r="E1210" s="64"/>
      <c r="F1210" s="95"/>
      <c r="G1210" s="96"/>
      <c r="H1210" s="64"/>
      <c r="I1210" s="64"/>
      <c r="J1210" s="64"/>
      <c r="K1210" s="64"/>
      <c r="L1210" s="64"/>
    </row>
    <row r="1211" ht="16.5" customHeight="1">
      <c r="A1211" s="64"/>
      <c r="B1211" s="80" t="s">
        <v>18249</v>
      </c>
      <c r="C1211" s="81" t="str">
        <f>IFERROR(__xludf.DUMMYFUNCTION("""COMPUTED_VALUE"""),"WCountryVoices")</f>
        <v>WCountryVoices</v>
      </c>
      <c r="D1211" s="75">
        <f>IFERROR(__xludf.DUMMYFUNCTION("""COMPUTED_VALUE"""),0.0)</f>
        <v>0</v>
      </c>
      <c r="E1211" s="64"/>
      <c r="F1211" s="95"/>
      <c r="G1211" s="96"/>
      <c r="H1211" s="64"/>
      <c r="I1211" s="64"/>
      <c r="J1211" s="64"/>
      <c r="K1211" s="64"/>
      <c r="L1211" s="64"/>
    </row>
    <row r="1212" ht="16.5" customHeight="1">
      <c r="A1212" s="64"/>
      <c r="B1212" s="80" t="s">
        <v>18249</v>
      </c>
      <c r="C1212" s="81" t="str">
        <f>IFERROR(__xludf.DUMMYFUNCTION("""COMPUTED_VALUE"""),"WH1959")</f>
        <v>WH1959</v>
      </c>
      <c r="D1212" s="75">
        <f>IFERROR(__xludf.DUMMYFUNCTION("""COMPUTED_VALUE"""),0.0)</f>
        <v>0</v>
      </c>
      <c r="E1212" s="64"/>
      <c r="F1212" s="95"/>
      <c r="G1212" s="96"/>
      <c r="H1212" s="64"/>
      <c r="I1212" s="64"/>
      <c r="J1212" s="64"/>
      <c r="K1212" s="64"/>
      <c r="L1212" s="64"/>
    </row>
    <row r="1213" ht="16.5" customHeight="1">
      <c r="A1213" s="64"/>
      <c r="B1213" s="80" t="s">
        <v>18249</v>
      </c>
      <c r="C1213" s="81" t="str">
        <f>IFERROR(__xludf.DUMMYFUNCTION("""COMPUTED_VALUE"""),"WNB50")</f>
        <v>WNB50</v>
      </c>
      <c r="D1213" s="75">
        <f>IFERROR(__xludf.DUMMYFUNCTION("""COMPUTED_VALUE"""),0.0)</f>
        <v>0</v>
      </c>
      <c r="E1213" s="64"/>
      <c r="F1213" s="95"/>
      <c r="G1213" s="96"/>
      <c r="H1213" s="64"/>
      <c r="I1213" s="64"/>
      <c r="J1213" s="64"/>
      <c r="K1213" s="64"/>
      <c r="L1213" s="64"/>
    </row>
    <row r="1214" ht="16.5" customHeight="1">
      <c r="A1214" s="64"/>
      <c r="B1214" s="80" t="s">
        <v>18249</v>
      </c>
      <c r="C1214" s="81" t="str">
        <f>IFERROR(__xludf.DUMMYFUNCTION("""COMPUTED_VALUE"""),"WNethercott")</f>
        <v>WNethercott</v>
      </c>
      <c r="D1214" s="75">
        <f>IFERROR(__xludf.DUMMYFUNCTION("""COMPUTED_VALUE"""),0.0)</f>
        <v>0</v>
      </c>
      <c r="E1214" s="64"/>
      <c r="F1214" s="95"/>
      <c r="G1214" s="96"/>
      <c r="H1214" s="64"/>
      <c r="I1214" s="64"/>
      <c r="J1214" s="64"/>
      <c r="K1214" s="64"/>
      <c r="L1214" s="64"/>
    </row>
    <row r="1215" ht="16.5" customHeight="1">
      <c r="A1215" s="64"/>
      <c r="B1215" s="80" t="s">
        <v>18249</v>
      </c>
      <c r="C1215" s="81" t="str">
        <f>IFERROR(__xludf.DUMMYFUNCTION("""COMPUTED_VALUE"""),"WairarapaJane")</f>
        <v>WairarapaJane</v>
      </c>
      <c r="D1215" s="75">
        <f>IFERROR(__xludf.DUMMYFUNCTION("""COMPUTED_VALUE"""),0.0)</f>
        <v>0</v>
      </c>
      <c r="E1215" s="64"/>
      <c r="F1215" s="95"/>
      <c r="G1215" s="96"/>
      <c r="H1215" s="64"/>
      <c r="I1215" s="64"/>
      <c r="J1215" s="64"/>
      <c r="K1215" s="64"/>
      <c r="L1215" s="64"/>
    </row>
    <row r="1216" ht="16.5" customHeight="1">
      <c r="A1216" s="64"/>
      <c r="B1216" s="80" t="s">
        <v>18249</v>
      </c>
      <c r="C1216" s="81" t="str">
        <f>IFERROR(__xludf.DUMMYFUNCTION("""COMPUTED_VALUE"""),"WakoJoel")</f>
        <v>WakoJoel</v>
      </c>
      <c r="D1216" s="75">
        <f>IFERROR(__xludf.DUMMYFUNCTION("""COMPUTED_VALUE"""),0.0)</f>
        <v>0</v>
      </c>
      <c r="E1216" s="64"/>
      <c r="F1216" s="95"/>
      <c r="G1216" s="96"/>
      <c r="H1216" s="64"/>
      <c r="I1216" s="64"/>
      <c r="J1216" s="64"/>
      <c r="K1216" s="64"/>
      <c r="L1216" s="64"/>
    </row>
    <row r="1217" ht="16.5" customHeight="1">
      <c r="A1217" s="64"/>
      <c r="B1217" s="80" t="s">
        <v>18249</v>
      </c>
      <c r="C1217" s="81" t="str">
        <f>IFERROR(__xludf.DUMMYFUNCTION("""COMPUTED_VALUE"""),"Wallwin80")</f>
        <v>Wallwin80</v>
      </c>
      <c r="D1217" s="75">
        <f>IFERROR(__xludf.DUMMYFUNCTION("""COMPUTED_VALUE"""),0.0)</f>
        <v>0</v>
      </c>
      <c r="E1217" s="64"/>
      <c r="F1217" s="95"/>
      <c r="G1217" s="96"/>
      <c r="H1217" s="64"/>
      <c r="I1217" s="64"/>
      <c r="J1217" s="64"/>
      <c r="K1217" s="64"/>
      <c r="L1217" s="64"/>
    </row>
    <row r="1218" ht="16.5" customHeight="1">
      <c r="A1218" s="64"/>
      <c r="B1218" s="80" t="s">
        <v>18249</v>
      </c>
      <c r="C1218" s="81" t="str">
        <f>IFERROR(__xludf.DUMMYFUNCTION("""COMPUTED_VALUE"""),"WalshC129")</f>
        <v>WalshC129</v>
      </c>
      <c r="D1218" s="75">
        <f>IFERROR(__xludf.DUMMYFUNCTION("""COMPUTED_VALUE"""),0.0)</f>
        <v>0</v>
      </c>
      <c r="E1218" s="64"/>
      <c r="F1218" s="95"/>
      <c r="G1218" s="96"/>
      <c r="H1218" s="64"/>
      <c r="I1218" s="64"/>
      <c r="J1218" s="64"/>
      <c r="K1218" s="64"/>
      <c r="L1218" s="64"/>
    </row>
    <row r="1219" ht="16.5" customHeight="1">
      <c r="A1219" s="64"/>
      <c r="B1219" s="80" t="s">
        <v>18249</v>
      </c>
      <c r="C1219" s="81" t="str">
        <f>IFERROR(__xludf.DUMMYFUNCTION("""COMPUTED_VALUE"""),"Walshy2521")</f>
        <v>Walshy2521</v>
      </c>
      <c r="D1219" s="75">
        <f>IFERROR(__xludf.DUMMYFUNCTION("""COMPUTED_VALUE"""),0.0)</f>
        <v>0</v>
      </c>
      <c r="E1219" s="64"/>
      <c r="F1219" s="95"/>
      <c r="G1219" s="96"/>
      <c r="H1219" s="64"/>
      <c r="I1219" s="64"/>
      <c r="J1219" s="64"/>
      <c r="K1219" s="64"/>
      <c r="L1219" s="64"/>
    </row>
    <row r="1220" ht="16.5" customHeight="1">
      <c r="A1220" s="64"/>
      <c r="B1220" s="80" t="s">
        <v>18249</v>
      </c>
      <c r="C1220" s="81" t="str">
        <f>IFERROR(__xludf.DUMMYFUNCTION("""COMPUTED_VALUE"""),"WandaKloza")</f>
        <v>WandaKloza</v>
      </c>
      <c r="D1220" s="75">
        <f>IFERROR(__xludf.DUMMYFUNCTION("""COMPUTED_VALUE"""),0.0)</f>
        <v>0</v>
      </c>
      <c r="E1220" s="64"/>
      <c r="F1220" s="95"/>
      <c r="G1220" s="96"/>
      <c r="H1220" s="64"/>
      <c r="I1220" s="64"/>
      <c r="J1220" s="64"/>
      <c r="K1220" s="64"/>
      <c r="L1220" s="64"/>
    </row>
    <row r="1221" ht="16.5" customHeight="1">
      <c r="A1221" s="64"/>
      <c r="B1221" s="80" t="s">
        <v>18249</v>
      </c>
      <c r="C1221" s="81" t="str">
        <f>IFERROR(__xludf.DUMMYFUNCTION("""COMPUTED_VALUE"""),"Wantage991")</f>
        <v>Wantage991</v>
      </c>
      <c r="D1221" s="75">
        <f>IFERROR(__xludf.DUMMYFUNCTION("""COMPUTED_VALUE"""),0.0)</f>
        <v>0</v>
      </c>
      <c r="E1221" s="64"/>
      <c r="F1221" s="95"/>
      <c r="G1221" s="96"/>
      <c r="H1221" s="64"/>
      <c r="I1221" s="64"/>
      <c r="J1221" s="64"/>
      <c r="K1221" s="64"/>
      <c r="L1221" s="64"/>
    </row>
    <row r="1222" ht="16.5" customHeight="1">
      <c r="A1222" s="64"/>
      <c r="B1222" s="80" t="s">
        <v>18249</v>
      </c>
      <c r="C1222" s="81" t="str">
        <f>IFERROR(__xludf.DUMMYFUNCTION("""COMPUTED_VALUE"""),"Waringphilip")</f>
        <v>Waringphilip</v>
      </c>
      <c r="D1222" s="75">
        <f>IFERROR(__xludf.DUMMYFUNCTION("""COMPUTED_VALUE"""),0.0)</f>
        <v>0</v>
      </c>
      <c r="E1222" s="64"/>
      <c r="F1222" s="95"/>
      <c r="G1222" s="96"/>
      <c r="H1222" s="64"/>
      <c r="I1222" s="64"/>
      <c r="J1222" s="64"/>
      <c r="K1222" s="64"/>
      <c r="L1222" s="64"/>
    </row>
    <row r="1223" ht="16.5" customHeight="1">
      <c r="A1223" s="64"/>
      <c r="B1223" s="80" t="s">
        <v>18249</v>
      </c>
      <c r="C1223" s="81" t="str">
        <f>IFERROR(__xludf.DUMMYFUNCTION("""COMPUTED_VALUE"""),"Warren1Point")</f>
        <v>Warren1Point</v>
      </c>
      <c r="D1223" s="75">
        <f>IFERROR(__xludf.DUMMYFUNCTION("""COMPUTED_VALUE"""),0.0)</f>
        <v>0</v>
      </c>
      <c r="E1223" s="64"/>
      <c r="F1223" s="95"/>
      <c r="G1223" s="96"/>
      <c r="H1223" s="64"/>
      <c r="I1223" s="64"/>
      <c r="J1223" s="64"/>
      <c r="K1223" s="64"/>
      <c r="L1223" s="64"/>
    </row>
    <row r="1224" ht="16.5" customHeight="1">
      <c r="A1224" s="64"/>
      <c r="B1224" s="80" t="s">
        <v>18249</v>
      </c>
      <c r="C1224" s="81" t="str">
        <f>IFERROR(__xludf.DUMMYFUNCTION("""COMPUTED_VALUE"""),"Warzoid")</f>
        <v>Warzoid</v>
      </c>
      <c r="D1224" s="75">
        <f>IFERROR(__xludf.DUMMYFUNCTION("""COMPUTED_VALUE"""),0.0)</f>
        <v>0</v>
      </c>
      <c r="E1224" s="64"/>
      <c r="F1224" s="95"/>
      <c r="G1224" s="96"/>
      <c r="H1224" s="64"/>
      <c r="I1224" s="64"/>
      <c r="J1224" s="64"/>
      <c r="K1224" s="64"/>
      <c r="L1224" s="64"/>
    </row>
    <row r="1225" ht="16.5" customHeight="1">
      <c r="A1225" s="64"/>
      <c r="B1225" s="80" t="s">
        <v>18249</v>
      </c>
      <c r="C1225" s="81" t="str">
        <f>IFERROR(__xludf.DUMMYFUNCTION("""COMPUTED_VALUE"""),"WeRThe48Percent")</f>
        <v>WeRThe48Percent</v>
      </c>
      <c r="D1225" s="75">
        <f>IFERROR(__xludf.DUMMYFUNCTION("""COMPUTED_VALUE"""),0.0)</f>
        <v>0</v>
      </c>
      <c r="E1225" s="64"/>
      <c r="F1225" s="95"/>
      <c r="G1225" s="96"/>
      <c r="H1225" s="64"/>
      <c r="I1225" s="64"/>
      <c r="J1225" s="64"/>
      <c r="K1225" s="64"/>
      <c r="L1225" s="64"/>
    </row>
    <row r="1226" ht="16.5" customHeight="1">
      <c r="A1226" s="64"/>
      <c r="B1226" s="80" t="s">
        <v>18249</v>
      </c>
      <c r="C1226" s="81" t="str">
        <f>IFERROR(__xludf.DUMMYFUNCTION("""COMPUTED_VALUE"""),"Wearypundit")</f>
        <v>Wearypundit</v>
      </c>
      <c r="D1226" s="75">
        <f>IFERROR(__xludf.DUMMYFUNCTION("""COMPUTED_VALUE"""),0.0)</f>
        <v>0</v>
      </c>
      <c r="E1226" s="64"/>
      <c r="F1226" s="95"/>
      <c r="G1226" s="96"/>
      <c r="H1226" s="64"/>
      <c r="I1226" s="64"/>
      <c r="J1226" s="64"/>
      <c r="K1226" s="64"/>
      <c r="L1226" s="64"/>
    </row>
    <row r="1227" ht="16.5" customHeight="1">
      <c r="A1227" s="64"/>
      <c r="B1227" s="80" t="s">
        <v>18249</v>
      </c>
      <c r="C1227" s="81" t="str">
        <f>IFERROR(__xludf.DUMMYFUNCTION("""COMPUTED_VALUE"""),"WelfordGeoff")</f>
        <v>WelfordGeoff</v>
      </c>
      <c r="D1227" s="75">
        <f>IFERROR(__xludf.DUMMYFUNCTION("""COMPUTED_VALUE"""),0.0)</f>
        <v>0</v>
      </c>
      <c r="E1227" s="64"/>
      <c r="F1227" s="95"/>
      <c r="G1227" s="96"/>
      <c r="H1227" s="64"/>
      <c r="I1227" s="64"/>
      <c r="J1227" s="64"/>
      <c r="K1227" s="64"/>
      <c r="L1227" s="64"/>
    </row>
    <row r="1228" ht="16.5" customHeight="1">
      <c r="A1228" s="64"/>
      <c r="B1228" s="80" t="s">
        <v>18249</v>
      </c>
      <c r="C1228" s="81" t="str">
        <f>IFERROR(__xludf.DUMMYFUNCTION("""COMPUTED_VALUE"""),"WelshOfTheWest")</f>
        <v>WelshOfTheWest</v>
      </c>
      <c r="D1228" s="75">
        <f>IFERROR(__xludf.DUMMYFUNCTION("""COMPUTED_VALUE"""),0.0)</f>
        <v>0</v>
      </c>
      <c r="E1228" s="64"/>
      <c r="F1228" s="95"/>
      <c r="G1228" s="96"/>
      <c r="H1228" s="64"/>
      <c r="I1228" s="64"/>
      <c r="J1228" s="64"/>
      <c r="K1228" s="64"/>
      <c r="L1228" s="64"/>
    </row>
    <row r="1229" ht="16.5" customHeight="1">
      <c r="A1229" s="64"/>
      <c r="B1229" s="80" t="s">
        <v>18249</v>
      </c>
      <c r="C1229" s="81" t="str">
        <f>IFERROR(__xludf.DUMMYFUNCTION("""COMPUTED_VALUE"""),"WendyStringer17")</f>
        <v>WendyStringer17</v>
      </c>
      <c r="D1229" s="75">
        <f>IFERROR(__xludf.DUMMYFUNCTION("""COMPUTED_VALUE"""),0.0)</f>
        <v>0</v>
      </c>
      <c r="E1229" s="64"/>
      <c r="F1229" s="95"/>
      <c r="G1229" s="96"/>
      <c r="H1229" s="64"/>
      <c r="I1229" s="64"/>
      <c r="J1229" s="64"/>
      <c r="K1229" s="64"/>
      <c r="L1229" s="64"/>
    </row>
    <row r="1230" ht="16.5" customHeight="1">
      <c r="A1230" s="64"/>
      <c r="B1230" s="80" t="s">
        <v>18249</v>
      </c>
      <c r="C1230" s="81" t="str">
        <f>IFERROR(__xludf.DUMMYFUNCTION("""COMPUTED_VALUE"""),"WestonGrockle")</f>
        <v>WestonGrockle</v>
      </c>
      <c r="D1230" s="75">
        <f>IFERROR(__xludf.DUMMYFUNCTION("""COMPUTED_VALUE"""),0.0)</f>
        <v>0</v>
      </c>
      <c r="E1230" s="64"/>
      <c r="F1230" s="95"/>
      <c r="G1230" s="96"/>
      <c r="H1230" s="64"/>
      <c r="I1230" s="64"/>
      <c r="J1230" s="64"/>
      <c r="K1230" s="64"/>
      <c r="L1230" s="64"/>
    </row>
    <row r="1231" ht="16.5" customHeight="1">
      <c r="A1231" s="64"/>
      <c r="B1231" s="80" t="s">
        <v>18249</v>
      </c>
      <c r="C1231" s="81" t="str">
        <f>IFERROR(__xludf.DUMMYFUNCTION("""COMPUTED_VALUE"""),"Westward_Hook")</f>
        <v>Westward_Hook</v>
      </c>
      <c r="D1231" s="75">
        <f>IFERROR(__xludf.DUMMYFUNCTION("""COMPUTED_VALUE"""),0.0)</f>
        <v>0</v>
      </c>
      <c r="E1231" s="64"/>
      <c r="F1231" s="95"/>
      <c r="G1231" s="96"/>
      <c r="H1231" s="64"/>
      <c r="I1231" s="64"/>
      <c r="J1231" s="64"/>
      <c r="K1231" s="64"/>
      <c r="L1231" s="64"/>
    </row>
    <row r="1232" ht="16.5" customHeight="1">
      <c r="A1232" s="64"/>
      <c r="B1232" s="80" t="s">
        <v>18249</v>
      </c>
      <c r="C1232" s="81" t="str">
        <f>IFERROR(__xludf.DUMMYFUNCTION("""COMPUTED_VALUE"""),"WhingingTeacher")</f>
        <v>WhingingTeacher</v>
      </c>
      <c r="D1232" s="75">
        <f>IFERROR(__xludf.DUMMYFUNCTION("""COMPUTED_VALUE"""),0.0)</f>
        <v>0</v>
      </c>
      <c r="E1232" s="64"/>
      <c r="F1232" s="95"/>
      <c r="G1232" s="96"/>
      <c r="H1232" s="64"/>
      <c r="I1232" s="64"/>
      <c r="J1232" s="64"/>
      <c r="K1232" s="64"/>
      <c r="L1232" s="64"/>
    </row>
    <row r="1233" ht="16.5" customHeight="1">
      <c r="A1233" s="64"/>
      <c r="B1233" s="80" t="s">
        <v>18249</v>
      </c>
      <c r="C1233" s="81" t="str">
        <f>IFERROR(__xludf.DUMMYFUNCTION("""COMPUTED_VALUE"""),"White692742")</f>
        <v>White692742</v>
      </c>
      <c r="D1233" s="75">
        <f>IFERROR(__xludf.DUMMYFUNCTION("""COMPUTED_VALUE"""),0.0)</f>
        <v>0</v>
      </c>
      <c r="E1233" s="64"/>
      <c r="F1233" s="95"/>
      <c r="G1233" s="96"/>
      <c r="H1233" s="64"/>
      <c r="I1233" s="64"/>
      <c r="J1233" s="64"/>
      <c r="K1233" s="64"/>
      <c r="L1233" s="64"/>
    </row>
    <row r="1234" ht="16.5" customHeight="1">
      <c r="A1234" s="64"/>
      <c r="B1234" s="80" t="s">
        <v>18249</v>
      </c>
      <c r="C1234" s="81" t="str">
        <f>IFERROR(__xludf.DUMMYFUNCTION("""COMPUTED_VALUE"""),"Wibbers13")</f>
        <v>Wibbers13</v>
      </c>
      <c r="D1234" s="75">
        <f>IFERROR(__xludf.DUMMYFUNCTION("""COMPUTED_VALUE"""),0.0)</f>
        <v>0</v>
      </c>
      <c r="E1234" s="64"/>
      <c r="F1234" s="95"/>
      <c r="G1234" s="96"/>
      <c r="H1234" s="64"/>
      <c r="I1234" s="64"/>
      <c r="J1234" s="64"/>
      <c r="K1234" s="64"/>
      <c r="L1234" s="64"/>
    </row>
    <row r="1235" ht="16.5" customHeight="1">
      <c r="A1235" s="64"/>
      <c r="B1235" s="80" t="s">
        <v>18249</v>
      </c>
      <c r="C1235" s="81" t="str">
        <f>IFERROR(__xludf.DUMMYFUNCTION("""COMPUTED_VALUE"""),"Wicksylax")</f>
        <v>Wicksylax</v>
      </c>
      <c r="D1235" s="75">
        <f>IFERROR(__xludf.DUMMYFUNCTION("""COMPUTED_VALUE"""),0.0)</f>
        <v>0</v>
      </c>
      <c r="E1235" s="64"/>
      <c r="F1235" s="95"/>
      <c r="G1235" s="96"/>
      <c r="H1235" s="64"/>
      <c r="I1235" s="64"/>
      <c r="J1235" s="64"/>
      <c r="K1235" s="64"/>
      <c r="L1235" s="64"/>
    </row>
    <row r="1236" ht="16.5" customHeight="1">
      <c r="A1236" s="64"/>
      <c r="B1236" s="80" t="s">
        <v>18249</v>
      </c>
      <c r="C1236" s="81" t="str">
        <f>IFERROR(__xludf.DUMMYFUNCTION("""COMPUTED_VALUE"""),"WiddecombeB")</f>
        <v>WiddecombeB</v>
      </c>
      <c r="D1236" s="75">
        <f>IFERROR(__xludf.DUMMYFUNCTION("""COMPUTED_VALUE"""),0.0)</f>
        <v>0</v>
      </c>
      <c r="E1236" s="64"/>
      <c r="F1236" s="95"/>
      <c r="G1236" s="96"/>
      <c r="H1236" s="64"/>
      <c r="I1236" s="64"/>
      <c r="J1236" s="64"/>
      <c r="K1236" s="64"/>
      <c r="L1236" s="64"/>
    </row>
    <row r="1237" ht="16.5" customHeight="1">
      <c r="A1237" s="64"/>
      <c r="B1237" s="80" t="s">
        <v>18249</v>
      </c>
      <c r="C1237" s="81" t="str">
        <f>IFERROR(__xludf.DUMMYFUNCTION("""COMPUTED_VALUE"""),"WillParker1979")</f>
        <v>WillParker1979</v>
      </c>
      <c r="D1237" s="75">
        <f>IFERROR(__xludf.DUMMYFUNCTION("""COMPUTED_VALUE"""),0.0)</f>
        <v>0</v>
      </c>
      <c r="E1237" s="64"/>
      <c r="F1237" s="95"/>
      <c r="G1237" s="96"/>
      <c r="H1237" s="64"/>
      <c r="I1237" s="64"/>
      <c r="J1237" s="64"/>
      <c r="K1237" s="64"/>
      <c r="L1237" s="64"/>
    </row>
    <row r="1238" ht="16.5" customHeight="1">
      <c r="A1238" s="64"/>
      <c r="B1238" s="80" t="s">
        <v>18249</v>
      </c>
      <c r="C1238" s="81" t="str">
        <f>IFERROR(__xludf.DUMMYFUNCTION("""COMPUTED_VALUE"""),"Will_Butts")</f>
        <v>Will_Butts</v>
      </c>
      <c r="D1238" s="75">
        <f>IFERROR(__xludf.DUMMYFUNCTION("""COMPUTED_VALUE"""),0.0)</f>
        <v>0</v>
      </c>
      <c r="E1238" s="64"/>
      <c r="F1238" s="95"/>
      <c r="G1238" s="96"/>
      <c r="H1238" s="64"/>
      <c r="I1238" s="64"/>
      <c r="J1238" s="64"/>
      <c r="K1238" s="64"/>
      <c r="L1238" s="64"/>
    </row>
    <row r="1239" ht="16.5" customHeight="1">
      <c r="A1239" s="64"/>
      <c r="B1239" s="80" t="s">
        <v>18249</v>
      </c>
      <c r="C1239" s="81" t="str">
        <f>IFERROR(__xludf.DUMMYFUNCTION("""COMPUTED_VALUE"""),"WilliamMcGowa15")</f>
        <v>WilliamMcGowa15</v>
      </c>
      <c r="D1239" s="75">
        <f>IFERROR(__xludf.DUMMYFUNCTION("""COMPUTED_VALUE"""),0.0)</f>
        <v>0</v>
      </c>
      <c r="E1239" s="64"/>
      <c r="F1239" s="95"/>
      <c r="G1239" s="96"/>
      <c r="H1239" s="64"/>
      <c r="I1239" s="64"/>
      <c r="J1239" s="64"/>
      <c r="K1239" s="64"/>
      <c r="L1239" s="64"/>
    </row>
    <row r="1240" ht="16.5" customHeight="1">
      <c r="A1240" s="64"/>
      <c r="B1240" s="80" t="s">
        <v>18249</v>
      </c>
      <c r="C1240" s="81" t="str">
        <f>IFERROR(__xludf.DUMMYFUNCTION("""COMPUTED_VALUE"""),"WizBish")</f>
        <v>WizBish</v>
      </c>
      <c r="D1240" s="75">
        <f>IFERROR(__xludf.DUMMYFUNCTION("""COMPUTED_VALUE"""),0.0)</f>
        <v>0</v>
      </c>
      <c r="E1240" s="64"/>
      <c r="F1240" s="95"/>
      <c r="G1240" s="96"/>
      <c r="H1240" s="64"/>
      <c r="I1240" s="64"/>
      <c r="J1240" s="64"/>
      <c r="K1240" s="64"/>
      <c r="L1240" s="64"/>
    </row>
    <row r="1241" ht="16.5" customHeight="1">
      <c r="A1241" s="64"/>
      <c r="B1241" s="80" t="s">
        <v>18249</v>
      </c>
      <c r="C1241" s="81" t="str">
        <f>IFERROR(__xludf.DUMMYFUNCTION("""COMPUTED_VALUE"""),"Wmt131")</f>
        <v>Wmt131</v>
      </c>
      <c r="D1241" s="75">
        <f>IFERROR(__xludf.DUMMYFUNCTION("""COMPUTED_VALUE"""),0.0)</f>
        <v>0</v>
      </c>
      <c r="E1241" s="64"/>
      <c r="F1241" s="95"/>
      <c r="G1241" s="96"/>
      <c r="H1241" s="64"/>
      <c r="I1241" s="64"/>
      <c r="J1241" s="64"/>
      <c r="K1241" s="64"/>
      <c r="L1241" s="64"/>
    </row>
    <row r="1242" ht="16.5" customHeight="1">
      <c r="A1242" s="64"/>
      <c r="B1242" s="80" t="s">
        <v>18249</v>
      </c>
      <c r="C1242" s="81" t="str">
        <f>IFERROR(__xludf.DUMMYFUNCTION("""COMPUTED_VALUE"""),"Wombat120mm")</f>
        <v>Wombat120mm</v>
      </c>
      <c r="D1242" s="75">
        <f>IFERROR(__xludf.DUMMYFUNCTION("""COMPUTED_VALUE"""),0.0)</f>
        <v>0</v>
      </c>
      <c r="E1242" s="64"/>
      <c r="F1242" s="95"/>
      <c r="G1242" s="96"/>
      <c r="H1242" s="64"/>
      <c r="I1242" s="64"/>
      <c r="J1242" s="64"/>
      <c r="K1242" s="64"/>
      <c r="L1242" s="64"/>
    </row>
    <row r="1243" ht="16.5" customHeight="1">
      <c r="A1243" s="64"/>
      <c r="B1243" s="80" t="s">
        <v>18249</v>
      </c>
      <c r="C1243" s="81" t="str">
        <f>IFERROR(__xludf.DUMMYFUNCTION("""COMPUTED_VALUE"""),"WoodlouseHouse")</f>
        <v>WoodlouseHouse</v>
      </c>
      <c r="D1243" s="75">
        <f>IFERROR(__xludf.DUMMYFUNCTION("""COMPUTED_VALUE"""),0.0)</f>
        <v>0</v>
      </c>
      <c r="E1243" s="64"/>
      <c r="F1243" s="95"/>
      <c r="G1243" s="96"/>
      <c r="H1243" s="64"/>
      <c r="I1243" s="64"/>
      <c r="J1243" s="64"/>
      <c r="K1243" s="64"/>
      <c r="L1243" s="64"/>
    </row>
    <row r="1244" ht="16.5" customHeight="1">
      <c r="A1244" s="64"/>
      <c r="B1244" s="80" t="s">
        <v>18249</v>
      </c>
      <c r="C1244" s="81" t="str">
        <f>IFERROR(__xludf.DUMMYFUNCTION("""COMPUTED_VALUE"""),"WriterMich9")</f>
        <v>WriterMich9</v>
      </c>
      <c r="D1244" s="75">
        <f>IFERROR(__xludf.DUMMYFUNCTION("""COMPUTED_VALUE"""),0.0)</f>
        <v>0</v>
      </c>
      <c r="E1244" s="64"/>
      <c r="F1244" s="95"/>
      <c r="G1244" s="96"/>
      <c r="H1244" s="64"/>
      <c r="I1244" s="64"/>
      <c r="J1244" s="64"/>
      <c r="K1244" s="64"/>
      <c r="L1244" s="64"/>
    </row>
    <row r="1245" ht="16.5" customHeight="1">
      <c r="A1245" s="64"/>
      <c r="B1245" s="80" t="s">
        <v>18249</v>
      </c>
      <c r="C1245" s="81" t="str">
        <f>IFERROR(__xludf.DUMMYFUNCTION("""COMPUTED_VALUE"""),"Wspock")</f>
        <v>Wspock</v>
      </c>
      <c r="D1245" s="75">
        <f>IFERROR(__xludf.DUMMYFUNCTION("""COMPUTED_VALUE"""),0.0)</f>
        <v>0</v>
      </c>
      <c r="E1245" s="64"/>
      <c r="F1245" s="95"/>
      <c r="G1245" s="96"/>
      <c r="H1245" s="64"/>
      <c r="I1245" s="64"/>
      <c r="J1245" s="64"/>
      <c r="K1245" s="64"/>
      <c r="L1245" s="64"/>
    </row>
    <row r="1246" ht="16.5" customHeight="1">
      <c r="A1246" s="64"/>
      <c r="B1246" s="80" t="s">
        <v>18249</v>
      </c>
      <c r="C1246" s="81" t="str">
        <f>IFERROR(__xludf.DUMMYFUNCTION("""COMPUTED_VALUE"""),"WstephenWatson")</f>
        <v>WstephenWatson</v>
      </c>
      <c r="D1246" s="75">
        <f>IFERROR(__xludf.DUMMYFUNCTION("""COMPUTED_VALUE"""),0.0)</f>
        <v>0</v>
      </c>
      <c r="E1246" s="64"/>
      <c r="F1246" s="95"/>
      <c r="G1246" s="96"/>
      <c r="H1246" s="64"/>
      <c r="I1246" s="64"/>
      <c r="J1246" s="64"/>
      <c r="K1246" s="64"/>
      <c r="L1246" s="64"/>
    </row>
    <row r="1247" ht="16.5" customHeight="1">
      <c r="A1247" s="64"/>
      <c r="B1247" s="80" t="s">
        <v>18249</v>
      </c>
      <c r="C1247" s="81" t="str">
        <f>IFERROR(__xludf.DUMMYFUNCTION("""COMPUTED_VALUE"""),"WynEdwards")</f>
        <v>WynEdwards</v>
      </c>
      <c r="D1247" s="75">
        <f>IFERROR(__xludf.DUMMYFUNCTION("""COMPUTED_VALUE"""),0.0)</f>
        <v>0</v>
      </c>
      <c r="E1247" s="64"/>
      <c r="F1247" s="95"/>
      <c r="G1247" s="96"/>
      <c r="H1247" s="64"/>
      <c r="I1247" s="64"/>
      <c r="J1247" s="64"/>
      <c r="K1247" s="64"/>
      <c r="L1247" s="64"/>
    </row>
    <row r="1248" ht="16.5" customHeight="1">
      <c r="A1248" s="64"/>
      <c r="B1248" s="80" t="s">
        <v>18249</v>
      </c>
      <c r="C1248" s="81" t="str">
        <f>IFERROR(__xludf.DUMMYFUNCTION("""COMPUTED_VALUE"""),"XXX1946")</f>
        <v>XXX1946</v>
      </c>
      <c r="D1248" s="75">
        <f>IFERROR(__xludf.DUMMYFUNCTION("""COMPUTED_VALUE"""),0.0)</f>
        <v>0</v>
      </c>
      <c r="E1248" s="64"/>
      <c r="F1248" s="95"/>
      <c r="G1248" s="96"/>
      <c r="H1248" s="64"/>
      <c r="I1248" s="64"/>
      <c r="J1248" s="64"/>
      <c r="K1248" s="64"/>
      <c r="L1248" s="64"/>
    </row>
    <row r="1249" ht="16.5" customHeight="1">
      <c r="A1249" s="64"/>
      <c r="B1249" s="80" t="s">
        <v>18249</v>
      </c>
      <c r="C1249" s="81" t="str">
        <f>IFERROR(__xludf.DUMMYFUNCTION("""COMPUTED_VALUE"""),"XaviPortales")</f>
        <v>XaviPortales</v>
      </c>
      <c r="D1249" s="75">
        <f>IFERROR(__xludf.DUMMYFUNCTION("""COMPUTED_VALUE"""),0.0)</f>
        <v>0</v>
      </c>
      <c r="E1249" s="64"/>
      <c r="F1249" s="95"/>
      <c r="G1249" s="96"/>
      <c r="H1249" s="64"/>
      <c r="I1249" s="64"/>
      <c r="J1249" s="64"/>
      <c r="K1249" s="64"/>
      <c r="L1249" s="64"/>
    </row>
    <row r="1250" ht="16.5" customHeight="1">
      <c r="A1250" s="64"/>
      <c r="B1250" s="80" t="s">
        <v>18249</v>
      </c>
      <c r="C1250" s="81" t="str">
        <f>IFERROR(__xludf.DUMMYFUNCTION("""COMPUTED_VALUE"""),"YBrexiteer")</f>
        <v>YBrexiteer</v>
      </c>
      <c r="D1250" s="75">
        <f>IFERROR(__xludf.DUMMYFUNCTION("""COMPUTED_VALUE"""),0.0)</f>
        <v>0</v>
      </c>
      <c r="E1250" s="64"/>
      <c r="F1250" s="95"/>
      <c r="G1250" s="96"/>
      <c r="H1250" s="64"/>
      <c r="I1250" s="64"/>
      <c r="J1250" s="64"/>
      <c r="K1250" s="64"/>
      <c r="L1250" s="64"/>
    </row>
    <row r="1251" ht="16.5" customHeight="1">
      <c r="A1251" s="64"/>
      <c r="B1251" s="80" t="s">
        <v>18249</v>
      </c>
      <c r="C1251" s="81" t="str">
        <f>IFERROR(__xludf.DUMMYFUNCTION("""COMPUTED_VALUE"""),"YYvnn")</f>
        <v>YYvnn</v>
      </c>
      <c r="D1251" s="75">
        <f>IFERROR(__xludf.DUMMYFUNCTION("""COMPUTED_VALUE"""),0.0)</f>
        <v>0</v>
      </c>
      <c r="E1251" s="64"/>
      <c r="F1251" s="95"/>
      <c r="G1251" s="96"/>
      <c r="H1251" s="64"/>
      <c r="I1251" s="64"/>
      <c r="J1251" s="64"/>
      <c r="K1251" s="64"/>
      <c r="L1251" s="64"/>
    </row>
    <row r="1252" ht="16.5" customHeight="1">
      <c r="A1252" s="64"/>
      <c r="B1252" s="80" t="s">
        <v>18249</v>
      </c>
      <c r="C1252" s="81" t="str">
        <f>IFERROR(__xludf.DUMMYFUNCTION("""COMPUTED_VALUE"""),"Yasmin22867421")</f>
        <v>Yasmin22867421</v>
      </c>
      <c r="D1252" s="75">
        <f>IFERROR(__xludf.DUMMYFUNCTION("""COMPUTED_VALUE"""),0.0)</f>
        <v>0</v>
      </c>
      <c r="E1252" s="64"/>
      <c r="F1252" s="95"/>
      <c r="G1252" s="96"/>
      <c r="H1252" s="64"/>
      <c r="I1252" s="64"/>
      <c r="J1252" s="64"/>
      <c r="K1252" s="64"/>
      <c r="L1252" s="64"/>
    </row>
    <row r="1253" ht="16.5" customHeight="1">
      <c r="A1253" s="64"/>
      <c r="B1253" s="80" t="s">
        <v>18249</v>
      </c>
      <c r="C1253" s="81" t="str">
        <f>IFERROR(__xludf.DUMMYFUNCTION("""COMPUTED_VALUE"""),"YonkoSenior")</f>
        <v>YonkoSenior</v>
      </c>
      <c r="D1253" s="75">
        <f>IFERROR(__xludf.DUMMYFUNCTION("""COMPUTED_VALUE"""),0.0)</f>
        <v>0</v>
      </c>
      <c r="E1253" s="64"/>
      <c r="F1253" s="95"/>
      <c r="G1253" s="96"/>
      <c r="H1253" s="64"/>
      <c r="I1253" s="64"/>
      <c r="J1253" s="64"/>
      <c r="K1253" s="64"/>
      <c r="L1253" s="64"/>
    </row>
    <row r="1254" ht="16.5" customHeight="1">
      <c r="A1254" s="64"/>
      <c r="B1254" s="80" t="s">
        <v>18249</v>
      </c>
      <c r="C1254" s="81" t="str">
        <f>IFERROR(__xludf.DUMMYFUNCTION("""COMPUTED_VALUE"""),"YusufMoosajee")</f>
        <v>YusufMoosajee</v>
      </c>
      <c r="D1254" s="75">
        <f>IFERROR(__xludf.DUMMYFUNCTION("""COMPUTED_VALUE"""),0.0)</f>
        <v>0</v>
      </c>
      <c r="E1254" s="64"/>
      <c r="F1254" s="95"/>
      <c r="G1254" s="96"/>
      <c r="H1254" s="64"/>
      <c r="I1254" s="64"/>
      <c r="J1254" s="64"/>
      <c r="K1254" s="64"/>
      <c r="L1254" s="64"/>
    </row>
    <row r="1255" ht="16.5" customHeight="1">
      <c r="A1255" s="64"/>
      <c r="B1255" s="80" t="s">
        <v>18249</v>
      </c>
      <c r="C1255" s="81" t="str">
        <f>IFERROR(__xludf.DUMMYFUNCTION("""COMPUTED_VALUE"""),"YvetteHenson")</f>
        <v>YvetteHenson</v>
      </c>
      <c r="D1255" s="75">
        <f>IFERROR(__xludf.DUMMYFUNCTION("""COMPUTED_VALUE"""),0.0)</f>
        <v>0</v>
      </c>
      <c r="E1255" s="64"/>
      <c r="F1255" s="95"/>
      <c r="G1255" s="96"/>
      <c r="H1255" s="64"/>
      <c r="I1255" s="64"/>
      <c r="J1255" s="64"/>
      <c r="K1255" s="64"/>
      <c r="L1255" s="64"/>
    </row>
    <row r="1256" ht="16.5" customHeight="1">
      <c r="A1256" s="64"/>
      <c r="B1256" s="80" t="s">
        <v>18249</v>
      </c>
      <c r="C1256" s="81" t="str">
        <f>IFERROR(__xludf.DUMMYFUNCTION("""COMPUTED_VALUE"""),"Yvonne49788239")</f>
        <v>Yvonne49788239</v>
      </c>
      <c r="D1256" s="75">
        <f>IFERROR(__xludf.DUMMYFUNCTION("""COMPUTED_VALUE"""),0.0)</f>
        <v>0</v>
      </c>
      <c r="E1256" s="64"/>
      <c r="F1256" s="95"/>
      <c r="G1256" s="96"/>
      <c r="H1256" s="64"/>
      <c r="I1256" s="64"/>
      <c r="J1256" s="64"/>
      <c r="K1256" s="64"/>
      <c r="L1256" s="64"/>
    </row>
    <row r="1257" ht="16.5" customHeight="1">
      <c r="A1257" s="64"/>
      <c r="B1257" s="80" t="s">
        <v>18249</v>
      </c>
      <c r="C1257" s="81" t="str">
        <f>IFERROR(__xludf.DUMMYFUNCTION("""COMPUTED_VALUE"""),"YvonnecWhelan")</f>
        <v>YvonnecWhelan</v>
      </c>
      <c r="D1257" s="75">
        <f>IFERROR(__xludf.DUMMYFUNCTION("""COMPUTED_VALUE"""),0.0)</f>
        <v>0</v>
      </c>
      <c r="E1257" s="64"/>
      <c r="F1257" s="95"/>
      <c r="G1257" s="96"/>
      <c r="H1257" s="64"/>
      <c r="I1257" s="64"/>
      <c r="J1257" s="64"/>
      <c r="K1257" s="64"/>
      <c r="L1257" s="64"/>
    </row>
    <row r="1258" ht="16.5" customHeight="1">
      <c r="A1258" s="64"/>
      <c r="B1258" s="80" t="s">
        <v>18249</v>
      </c>
      <c r="C1258" s="81" t="str">
        <f>IFERROR(__xludf.DUMMYFUNCTION("""COMPUTED_VALUE"""),"ZaraFanRav1")</f>
        <v>ZaraFanRav1</v>
      </c>
      <c r="D1258" s="75">
        <f>IFERROR(__xludf.DUMMYFUNCTION("""COMPUTED_VALUE"""),0.0)</f>
        <v>0</v>
      </c>
      <c r="E1258" s="64"/>
      <c r="F1258" s="95"/>
      <c r="G1258" s="96"/>
      <c r="H1258" s="64"/>
      <c r="I1258" s="64"/>
      <c r="J1258" s="64"/>
      <c r="K1258" s="64"/>
      <c r="L1258" s="64"/>
    </row>
    <row r="1259" ht="16.5" customHeight="1">
      <c r="A1259" s="64"/>
      <c r="B1259" s="80" t="s">
        <v>18249</v>
      </c>
      <c r="C1259" s="81" t="str">
        <f>IFERROR(__xludf.DUMMYFUNCTION("""COMPUTED_VALUE"""),"ZebraQueen1969")</f>
        <v>ZebraQueen1969</v>
      </c>
      <c r="D1259" s="75">
        <f>IFERROR(__xludf.DUMMYFUNCTION("""COMPUTED_VALUE"""),0.0)</f>
        <v>0</v>
      </c>
      <c r="E1259" s="64"/>
      <c r="F1259" s="95"/>
      <c r="G1259" s="96"/>
      <c r="H1259" s="64"/>
      <c r="I1259" s="64"/>
      <c r="J1259" s="64"/>
      <c r="K1259" s="64"/>
      <c r="L1259" s="64"/>
    </row>
    <row r="1260" ht="16.5" customHeight="1">
      <c r="A1260" s="64"/>
      <c r="B1260" s="80" t="s">
        <v>18249</v>
      </c>
      <c r="C1260" s="81" t="str">
        <f>IFERROR(__xludf.DUMMYFUNCTION("""COMPUTED_VALUE"""),"Zlitniya")</f>
        <v>Zlitniya</v>
      </c>
      <c r="D1260" s="75">
        <f>IFERROR(__xludf.DUMMYFUNCTION("""COMPUTED_VALUE"""),0.0)</f>
        <v>0</v>
      </c>
      <c r="E1260" s="64"/>
      <c r="F1260" s="95"/>
      <c r="G1260" s="96"/>
      <c r="H1260" s="64"/>
      <c r="I1260" s="64"/>
      <c r="J1260" s="64"/>
      <c r="K1260" s="64"/>
      <c r="L1260" s="64"/>
    </row>
    <row r="1261" ht="16.5" customHeight="1">
      <c r="A1261" s="64"/>
      <c r="B1261" s="80" t="s">
        <v>18249</v>
      </c>
      <c r="C1261" s="81" t="str">
        <f>IFERROR(__xludf.DUMMYFUNCTION("""COMPUTED_VALUE"""),"_AndyHemming")</f>
        <v>_AndyHemming</v>
      </c>
      <c r="D1261" s="75">
        <f>IFERROR(__xludf.DUMMYFUNCTION("""COMPUTED_VALUE"""),0.0)</f>
        <v>0</v>
      </c>
      <c r="E1261" s="64"/>
      <c r="F1261" s="95"/>
      <c r="G1261" s="96"/>
      <c r="H1261" s="64"/>
      <c r="I1261" s="64"/>
      <c r="J1261" s="64"/>
      <c r="K1261" s="64"/>
      <c r="L1261" s="64"/>
    </row>
    <row r="1262" ht="16.5" customHeight="1">
      <c r="A1262" s="64"/>
      <c r="B1262" s="80" t="s">
        <v>18249</v>
      </c>
      <c r="C1262" s="81" t="str">
        <f>IFERROR(__xludf.DUMMYFUNCTION("""COMPUTED_VALUE"""),"_Angry_Engineer")</f>
        <v>_Angry_Engineer</v>
      </c>
      <c r="D1262" s="75">
        <f>IFERROR(__xludf.DUMMYFUNCTION("""COMPUTED_VALUE"""),0.0)</f>
        <v>0</v>
      </c>
      <c r="E1262" s="64"/>
      <c r="F1262" s="95"/>
      <c r="G1262" s="96"/>
      <c r="H1262" s="64"/>
      <c r="I1262" s="64"/>
      <c r="J1262" s="64"/>
      <c r="K1262" s="64"/>
      <c r="L1262" s="64"/>
    </row>
    <row r="1263" ht="16.5" customHeight="1">
      <c r="A1263" s="64"/>
      <c r="B1263" s="80" t="s">
        <v>18249</v>
      </c>
      <c r="C1263" s="81" t="str">
        <f>IFERROR(__xludf.DUMMYFUNCTION("""COMPUTED_VALUE"""),"___angelheart__")</f>
        <v>___angelheart__</v>
      </c>
      <c r="D1263" s="75">
        <f>IFERROR(__xludf.DUMMYFUNCTION("""COMPUTED_VALUE"""),0.0)</f>
        <v>0</v>
      </c>
      <c r="E1263" s="64"/>
      <c r="F1263" s="95"/>
      <c r="G1263" s="96"/>
      <c r="H1263" s="64"/>
      <c r="I1263" s="64"/>
      <c r="J1263" s="64"/>
      <c r="K1263" s="64"/>
      <c r="L1263" s="64"/>
    </row>
    <row r="1264" ht="16.5" customHeight="1">
      <c r="A1264" s="64"/>
      <c r="B1264" s="80" t="s">
        <v>18249</v>
      </c>
      <c r="C1264" s="81" t="str">
        <f>IFERROR(__xludf.DUMMYFUNCTION("""COMPUTED_VALUE"""),"_andrewsmall")</f>
        <v>_andrewsmall</v>
      </c>
      <c r="D1264" s="75">
        <f>IFERROR(__xludf.DUMMYFUNCTION("""COMPUTED_VALUE"""),0.0)</f>
        <v>0</v>
      </c>
      <c r="E1264" s="64"/>
      <c r="F1264" s="95"/>
      <c r="G1264" s="96"/>
      <c r="H1264" s="64"/>
      <c r="I1264" s="64"/>
      <c r="J1264" s="64"/>
      <c r="K1264" s="64"/>
      <c r="L1264" s="64"/>
    </row>
    <row r="1265" ht="16.5" customHeight="1">
      <c r="A1265" s="64"/>
      <c r="B1265" s="80" t="s">
        <v>18249</v>
      </c>
      <c r="C1265" s="81" t="str">
        <f>IFERROR(__xludf.DUMMYFUNCTION("""COMPUTED_VALUE"""),"aSweetEspresso")</f>
        <v>aSweetEspresso</v>
      </c>
      <c r="D1265" s="75">
        <f>IFERROR(__xludf.DUMMYFUNCTION("""COMPUTED_VALUE"""),0.0)</f>
        <v>0</v>
      </c>
      <c r="E1265" s="64"/>
      <c r="F1265" s="95"/>
      <c r="G1265" s="96"/>
      <c r="H1265" s="64"/>
      <c r="I1265" s="64"/>
      <c r="J1265" s="64"/>
      <c r="K1265" s="64"/>
      <c r="L1265" s="64"/>
    </row>
    <row r="1266" ht="16.5" customHeight="1">
      <c r="A1266" s="64"/>
      <c r="B1266" s="80" t="s">
        <v>18249</v>
      </c>
      <c r="C1266" s="81" t="str">
        <f>IFERROR(__xludf.DUMMYFUNCTION("""COMPUTED_VALUE"""),"a__cubed")</f>
        <v>a__cubed</v>
      </c>
      <c r="D1266" s="75">
        <f>IFERROR(__xludf.DUMMYFUNCTION("""COMPUTED_VALUE"""),0.0)</f>
        <v>0</v>
      </c>
      <c r="E1266" s="64"/>
      <c r="F1266" s="95"/>
      <c r="G1266" s="96"/>
      <c r="H1266" s="64"/>
      <c r="I1266" s="64"/>
      <c r="J1266" s="64"/>
      <c r="K1266" s="64"/>
      <c r="L1266" s="64"/>
    </row>
    <row r="1267" ht="16.5" customHeight="1">
      <c r="A1267" s="64"/>
      <c r="B1267" s="80" t="s">
        <v>18249</v>
      </c>
      <c r="C1267" s="81" t="str">
        <f>IFERROR(__xludf.DUMMYFUNCTION("""COMPUTED_VALUE"""),"a_protheroe")</f>
        <v>a_protheroe</v>
      </c>
      <c r="D1267" s="75">
        <f>IFERROR(__xludf.DUMMYFUNCTION("""COMPUTED_VALUE"""),0.0)</f>
        <v>0</v>
      </c>
      <c r="E1267" s="64"/>
      <c r="F1267" s="95"/>
      <c r="G1267" s="96"/>
      <c r="H1267" s="64"/>
      <c r="I1267" s="64"/>
      <c r="J1267" s="64"/>
      <c r="K1267" s="64"/>
      <c r="L1267" s="64"/>
    </row>
    <row r="1268" ht="16.5" customHeight="1">
      <c r="A1268" s="64"/>
      <c r="B1268" s="80" t="s">
        <v>18249</v>
      </c>
      <c r="C1268" s="81" t="str">
        <f>IFERROR(__xludf.DUMMYFUNCTION("""COMPUTED_VALUE"""),"abbyaug")</f>
        <v>abbyaug</v>
      </c>
      <c r="D1268" s="75">
        <f>IFERROR(__xludf.DUMMYFUNCTION("""COMPUTED_VALUE"""),0.0)</f>
        <v>0</v>
      </c>
      <c r="E1268" s="64"/>
      <c r="F1268" s="95"/>
      <c r="G1268" s="96"/>
      <c r="H1268" s="64"/>
      <c r="I1268" s="64"/>
      <c r="J1268" s="64"/>
      <c r="K1268" s="64"/>
      <c r="L1268" s="64"/>
    </row>
    <row r="1269" ht="16.5" customHeight="1">
      <c r="A1269" s="64"/>
      <c r="B1269" s="80" t="s">
        <v>18249</v>
      </c>
      <c r="C1269" s="81" t="str">
        <f>IFERROR(__xludf.DUMMYFUNCTION("""COMPUTED_VALUE"""),"abi1005")</f>
        <v>abi1005</v>
      </c>
      <c r="D1269" s="75">
        <f>IFERROR(__xludf.DUMMYFUNCTION("""COMPUTED_VALUE"""),0.0)</f>
        <v>0</v>
      </c>
      <c r="E1269" s="64"/>
      <c r="F1269" s="95"/>
      <c r="G1269" s="96"/>
      <c r="H1269" s="64"/>
      <c r="I1269" s="64"/>
      <c r="J1269" s="64"/>
      <c r="K1269" s="64"/>
      <c r="L1269" s="64"/>
    </row>
    <row r="1270" ht="16.5" customHeight="1">
      <c r="A1270" s="64"/>
      <c r="B1270" s="80" t="s">
        <v>18249</v>
      </c>
      <c r="C1270" s="81" t="str">
        <f>IFERROR(__xludf.DUMMYFUNCTION("""COMPUTED_VALUE"""),"abigail_energy")</f>
        <v>abigail_energy</v>
      </c>
      <c r="D1270" s="75">
        <f>IFERROR(__xludf.DUMMYFUNCTION("""COMPUTED_VALUE"""),0.0)</f>
        <v>0</v>
      </c>
      <c r="E1270" s="64"/>
      <c r="F1270" s="95"/>
      <c r="G1270" s="96"/>
      <c r="H1270" s="64"/>
      <c r="I1270" s="64"/>
      <c r="J1270" s="64"/>
      <c r="K1270" s="64"/>
      <c r="L1270" s="64"/>
    </row>
    <row r="1271" ht="16.5" customHeight="1">
      <c r="A1271" s="64"/>
      <c r="B1271" s="80" t="s">
        <v>18249</v>
      </c>
      <c r="C1271" s="81" t="str">
        <f>IFERROR(__xludf.DUMMYFUNCTION("""COMPUTED_VALUE"""),"adcp4")</f>
        <v>adcp4</v>
      </c>
      <c r="D1271" s="75">
        <f>IFERROR(__xludf.DUMMYFUNCTION("""COMPUTED_VALUE"""),0.0)</f>
        <v>0</v>
      </c>
      <c r="E1271" s="64"/>
      <c r="F1271" s="95"/>
      <c r="G1271" s="96"/>
      <c r="H1271" s="64"/>
      <c r="I1271" s="64"/>
      <c r="J1271" s="64"/>
      <c r="K1271" s="64"/>
      <c r="L1271" s="64"/>
    </row>
    <row r="1272" ht="16.5" customHeight="1">
      <c r="A1272" s="64"/>
      <c r="B1272" s="80" t="s">
        <v>18249</v>
      </c>
      <c r="C1272" s="81" t="str">
        <f>IFERROR(__xludf.DUMMYFUNCTION("""COMPUTED_VALUE"""),"ade_firth")</f>
        <v>ade_firth</v>
      </c>
      <c r="D1272" s="75">
        <f>IFERROR(__xludf.DUMMYFUNCTION("""COMPUTED_VALUE"""),0.0)</f>
        <v>0</v>
      </c>
      <c r="E1272" s="64"/>
      <c r="F1272" s="95"/>
      <c r="G1272" s="96"/>
      <c r="H1272" s="64"/>
      <c r="I1272" s="64"/>
      <c r="J1272" s="64"/>
      <c r="K1272" s="64"/>
      <c r="L1272" s="64"/>
    </row>
    <row r="1273" ht="16.5" customHeight="1">
      <c r="A1273" s="64"/>
      <c r="B1273" s="80" t="s">
        <v>18249</v>
      </c>
      <c r="C1273" s="81" t="str">
        <f>IFERROR(__xludf.DUMMYFUNCTION("""COMPUTED_VALUE"""),"aev1609")</f>
        <v>aev1609</v>
      </c>
      <c r="D1273" s="75">
        <f>IFERROR(__xludf.DUMMYFUNCTION("""COMPUTED_VALUE"""),0.0)</f>
        <v>0</v>
      </c>
      <c r="E1273" s="64"/>
      <c r="F1273" s="95"/>
      <c r="G1273" s="96"/>
      <c r="H1273" s="64"/>
      <c r="I1273" s="64"/>
      <c r="J1273" s="64"/>
      <c r="K1273" s="64"/>
      <c r="L1273" s="64"/>
    </row>
    <row r="1274" ht="16.5" customHeight="1">
      <c r="A1274" s="64"/>
      <c r="B1274" s="80" t="s">
        <v>18249</v>
      </c>
      <c r="C1274" s="81" t="str">
        <f>IFERROR(__xludf.DUMMYFUNCTION("""COMPUTED_VALUE"""),"afsanalachaux")</f>
        <v>afsanalachaux</v>
      </c>
      <c r="D1274" s="75">
        <f>IFERROR(__xludf.DUMMYFUNCTION("""COMPUTED_VALUE"""),0.0)</f>
        <v>0</v>
      </c>
      <c r="E1274" s="64"/>
      <c r="F1274" s="95"/>
      <c r="G1274" s="96"/>
      <c r="H1274" s="64"/>
      <c r="I1274" s="64"/>
      <c r="J1274" s="64"/>
      <c r="K1274" s="64"/>
      <c r="L1274" s="64"/>
    </row>
    <row r="1275" ht="16.5" customHeight="1">
      <c r="A1275" s="64"/>
      <c r="B1275" s="80" t="s">
        <v>18249</v>
      </c>
      <c r="C1275" s="81" t="str">
        <f>IFERROR(__xludf.DUMMYFUNCTION("""COMPUTED_VALUE"""),"agatha_bobb")</f>
        <v>agatha_bobb</v>
      </c>
      <c r="D1275" s="75">
        <f>IFERROR(__xludf.DUMMYFUNCTION("""COMPUTED_VALUE"""),0.0)</f>
        <v>0</v>
      </c>
      <c r="E1275" s="64"/>
      <c r="F1275" s="95"/>
      <c r="G1275" s="96"/>
      <c r="H1275" s="64"/>
      <c r="I1275" s="64"/>
      <c r="J1275" s="64"/>
      <c r="K1275" s="64"/>
      <c r="L1275" s="64"/>
    </row>
    <row r="1276" ht="16.5" customHeight="1">
      <c r="A1276" s="64"/>
      <c r="B1276" s="80" t="s">
        <v>18249</v>
      </c>
      <c r="C1276" s="81" t="str">
        <f>IFERROR(__xludf.DUMMYFUNCTION("""COMPUTED_VALUE"""),"agnesmurray32")</f>
        <v>agnesmurray32</v>
      </c>
      <c r="D1276" s="75">
        <f>IFERROR(__xludf.DUMMYFUNCTION("""COMPUTED_VALUE"""),0.0)</f>
        <v>0</v>
      </c>
      <c r="E1276" s="64"/>
      <c r="F1276" s="95"/>
      <c r="G1276" s="96"/>
      <c r="H1276" s="64"/>
      <c r="I1276" s="64"/>
      <c r="J1276" s="64"/>
      <c r="K1276" s="64"/>
      <c r="L1276" s="64"/>
    </row>
    <row r="1277" ht="16.5" customHeight="1">
      <c r="A1277" s="64"/>
      <c r="B1277" s="80" t="s">
        <v>18249</v>
      </c>
      <c r="C1277" s="81" t="str">
        <f>IFERROR(__xludf.DUMMYFUNCTION("""COMPUTED_VALUE"""),"ah_issa")</f>
        <v>ah_issa</v>
      </c>
      <c r="D1277" s="75">
        <f>IFERROR(__xludf.DUMMYFUNCTION("""COMPUTED_VALUE"""),0.0)</f>
        <v>0</v>
      </c>
      <c r="E1277" s="64"/>
      <c r="F1277" s="95"/>
      <c r="G1277" s="96"/>
      <c r="H1277" s="64"/>
      <c r="I1277" s="64"/>
      <c r="J1277" s="64"/>
      <c r="K1277" s="64"/>
      <c r="L1277" s="64"/>
    </row>
    <row r="1278" ht="16.5" customHeight="1">
      <c r="A1278" s="64"/>
      <c r="B1278" s="80" t="s">
        <v>18249</v>
      </c>
      <c r="C1278" s="81" t="str">
        <f>IFERROR(__xludf.DUMMYFUNCTION("""COMPUTED_VALUE"""),"ajgreen62")</f>
        <v>ajgreen62</v>
      </c>
      <c r="D1278" s="75">
        <f>IFERROR(__xludf.DUMMYFUNCTION("""COMPUTED_VALUE"""),0.0)</f>
        <v>0</v>
      </c>
      <c r="E1278" s="64"/>
      <c r="F1278" s="95"/>
      <c r="G1278" s="96"/>
      <c r="H1278" s="64"/>
      <c r="I1278" s="64"/>
      <c r="J1278" s="64"/>
      <c r="K1278" s="64"/>
      <c r="L1278" s="64"/>
    </row>
    <row r="1279" ht="16.5" customHeight="1">
      <c r="A1279" s="64"/>
      <c r="B1279" s="80" t="s">
        <v>18249</v>
      </c>
      <c r="C1279" s="81" t="str">
        <f>IFERROR(__xludf.DUMMYFUNCTION("""COMPUTED_VALUE"""),"ajhellyer52")</f>
        <v>ajhellyer52</v>
      </c>
      <c r="D1279" s="75">
        <f>IFERROR(__xludf.DUMMYFUNCTION("""COMPUTED_VALUE"""),0.0)</f>
        <v>0</v>
      </c>
      <c r="E1279" s="64"/>
      <c r="F1279" s="95"/>
      <c r="G1279" s="96"/>
      <c r="H1279" s="64"/>
      <c r="I1279" s="64"/>
      <c r="J1279" s="64"/>
      <c r="K1279" s="64"/>
      <c r="L1279" s="64"/>
    </row>
    <row r="1280" ht="16.5" customHeight="1">
      <c r="A1280" s="64"/>
      <c r="B1280" s="80" t="s">
        <v>18249</v>
      </c>
      <c r="C1280" s="81" t="str">
        <f>IFERROR(__xludf.DUMMYFUNCTION("""COMPUTED_VALUE"""),"alastairdick")</f>
        <v>alastairdick</v>
      </c>
      <c r="D1280" s="75">
        <f>IFERROR(__xludf.DUMMYFUNCTION("""COMPUTED_VALUE"""),0.0)</f>
        <v>0</v>
      </c>
      <c r="E1280" s="64"/>
      <c r="F1280" s="95"/>
      <c r="G1280" s="96"/>
      <c r="H1280" s="64"/>
      <c r="I1280" s="64"/>
      <c r="J1280" s="64"/>
      <c r="K1280" s="64"/>
      <c r="L1280" s="64"/>
    </row>
    <row r="1281" ht="16.5" customHeight="1">
      <c r="A1281" s="64"/>
      <c r="B1281" s="80" t="s">
        <v>18249</v>
      </c>
      <c r="C1281" s="81" t="str">
        <f>IFERROR(__xludf.DUMMYFUNCTION("""COMPUTED_VALUE"""),"alba6363")</f>
        <v>alba6363</v>
      </c>
      <c r="D1281" s="75">
        <f>IFERROR(__xludf.DUMMYFUNCTION("""COMPUTED_VALUE"""),0.0)</f>
        <v>0</v>
      </c>
      <c r="E1281" s="64"/>
      <c r="F1281" s="95"/>
      <c r="G1281" s="96"/>
      <c r="H1281" s="64"/>
      <c r="I1281" s="64"/>
      <c r="J1281" s="64"/>
      <c r="K1281" s="64"/>
      <c r="L1281" s="64"/>
    </row>
    <row r="1282" ht="16.5" customHeight="1">
      <c r="A1282" s="64"/>
      <c r="B1282" s="80" t="s">
        <v>18249</v>
      </c>
      <c r="C1282" s="81" t="str">
        <f>IFERROR(__xludf.DUMMYFUNCTION("""COMPUTED_VALUE"""),"alecsalt")</f>
        <v>alecsalt</v>
      </c>
      <c r="D1282" s="75">
        <f>IFERROR(__xludf.DUMMYFUNCTION("""COMPUTED_VALUE"""),0.0)</f>
        <v>0</v>
      </c>
      <c r="E1282" s="64"/>
      <c r="F1282" s="95"/>
      <c r="G1282" s="96"/>
      <c r="H1282" s="64"/>
      <c r="I1282" s="64"/>
      <c r="J1282" s="64"/>
      <c r="K1282" s="64"/>
      <c r="L1282" s="64"/>
    </row>
    <row r="1283" ht="16.5" customHeight="1">
      <c r="A1283" s="64"/>
      <c r="B1283" s="80" t="s">
        <v>18249</v>
      </c>
      <c r="C1283" s="81" t="str">
        <f>IFERROR(__xludf.DUMMYFUNCTION("""COMPUTED_VALUE"""),"alex_kovaleski")</f>
        <v>alex_kovaleski</v>
      </c>
      <c r="D1283" s="75">
        <f>IFERROR(__xludf.DUMMYFUNCTION("""COMPUTED_VALUE"""),0.0)</f>
        <v>0</v>
      </c>
      <c r="E1283" s="64"/>
      <c r="F1283" s="95"/>
      <c r="G1283" s="96"/>
      <c r="H1283" s="64"/>
      <c r="I1283" s="64"/>
      <c r="J1283" s="64"/>
      <c r="K1283" s="64"/>
      <c r="L1283" s="64"/>
    </row>
    <row r="1284" ht="16.5" customHeight="1">
      <c r="A1284" s="64"/>
      <c r="B1284" s="80" t="s">
        <v>18249</v>
      </c>
      <c r="C1284" s="81" t="str">
        <f>IFERROR(__xludf.DUMMYFUNCTION("""COMPUTED_VALUE"""),"alexbellars")</f>
        <v>alexbellars</v>
      </c>
      <c r="D1284" s="75">
        <f>IFERROR(__xludf.DUMMYFUNCTION("""COMPUTED_VALUE"""),0.0)</f>
        <v>0</v>
      </c>
      <c r="E1284" s="64"/>
      <c r="F1284" s="95"/>
      <c r="G1284" s="96"/>
      <c r="H1284" s="64"/>
      <c r="I1284" s="64"/>
      <c r="J1284" s="64"/>
      <c r="K1284" s="64"/>
      <c r="L1284" s="64"/>
    </row>
    <row r="1285" ht="16.5" customHeight="1">
      <c r="A1285" s="64"/>
      <c r="B1285" s="80" t="s">
        <v>18249</v>
      </c>
      <c r="C1285" s="81" t="str">
        <f>IFERROR(__xludf.DUMMYFUNCTION("""COMPUTED_VALUE"""),"alexcburrows")</f>
        <v>alexcburrows</v>
      </c>
      <c r="D1285" s="75">
        <f>IFERROR(__xludf.DUMMYFUNCTION("""COMPUTED_VALUE"""),0.0)</f>
        <v>0</v>
      </c>
      <c r="E1285" s="64"/>
      <c r="F1285" s="95"/>
      <c r="G1285" s="96"/>
      <c r="H1285" s="64"/>
      <c r="I1285" s="64"/>
      <c r="J1285" s="64"/>
      <c r="K1285" s="64"/>
      <c r="L1285" s="64"/>
    </row>
    <row r="1286" ht="16.5" customHeight="1">
      <c r="A1286" s="64"/>
      <c r="B1286" s="80" t="s">
        <v>18249</v>
      </c>
      <c r="C1286" s="81" t="str">
        <f>IFERROR(__xludf.DUMMYFUNCTION("""COMPUTED_VALUE"""),"alextonemusic")</f>
        <v>alextonemusic</v>
      </c>
      <c r="D1286" s="75">
        <f>IFERROR(__xludf.DUMMYFUNCTION("""COMPUTED_VALUE"""),0.0)</f>
        <v>0</v>
      </c>
      <c r="E1286" s="64"/>
      <c r="F1286" s="95"/>
      <c r="G1286" s="96"/>
      <c r="H1286" s="64"/>
      <c r="I1286" s="64"/>
      <c r="J1286" s="64"/>
      <c r="K1286" s="64"/>
      <c r="L1286" s="64"/>
    </row>
    <row r="1287" ht="16.5" customHeight="1">
      <c r="A1287" s="64"/>
      <c r="B1287" s="80" t="s">
        <v>18249</v>
      </c>
      <c r="C1287" s="81" t="str">
        <f>IFERROR(__xludf.DUMMYFUNCTION("""COMPUTED_VALUE"""),"alison_born")</f>
        <v>alison_born</v>
      </c>
      <c r="D1287" s="75">
        <f>IFERROR(__xludf.DUMMYFUNCTION("""COMPUTED_VALUE"""),0.0)</f>
        <v>0</v>
      </c>
      <c r="E1287" s="64"/>
      <c r="F1287" s="95"/>
      <c r="G1287" s="96"/>
      <c r="H1287" s="64"/>
      <c r="I1287" s="64"/>
      <c r="J1287" s="64"/>
      <c r="K1287" s="64"/>
      <c r="L1287" s="64"/>
    </row>
    <row r="1288" ht="16.5" customHeight="1">
      <c r="A1288" s="64"/>
      <c r="B1288" s="80" t="s">
        <v>18249</v>
      </c>
      <c r="C1288" s="81" t="str">
        <f>IFERROR(__xludf.DUMMYFUNCTION("""COMPUTED_VALUE"""),"alisonrphillips")</f>
        <v>alisonrphillips</v>
      </c>
      <c r="D1288" s="75">
        <f>IFERROR(__xludf.DUMMYFUNCTION("""COMPUTED_VALUE"""),0.0)</f>
        <v>0</v>
      </c>
      <c r="E1288" s="64"/>
      <c r="F1288" s="95"/>
      <c r="G1288" s="96"/>
      <c r="H1288" s="64"/>
      <c r="I1288" s="64"/>
      <c r="J1288" s="64"/>
      <c r="K1288" s="64"/>
      <c r="L1288" s="64"/>
    </row>
    <row r="1289" ht="16.5" customHeight="1">
      <c r="A1289" s="64"/>
      <c r="B1289" s="80" t="s">
        <v>18249</v>
      </c>
      <c r="C1289" s="81" t="str">
        <f>IFERROR(__xludf.DUMMYFUNCTION("""COMPUTED_VALUE"""),"allanukscotland")</f>
        <v>allanukscotland</v>
      </c>
      <c r="D1289" s="75">
        <f>IFERROR(__xludf.DUMMYFUNCTION("""COMPUTED_VALUE"""),0.0)</f>
        <v>0</v>
      </c>
      <c r="E1289" s="64"/>
      <c r="F1289" s="95"/>
      <c r="G1289" s="96"/>
      <c r="H1289" s="64"/>
      <c r="I1289" s="64"/>
      <c r="J1289" s="64"/>
      <c r="K1289" s="64"/>
      <c r="L1289" s="64"/>
    </row>
    <row r="1290" ht="16.5" customHeight="1">
      <c r="A1290" s="64"/>
      <c r="B1290" s="80" t="s">
        <v>18249</v>
      </c>
      <c r="C1290" s="81" t="str">
        <f>IFERROR(__xludf.DUMMYFUNCTION("""COMPUTED_VALUE"""),"allanwales2")</f>
        <v>allanwales2</v>
      </c>
      <c r="D1290" s="75">
        <f>IFERROR(__xludf.DUMMYFUNCTION("""COMPUTED_VALUE"""),0.0)</f>
        <v>0</v>
      </c>
      <c r="E1290" s="64"/>
      <c r="F1290" s="95"/>
      <c r="G1290" s="96"/>
      <c r="H1290" s="64"/>
      <c r="I1290" s="64"/>
      <c r="J1290" s="64"/>
      <c r="K1290" s="64"/>
      <c r="L1290" s="64"/>
    </row>
    <row r="1291" ht="16.5" customHeight="1">
      <c r="A1291" s="64"/>
      <c r="B1291" s="80" t="s">
        <v>18249</v>
      </c>
      <c r="C1291" s="81" t="str">
        <f>IFERROR(__xludf.DUMMYFUNCTION("""COMPUTED_VALUE"""),"allbonjeff16")</f>
        <v>allbonjeff16</v>
      </c>
      <c r="D1291" s="75">
        <f>IFERROR(__xludf.DUMMYFUNCTION("""COMPUTED_VALUE"""),0.0)</f>
        <v>0</v>
      </c>
      <c r="E1291" s="64"/>
      <c r="F1291" s="95"/>
      <c r="G1291" s="96"/>
      <c r="H1291" s="64"/>
      <c r="I1291" s="64"/>
      <c r="J1291" s="64"/>
      <c r="K1291" s="64"/>
      <c r="L1291" s="64"/>
    </row>
    <row r="1292" ht="16.5" customHeight="1">
      <c r="A1292" s="64"/>
      <c r="B1292" s="80" t="s">
        <v>18249</v>
      </c>
      <c r="C1292" s="81" t="str">
        <f>IFERROR(__xludf.DUMMYFUNCTION("""COMPUTED_VALUE"""),"alliebabe57")</f>
        <v>alliebabe57</v>
      </c>
      <c r="D1292" s="75">
        <f>IFERROR(__xludf.DUMMYFUNCTION("""COMPUTED_VALUE"""),0.0)</f>
        <v>0</v>
      </c>
      <c r="E1292" s="64"/>
      <c r="F1292" s="95"/>
      <c r="G1292" s="96"/>
      <c r="H1292" s="64"/>
      <c r="I1292" s="64"/>
      <c r="J1292" s="64"/>
      <c r="K1292" s="64"/>
      <c r="L1292" s="64"/>
    </row>
    <row r="1293" ht="16.5" customHeight="1">
      <c r="A1293" s="64"/>
      <c r="B1293" s="80" t="s">
        <v>18249</v>
      </c>
      <c r="C1293" s="81" t="str">
        <f>IFERROR(__xludf.DUMMYFUNCTION("""COMPUTED_VALUE"""),"alpamea79")</f>
        <v>alpamea79</v>
      </c>
      <c r="D1293" s="75">
        <f>IFERROR(__xludf.DUMMYFUNCTION("""COMPUTED_VALUE"""),0.0)</f>
        <v>0</v>
      </c>
      <c r="E1293" s="64"/>
      <c r="F1293" s="95"/>
      <c r="G1293" s="96"/>
      <c r="H1293" s="64"/>
      <c r="I1293" s="64"/>
      <c r="J1293" s="64"/>
      <c r="K1293" s="64"/>
      <c r="L1293" s="64"/>
    </row>
    <row r="1294" ht="16.5" customHeight="1">
      <c r="A1294" s="64"/>
      <c r="B1294" s="80" t="s">
        <v>18249</v>
      </c>
      <c r="C1294" s="81" t="str">
        <f>IFERROR(__xludf.DUMMYFUNCTION("""COMPUTED_VALUE"""),"alphatucana")</f>
        <v>alphatucana</v>
      </c>
      <c r="D1294" s="75">
        <f>IFERROR(__xludf.DUMMYFUNCTION("""COMPUTED_VALUE"""),0.0)</f>
        <v>0</v>
      </c>
      <c r="E1294" s="64"/>
      <c r="F1294" s="95"/>
      <c r="G1294" s="96"/>
      <c r="H1294" s="64"/>
      <c r="I1294" s="64"/>
      <c r="J1294" s="64"/>
      <c r="K1294" s="64"/>
      <c r="L1294" s="64"/>
    </row>
    <row r="1295" ht="16.5" customHeight="1">
      <c r="A1295" s="64"/>
      <c r="B1295" s="80" t="s">
        <v>18249</v>
      </c>
      <c r="C1295" s="81" t="str">
        <f>IFERROR(__xludf.DUMMYFUNCTION("""COMPUTED_VALUE"""),"amandajs11")</f>
        <v>amandajs11</v>
      </c>
      <c r="D1295" s="75">
        <f>IFERROR(__xludf.DUMMYFUNCTION("""COMPUTED_VALUE"""),0.0)</f>
        <v>0</v>
      </c>
      <c r="E1295" s="64"/>
      <c r="F1295" s="95"/>
      <c r="G1295" s="96"/>
      <c r="H1295" s="64"/>
      <c r="I1295" s="64"/>
      <c r="J1295" s="64"/>
      <c r="K1295" s="64"/>
      <c r="L1295" s="64"/>
    </row>
    <row r="1296" ht="16.5" customHeight="1">
      <c r="A1296" s="64"/>
      <c r="B1296" s="80" t="s">
        <v>18249</v>
      </c>
      <c r="C1296" s="81" t="str">
        <f>IFERROR(__xludf.DUMMYFUNCTION("""COMPUTED_VALUE"""),"ammacj")</f>
        <v>ammacj</v>
      </c>
      <c r="D1296" s="75">
        <f>IFERROR(__xludf.DUMMYFUNCTION("""COMPUTED_VALUE"""),0.0)</f>
        <v>0</v>
      </c>
      <c r="E1296" s="64"/>
      <c r="F1296" s="95"/>
      <c r="G1296" s="96"/>
      <c r="H1296" s="64"/>
      <c r="I1296" s="64"/>
      <c r="J1296" s="64"/>
      <c r="K1296" s="64"/>
      <c r="L1296" s="64"/>
    </row>
    <row r="1297" ht="16.5" customHeight="1">
      <c r="A1297" s="64"/>
      <c r="B1297" s="80" t="s">
        <v>18249</v>
      </c>
      <c r="C1297" s="81" t="str">
        <f>IFERROR(__xludf.DUMMYFUNCTION("""COMPUTED_VALUE"""),"andrewducker")</f>
        <v>andrewducker</v>
      </c>
      <c r="D1297" s="75">
        <f>IFERROR(__xludf.DUMMYFUNCTION("""COMPUTED_VALUE"""),0.0)</f>
        <v>0</v>
      </c>
      <c r="E1297" s="64"/>
      <c r="F1297" s="95"/>
      <c r="G1297" s="96"/>
      <c r="H1297" s="64"/>
      <c r="I1297" s="64"/>
      <c r="J1297" s="64"/>
      <c r="K1297" s="64"/>
      <c r="L1297" s="64"/>
    </row>
    <row r="1298" ht="16.5" customHeight="1">
      <c r="A1298" s="64"/>
      <c r="B1298" s="80" t="s">
        <v>18249</v>
      </c>
      <c r="C1298" s="81" t="str">
        <f>IFERROR(__xludf.DUMMYFUNCTION("""COMPUTED_VALUE"""),"andrisiggporson")</f>
        <v>andrisiggporson</v>
      </c>
      <c r="D1298" s="75">
        <f>IFERROR(__xludf.DUMMYFUNCTION("""COMPUTED_VALUE"""),0.0)</f>
        <v>0</v>
      </c>
      <c r="E1298" s="64"/>
      <c r="F1298" s="95"/>
      <c r="G1298" s="96"/>
      <c r="H1298" s="64"/>
      <c r="I1298" s="64"/>
      <c r="J1298" s="64"/>
      <c r="K1298" s="64"/>
      <c r="L1298" s="64"/>
    </row>
    <row r="1299" ht="16.5" customHeight="1">
      <c r="A1299" s="64"/>
      <c r="B1299" s="80" t="s">
        <v>18249</v>
      </c>
      <c r="C1299" s="81" t="str">
        <f>IFERROR(__xludf.DUMMYFUNCTION("""COMPUTED_VALUE"""),"andshoal")</f>
        <v>andshoal</v>
      </c>
      <c r="D1299" s="75">
        <f>IFERROR(__xludf.DUMMYFUNCTION("""COMPUTED_VALUE"""),0.0)</f>
        <v>0</v>
      </c>
      <c r="E1299" s="64"/>
      <c r="F1299" s="95"/>
      <c r="G1299" s="96"/>
      <c r="H1299" s="64"/>
      <c r="I1299" s="64"/>
      <c r="J1299" s="64"/>
      <c r="K1299" s="64"/>
      <c r="L1299" s="64"/>
    </row>
    <row r="1300" ht="16.5" customHeight="1">
      <c r="A1300" s="64"/>
      <c r="B1300" s="80" t="s">
        <v>18249</v>
      </c>
      <c r="C1300" s="81" t="str">
        <f>IFERROR(__xludf.DUMMYFUNCTION("""COMPUTED_VALUE"""),"andy9962")</f>
        <v>andy9962</v>
      </c>
      <c r="D1300" s="75">
        <f>IFERROR(__xludf.DUMMYFUNCTION("""COMPUTED_VALUE"""),0.0)</f>
        <v>0</v>
      </c>
      <c r="E1300" s="64"/>
      <c r="F1300" s="95"/>
      <c r="G1300" s="96"/>
      <c r="H1300" s="64"/>
      <c r="I1300" s="64"/>
      <c r="J1300" s="64"/>
      <c r="K1300" s="64"/>
      <c r="L1300" s="64"/>
    </row>
    <row r="1301" ht="16.5" customHeight="1">
      <c r="A1301" s="64"/>
      <c r="B1301" s="80" t="s">
        <v>18249</v>
      </c>
      <c r="C1301" s="81" t="str">
        <f>IFERROR(__xludf.DUMMYFUNCTION("""COMPUTED_VALUE"""),"andybwhittle")</f>
        <v>andybwhittle</v>
      </c>
      <c r="D1301" s="75">
        <f>IFERROR(__xludf.DUMMYFUNCTION("""COMPUTED_VALUE"""),0.0)</f>
        <v>0</v>
      </c>
      <c r="E1301" s="64"/>
      <c r="F1301" s="95"/>
      <c r="G1301" s="96"/>
      <c r="H1301" s="64"/>
      <c r="I1301" s="64"/>
      <c r="J1301" s="64"/>
      <c r="K1301" s="64"/>
      <c r="L1301" s="64"/>
    </row>
    <row r="1302" ht="16.5" customHeight="1">
      <c r="A1302" s="64"/>
      <c r="B1302" s="80" t="s">
        <v>18249</v>
      </c>
      <c r="C1302" s="81" t="str">
        <f>IFERROR(__xludf.DUMMYFUNCTION("""COMPUTED_VALUE"""),"andycymro")</f>
        <v>andycymro</v>
      </c>
      <c r="D1302" s="75">
        <f>IFERROR(__xludf.DUMMYFUNCTION("""COMPUTED_VALUE"""),0.0)</f>
        <v>0</v>
      </c>
      <c r="E1302" s="64"/>
      <c r="F1302" s="95"/>
      <c r="G1302" s="96"/>
      <c r="H1302" s="64"/>
      <c r="I1302" s="64"/>
      <c r="J1302" s="64"/>
      <c r="K1302" s="64"/>
      <c r="L1302" s="64"/>
    </row>
    <row r="1303" ht="16.5" customHeight="1">
      <c r="A1303" s="64"/>
      <c r="B1303" s="80" t="s">
        <v>18249</v>
      </c>
      <c r="C1303" s="81" t="str">
        <f>IFERROR(__xludf.DUMMYFUNCTION("""COMPUTED_VALUE"""),"andypic")</f>
        <v>andypic</v>
      </c>
      <c r="D1303" s="75">
        <f>IFERROR(__xludf.DUMMYFUNCTION("""COMPUTED_VALUE"""),0.0)</f>
        <v>0</v>
      </c>
      <c r="E1303" s="64"/>
      <c r="F1303" s="95"/>
      <c r="G1303" s="96"/>
      <c r="H1303" s="64"/>
      <c r="I1303" s="64"/>
      <c r="J1303" s="64"/>
      <c r="K1303" s="64"/>
      <c r="L1303" s="64"/>
    </row>
    <row r="1304" ht="16.5" customHeight="1">
      <c r="A1304" s="64"/>
      <c r="B1304" s="80" t="s">
        <v>18249</v>
      </c>
      <c r="C1304" s="81" t="str">
        <f>IFERROR(__xludf.DUMMYFUNCTION("""COMPUTED_VALUE"""),"andysloane5")</f>
        <v>andysloane5</v>
      </c>
      <c r="D1304" s="75">
        <f>IFERROR(__xludf.DUMMYFUNCTION("""COMPUTED_VALUE"""),0.0)</f>
        <v>0</v>
      </c>
      <c r="E1304" s="64"/>
      <c r="F1304" s="95"/>
      <c r="G1304" s="96"/>
      <c r="H1304" s="64"/>
      <c r="I1304" s="64"/>
      <c r="J1304" s="64"/>
      <c r="K1304" s="64"/>
      <c r="L1304" s="64"/>
    </row>
    <row r="1305" ht="16.5" customHeight="1">
      <c r="A1305" s="64"/>
      <c r="B1305" s="80" t="s">
        <v>18249</v>
      </c>
      <c r="C1305" s="81" t="str">
        <f>IFERROR(__xludf.DUMMYFUNCTION("""COMPUTED_VALUE"""),"angela28279009")</f>
        <v>angela28279009</v>
      </c>
      <c r="D1305" s="75">
        <f>IFERROR(__xludf.DUMMYFUNCTION("""COMPUTED_VALUE"""),0.0)</f>
        <v>0</v>
      </c>
      <c r="E1305" s="64"/>
      <c r="F1305" s="95"/>
      <c r="G1305" s="96"/>
      <c r="H1305" s="64"/>
      <c r="I1305" s="64"/>
      <c r="J1305" s="64"/>
      <c r="K1305" s="64"/>
      <c r="L1305" s="64"/>
    </row>
    <row r="1306" ht="16.5" customHeight="1">
      <c r="A1306" s="64"/>
      <c r="B1306" s="80" t="s">
        <v>18249</v>
      </c>
      <c r="C1306" s="81" t="str">
        <f>IFERROR(__xludf.DUMMYFUNCTION("""COMPUTED_VALUE"""),"angela44610707")</f>
        <v>angela44610707</v>
      </c>
      <c r="D1306" s="75">
        <f>IFERROR(__xludf.DUMMYFUNCTION("""COMPUTED_VALUE"""),0.0)</f>
        <v>0</v>
      </c>
      <c r="E1306" s="64"/>
      <c r="F1306" s="95"/>
      <c r="G1306" s="96"/>
      <c r="H1306" s="64"/>
      <c r="I1306" s="64"/>
      <c r="J1306" s="64"/>
      <c r="K1306" s="64"/>
      <c r="L1306" s="64"/>
    </row>
    <row r="1307" ht="16.5" customHeight="1">
      <c r="A1307" s="64"/>
      <c r="B1307" s="80" t="s">
        <v>18249</v>
      </c>
      <c r="C1307" s="81" t="str">
        <f>IFERROR(__xludf.DUMMYFUNCTION("""COMPUTED_VALUE"""),"angela_pardoe")</f>
        <v>angela_pardoe</v>
      </c>
      <c r="D1307" s="75">
        <f>IFERROR(__xludf.DUMMYFUNCTION("""COMPUTED_VALUE"""),0.0)</f>
        <v>0</v>
      </c>
      <c r="E1307" s="64"/>
      <c r="F1307" s="95"/>
      <c r="G1307" s="96"/>
      <c r="H1307" s="64"/>
      <c r="I1307" s="64"/>
      <c r="J1307" s="64"/>
      <c r="K1307" s="64"/>
      <c r="L1307" s="64"/>
    </row>
    <row r="1308" ht="16.5" customHeight="1">
      <c r="A1308" s="64"/>
      <c r="B1308" s="80" t="s">
        <v>18249</v>
      </c>
      <c r="C1308" s="81" t="str">
        <f>IFERROR(__xludf.DUMMYFUNCTION("""COMPUTED_VALUE"""),"angelah47098965")</f>
        <v>angelah47098965</v>
      </c>
      <c r="D1308" s="75">
        <f>IFERROR(__xludf.DUMMYFUNCTION("""COMPUTED_VALUE"""),0.0)</f>
        <v>0</v>
      </c>
      <c r="E1308" s="64"/>
      <c r="F1308" s="95"/>
      <c r="G1308" s="96"/>
      <c r="H1308" s="64"/>
      <c r="I1308" s="64"/>
      <c r="J1308" s="64"/>
      <c r="K1308" s="64"/>
      <c r="L1308" s="64"/>
    </row>
    <row r="1309" ht="16.5" customHeight="1">
      <c r="A1309" s="64"/>
      <c r="B1309" s="80" t="s">
        <v>18249</v>
      </c>
      <c r="C1309" s="81" t="str">
        <f>IFERROR(__xludf.DUMMYFUNCTION("""COMPUTED_VALUE"""),"angryEuphemist")</f>
        <v>angryEuphemist</v>
      </c>
      <c r="D1309" s="75">
        <f>IFERROR(__xludf.DUMMYFUNCTION("""COMPUTED_VALUE"""),0.0)</f>
        <v>0</v>
      </c>
      <c r="E1309" s="64"/>
      <c r="F1309" s="95"/>
      <c r="G1309" s="96"/>
      <c r="H1309" s="64"/>
      <c r="I1309" s="64"/>
      <c r="J1309" s="64"/>
      <c r="K1309" s="64"/>
      <c r="L1309" s="64"/>
    </row>
    <row r="1310" ht="16.5" customHeight="1">
      <c r="A1310" s="64"/>
      <c r="B1310" s="80" t="s">
        <v>18249</v>
      </c>
      <c r="C1310" s="81" t="str">
        <f>IFERROR(__xludf.DUMMYFUNCTION("""COMPUTED_VALUE"""),"annacandr")</f>
        <v>annacandr</v>
      </c>
      <c r="D1310" s="75">
        <f>IFERROR(__xludf.DUMMYFUNCTION("""COMPUTED_VALUE"""),0.0)</f>
        <v>0</v>
      </c>
      <c r="E1310" s="64"/>
      <c r="F1310" s="95"/>
      <c r="G1310" s="96"/>
      <c r="H1310" s="64"/>
      <c r="I1310" s="64"/>
      <c r="J1310" s="64"/>
      <c r="K1310" s="64"/>
      <c r="L1310" s="64"/>
    </row>
    <row r="1311" ht="16.5" customHeight="1">
      <c r="A1311" s="64"/>
      <c r="B1311" s="80" t="s">
        <v>18249</v>
      </c>
      <c r="C1311" s="81" t="str">
        <f>IFERROR(__xludf.DUMMYFUNCTION("""COMPUTED_VALUE"""),"annadevine66")</f>
        <v>annadevine66</v>
      </c>
      <c r="D1311" s="75">
        <f>IFERROR(__xludf.DUMMYFUNCTION("""COMPUTED_VALUE"""),0.0)</f>
        <v>0</v>
      </c>
      <c r="E1311" s="64"/>
      <c r="F1311" s="95"/>
      <c r="G1311" s="96"/>
      <c r="H1311" s="64"/>
      <c r="I1311" s="64"/>
      <c r="J1311" s="64"/>
      <c r="K1311" s="64"/>
      <c r="L1311" s="64"/>
    </row>
    <row r="1312" ht="16.5" customHeight="1">
      <c r="A1312" s="64"/>
      <c r="B1312" s="80" t="s">
        <v>18249</v>
      </c>
      <c r="C1312" s="81" t="str">
        <f>IFERROR(__xludf.DUMMYFUNCTION("""COMPUTED_VALUE"""),"annehadet1")</f>
        <v>annehadet1</v>
      </c>
      <c r="D1312" s="75">
        <f>IFERROR(__xludf.DUMMYFUNCTION("""COMPUTED_VALUE"""),0.0)</f>
        <v>0</v>
      </c>
      <c r="E1312" s="64"/>
      <c r="F1312" s="95"/>
      <c r="G1312" s="96"/>
      <c r="H1312" s="64"/>
      <c r="I1312" s="64"/>
      <c r="J1312" s="64"/>
      <c r="K1312" s="64"/>
      <c r="L1312" s="64"/>
    </row>
    <row r="1313" ht="16.5" customHeight="1">
      <c r="A1313" s="64"/>
      <c r="B1313" s="80" t="s">
        <v>18249</v>
      </c>
      <c r="C1313" s="81" t="str">
        <f>IFERROR(__xludf.DUMMYFUNCTION("""COMPUTED_VALUE"""),"annyarej")</f>
        <v>annyarej</v>
      </c>
      <c r="D1313" s="75">
        <f>IFERROR(__xludf.DUMMYFUNCTION("""COMPUTED_VALUE"""),0.0)</f>
        <v>0</v>
      </c>
      <c r="E1313" s="64"/>
      <c r="F1313" s="95"/>
      <c r="G1313" s="96"/>
      <c r="H1313" s="64"/>
      <c r="I1313" s="64"/>
      <c r="J1313" s="64"/>
      <c r="K1313" s="64"/>
      <c r="L1313" s="64"/>
    </row>
    <row r="1314" ht="16.5" customHeight="1">
      <c r="A1314" s="64"/>
      <c r="B1314" s="80" t="s">
        <v>18249</v>
      </c>
      <c r="C1314" s="81" t="str">
        <f>IFERROR(__xludf.DUMMYFUNCTION("""COMPUTED_VALUE"""),"anonHaak")</f>
        <v>anonHaak</v>
      </c>
      <c r="D1314" s="75">
        <f>IFERROR(__xludf.DUMMYFUNCTION("""COMPUTED_VALUE"""),0.0)</f>
        <v>0</v>
      </c>
      <c r="E1314" s="64"/>
      <c r="F1314" s="95"/>
      <c r="G1314" s="96"/>
      <c r="H1314" s="64"/>
      <c r="I1314" s="64"/>
      <c r="J1314" s="64"/>
      <c r="K1314" s="64"/>
      <c r="L1314" s="64"/>
    </row>
    <row r="1315" ht="16.5" customHeight="1">
      <c r="A1315" s="64"/>
      <c r="B1315" s="80" t="s">
        <v>18249</v>
      </c>
      <c r="C1315" s="81" t="str">
        <f>IFERROR(__xludf.DUMMYFUNCTION("""COMPUTED_VALUE"""),"anparry")</f>
        <v>anparry</v>
      </c>
      <c r="D1315" s="75">
        <f>IFERROR(__xludf.DUMMYFUNCTION("""COMPUTED_VALUE"""),0.0)</f>
        <v>0</v>
      </c>
      <c r="E1315" s="64"/>
      <c r="F1315" s="95"/>
      <c r="G1315" s="96"/>
      <c r="H1315" s="64"/>
      <c r="I1315" s="64"/>
      <c r="J1315" s="64"/>
      <c r="K1315" s="64"/>
      <c r="L1315" s="64"/>
    </row>
    <row r="1316" ht="16.5" customHeight="1">
      <c r="A1316" s="64"/>
      <c r="B1316" s="80" t="s">
        <v>18249</v>
      </c>
      <c r="C1316" s="81" t="str">
        <f>IFERROR(__xludf.DUMMYFUNCTION("""COMPUTED_VALUE"""),"antisyzygy")</f>
        <v>antisyzygy</v>
      </c>
      <c r="D1316" s="75">
        <f>IFERROR(__xludf.DUMMYFUNCTION("""COMPUTED_VALUE"""),0.0)</f>
        <v>0</v>
      </c>
      <c r="E1316" s="64"/>
      <c r="F1316" s="95"/>
      <c r="G1316" s="96"/>
      <c r="H1316" s="64"/>
      <c r="I1316" s="64"/>
      <c r="J1316" s="64"/>
      <c r="K1316" s="64"/>
      <c r="L1316" s="64"/>
    </row>
    <row r="1317" ht="16.5" customHeight="1">
      <c r="A1317" s="64"/>
      <c r="B1317" s="80" t="s">
        <v>18249</v>
      </c>
      <c r="C1317" s="81" t="str">
        <f>IFERROR(__xludf.DUMMYFUNCTION("""COMPUTED_VALUE"""),"antrim_coaster")</f>
        <v>antrim_coaster</v>
      </c>
      <c r="D1317" s="75">
        <f>IFERROR(__xludf.DUMMYFUNCTION("""COMPUTED_VALUE"""),0.0)</f>
        <v>0</v>
      </c>
      <c r="E1317" s="64"/>
      <c r="F1317" s="95"/>
      <c r="G1317" s="96"/>
      <c r="H1317" s="64"/>
      <c r="I1317" s="64"/>
      <c r="J1317" s="64"/>
      <c r="K1317" s="64"/>
      <c r="L1317" s="64"/>
    </row>
    <row r="1318" ht="16.5" customHeight="1">
      <c r="A1318" s="64"/>
      <c r="B1318" s="80" t="s">
        <v>18249</v>
      </c>
      <c r="C1318" s="81" t="str">
        <f>IFERROR(__xludf.DUMMYFUNCTION("""COMPUTED_VALUE"""),"aopearl")</f>
        <v>aopearl</v>
      </c>
      <c r="D1318" s="75">
        <f>IFERROR(__xludf.DUMMYFUNCTION("""COMPUTED_VALUE"""),0.0)</f>
        <v>0</v>
      </c>
      <c r="E1318" s="64"/>
      <c r="F1318" s="95"/>
      <c r="G1318" s="96"/>
      <c r="H1318" s="64"/>
      <c r="I1318" s="64"/>
      <c r="J1318" s="64"/>
      <c r="K1318" s="64"/>
      <c r="L1318" s="64"/>
    </row>
    <row r="1319" ht="16.5" customHeight="1">
      <c r="A1319" s="64"/>
      <c r="B1319" s="80" t="s">
        <v>18249</v>
      </c>
      <c r="C1319" s="81" t="str">
        <f>IFERROR(__xludf.DUMMYFUNCTION("""COMPUTED_VALUE"""),"apaulding")</f>
        <v>apaulding</v>
      </c>
      <c r="D1319" s="75">
        <f>IFERROR(__xludf.DUMMYFUNCTION("""COMPUTED_VALUE"""),0.0)</f>
        <v>0</v>
      </c>
      <c r="E1319" s="64"/>
      <c r="F1319" s="95"/>
      <c r="G1319" s="96"/>
      <c r="H1319" s="64"/>
      <c r="I1319" s="64"/>
      <c r="J1319" s="64"/>
      <c r="K1319" s="64"/>
      <c r="L1319" s="64"/>
    </row>
    <row r="1320" ht="16.5" customHeight="1">
      <c r="A1320" s="64"/>
      <c r="B1320" s="80" t="s">
        <v>18249</v>
      </c>
      <c r="C1320" s="81" t="str">
        <f>IFERROR(__xludf.DUMMYFUNCTION("""COMPUTED_VALUE"""),"apcousins")</f>
        <v>apcousins</v>
      </c>
      <c r="D1320" s="75">
        <f>IFERROR(__xludf.DUMMYFUNCTION("""COMPUTED_VALUE"""),0.0)</f>
        <v>0</v>
      </c>
      <c r="E1320" s="64"/>
      <c r="F1320" s="95"/>
      <c r="G1320" s="96"/>
      <c r="H1320" s="64"/>
      <c r="I1320" s="64"/>
      <c r="J1320" s="64"/>
      <c r="K1320" s="64"/>
      <c r="L1320" s="64"/>
    </row>
    <row r="1321" ht="16.5" customHeight="1">
      <c r="A1321" s="64"/>
      <c r="B1321" s="80" t="s">
        <v>18249</v>
      </c>
      <c r="C1321" s="81" t="str">
        <f>IFERROR(__xludf.DUMMYFUNCTION("""COMPUTED_VALUE"""),"aristotle29")</f>
        <v>aristotle29</v>
      </c>
      <c r="D1321" s="75">
        <f>IFERROR(__xludf.DUMMYFUNCTION("""COMPUTED_VALUE"""),0.0)</f>
        <v>0</v>
      </c>
      <c r="E1321" s="64"/>
      <c r="F1321" s="95"/>
      <c r="G1321" s="96"/>
      <c r="H1321" s="64"/>
      <c r="I1321" s="64"/>
      <c r="J1321" s="64"/>
      <c r="K1321" s="64"/>
      <c r="L1321" s="64"/>
    </row>
    <row r="1322" ht="16.5" customHeight="1">
      <c r="A1322" s="64"/>
      <c r="B1322" s="80" t="s">
        <v>18249</v>
      </c>
      <c r="C1322" s="81" t="str">
        <f>IFERROR(__xludf.DUMMYFUNCTION("""COMPUTED_VALUE"""),"arnold_loz")</f>
        <v>arnold_loz</v>
      </c>
      <c r="D1322" s="75">
        <f>IFERROR(__xludf.DUMMYFUNCTION("""COMPUTED_VALUE"""),0.0)</f>
        <v>0</v>
      </c>
      <c r="E1322" s="64"/>
      <c r="F1322" s="95"/>
      <c r="G1322" s="96"/>
      <c r="H1322" s="64"/>
      <c r="I1322" s="64"/>
      <c r="J1322" s="64"/>
      <c r="K1322" s="64"/>
      <c r="L1322" s="64"/>
    </row>
    <row r="1323" ht="16.5" customHeight="1">
      <c r="A1323" s="64"/>
      <c r="B1323" s="80" t="s">
        <v>18249</v>
      </c>
      <c r="C1323" s="81" t="str">
        <f>IFERROR(__xludf.DUMMYFUNCTION("""COMPUTED_VALUE"""),"art__bart")</f>
        <v>art__bart</v>
      </c>
      <c r="D1323" s="75">
        <f>IFERROR(__xludf.DUMMYFUNCTION("""COMPUTED_VALUE"""),0.0)</f>
        <v>0</v>
      </c>
      <c r="E1323" s="64"/>
      <c r="F1323" s="95"/>
      <c r="G1323" s="96"/>
      <c r="H1323" s="64"/>
      <c r="I1323" s="64"/>
      <c r="J1323" s="64"/>
      <c r="K1323" s="64"/>
      <c r="L1323" s="64"/>
    </row>
    <row r="1324" ht="16.5" customHeight="1">
      <c r="A1324" s="64"/>
      <c r="B1324" s="80" t="s">
        <v>18249</v>
      </c>
      <c r="C1324" s="81" t="str">
        <f>IFERROR(__xludf.DUMMYFUNCTION("""COMPUTED_VALUE"""),"art_iculate")</f>
        <v>art_iculate</v>
      </c>
      <c r="D1324" s="75">
        <f>IFERROR(__xludf.DUMMYFUNCTION("""COMPUTED_VALUE"""),0.0)</f>
        <v>0</v>
      </c>
      <c r="E1324" s="64"/>
      <c r="F1324" s="95"/>
      <c r="G1324" s="96"/>
      <c r="H1324" s="64"/>
      <c r="I1324" s="64"/>
      <c r="J1324" s="64"/>
      <c r="K1324" s="64"/>
      <c r="L1324" s="64"/>
    </row>
    <row r="1325" ht="16.5" customHeight="1">
      <c r="A1325" s="64"/>
      <c r="B1325" s="80" t="s">
        <v>18249</v>
      </c>
      <c r="C1325" s="81" t="str">
        <f>IFERROR(__xludf.DUMMYFUNCTION("""COMPUTED_VALUE"""),"astro_trader")</f>
        <v>astro_trader</v>
      </c>
      <c r="D1325" s="75">
        <f>IFERROR(__xludf.DUMMYFUNCTION("""COMPUTED_VALUE"""),0.0)</f>
        <v>0</v>
      </c>
      <c r="E1325" s="64"/>
      <c r="F1325" s="95"/>
      <c r="G1325" s="96"/>
      <c r="H1325" s="64"/>
      <c r="I1325" s="64"/>
      <c r="J1325" s="64"/>
      <c r="K1325" s="64"/>
      <c r="L1325" s="64"/>
    </row>
    <row r="1326" ht="16.5" customHeight="1">
      <c r="A1326" s="64"/>
      <c r="B1326" s="80" t="s">
        <v>18249</v>
      </c>
      <c r="C1326" s="81" t="str">
        <f>IFERROR(__xludf.DUMMYFUNCTION("""COMPUTED_VALUE"""),"attractaub")</f>
        <v>attractaub</v>
      </c>
      <c r="D1326" s="75">
        <f>IFERROR(__xludf.DUMMYFUNCTION("""COMPUTED_VALUE"""),0.0)</f>
        <v>0</v>
      </c>
      <c r="E1326" s="64"/>
      <c r="F1326" s="95"/>
      <c r="G1326" s="96"/>
      <c r="H1326" s="64"/>
      <c r="I1326" s="64"/>
      <c r="J1326" s="64"/>
      <c r="K1326" s="64"/>
      <c r="L1326" s="64"/>
    </row>
    <row r="1327" ht="16.5" customHeight="1">
      <c r="A1327" s="64"/>
      <c r="B1327" s="80" t="s">
        <v>18249</v>
      </c>
      <c r="C1327" s="81" t="str">
        <f>IFERROR(__xludf.DUMMYFUNCTION("""COMPUTED_VALUE"""),"audouin1b")</f>
        <v>audouin1b</v>
      </c>
      <c r="D1327" s="75">
        <f>IFERROR(__xludf.DUMMYFUNCTION("""COMPUTED_VALUE"""),0.0)</f>
        <v>0</v>
      </c>
      <c r="E1327" s="64"/>
      <c r="F1327" s="95"/>
      <c r="G1327" s="96"/>
      <c r="H1327" s="64"/>
      <c r="I1327" s="64"/>
      <c r="J1327" s="64"/>
      <c r="K1327" s="64"/>
      <c r="L1327" s="64"/>
    </row>
    <row r="1328" ht="16.5" customHeight="1">
      <c r="A1328" s="64"/>
      <c r="B1328" s="80" t="s">
        <v>18249</v>
      </c>
      <c r="C1328" s="81" t="str">
        <f>IFERROR(__xludf.DUMMYFUNCTION("""COMPUTED_VALUE"""),"avocet41")</f>
        <v>avocet41</v>
      </c>
      <c r="D1328" s="75">
        <f>IFERROR(__xludf.DUMMYFUNCTION("""COMPUTED_VALUE"""),0.0)</f>
        <v>0</v>
      </c>
      <c r="E1328" s="64"/>
      <c r="F1328" s="95"/>
      <c r="G1328" s="96"/>
      <c r="H1328" s="64"/>
      <c r="I1328" s="64"/>
      <c r="J1328" s="64"/>
      <c r="K1328" s="64"/>
      <c r="L1328" s="64"/>
    </row>
    <row r="1329" ht="16.5" customHeight="1">
      <c r="A1329" s="64"/>
      <c r="B1329" s="80" t="s">
        <v>18249</v>
      </c>
      <c r="C1329" s="81" t="str">
        <f>IFERROR(__xludf.DUMMYFUNCTION("""COMPUTED_VALUE"""),"b4ngali")</f>
        <v>b4ngali</v>
      </c>
      <c r="D1329" s="75">
        <f>IFERROR(__xludf.DUMMYFUNCTION("""COMPUTED_VALUE"""),0.0)</f>
        <v>0</v>
      </c>
      <c r="E1329" s="64"/>
      <c r="F1329" s="95"/>
      <c r="G1329" s="96"/>
      <c r="H1329" s="64"/>
      <c r="I1329" s="64"/>
      <c r="J1329" s="64"/>
      <c r="K1329" s="64"/>
      <c r="L1329" s="64"/>
    </row>
    <row r="1330" ht="16.5" customHeight="1">
      <c r="A1330" s="64"/>
      <c r="B1330" s="80" t="s">
        <v>18249</v>
      </c>
      <c r="C1330" s="81" t="str">
        <f>IFERROR(__xludf.DUMMYFUNCTION("""COMPUTED_VALUE"""),"barbara_farneti")</f>
        <v>barbara_farneti</v>
      </c>
      <c r="D1330" s="75">
        <f>IFERROR(__xludf.DUMMYFUNCTION("""COMPUTED_VALUE"""),0.0)</f>
        <v>0</v>
      </c>
      <c r="E1330" s="64"/>
      <c r="F1330" s="95"/>
      <c r="G1330" s="96"/>
      <c r="H1330" s="64"/>
      <c r="I1330" s="64"/>
      <c r="J1330" s="64"/>
      <c r="K1330" s="64"/>
      <c r="L1330" s="64"/>
    </row>
    <row r="1331" ht="16.5" customHeight="1">
      <c r="A1331" s="64"/>
      <c r="B1331" s="80" t="s">
        <v>18249</v>
      </c>
      <c r="C1331" s="81" t="str">
        <f>IFERROR(__xludf.DUMMYFUNCTION("""COMPUTED_VALUE"""),"barbaraburdon")</f>
        <v>barbaraburdon</v>
      </c>
      <c r="D1331" s="75">
        <f>IFERROR(__xludf.DUMMYFUNCTION("""COMPUTED_VALUE"""),0.0)</f>
        <v>0</v>
      </c>
      <c r="E1331" s="64"/>
      <c r="F1331" s="95"/>
      <c r="G1331" s="96"/>
      <c r="H1331" s="64"/>
      <c r="I1331" s="64"/>
      <c r="J1331" s="64"/>
      <c r="K1331" s="64"/>
      <c r="L1331" s="64"/>
    </row>
    <row r="1332" ht="16.5" customHeight="1">
      <c r="A1332" s="64"/>
      <c r="B1332" s="80" t="s">
        <v>18249</v>
      </c>
      <c r="C1332" s="81" t="str">
        <f>IFERROR(__xludf.DUMMYFUNCTION("""COMPUTED_VALUE"""),"bardofely")</f>
        <v>bardofely</v>
      </c>
      <c r="D1332" s="75">
        <f>IFERROR(__xludf.DUMMYFUNCTION("""COMPUTED_VALUE"""),0.0)</f>
        <v>0</v>
      </c>
      <c r="E1332" s="64"/>
      <c r="F1332" s="95"/>
      <c r="G1332" s="96"/>
      <c r="H1332" s="64"/>
      <c r="I1332" s="64"/>
      <c r="J1332" s="64"/>
      <c r="K1332" s="64"/>
      <c r="L1332" s="64"/>
    </row>
    <row r="1333" ht="16.5" customHeight="1">
      <c r="A1333" s="64"/>
      <c r="B1333" s="80" t="s">
        <v>18249</v>
      </c>
      <c r="C1333" s="81" t="str">
        <f>IFERROR(__xludf.DUMMYFUNCTION("""COMPUTED_VALUE"""),"barlaventoexp")</f>
        <v>barlaventoexp</v>
      </c>
      <c r="D1333" s="75">
        <f>IFERROR(__xludf.DUMMYFUNCTION("""COMPUTED_VALUE"""),0.0)</f>
        <v>0</v>
      </c>
      <c r="E1333" s="64"/>
      <c r="F1333" s="95"/>
      <c r="G1333" s="96"/>
      <c r="H1333" s="64"/>
      <c r="I1333" s="64"/>
      <c r="J1333" s="64"/>
      <c r="K1333" s="64"/>
      <c r="L1333" s="64"/>
    </row>
    <row r="1334" ht="16.5" customHeight="1">
      <c r="A1334" s="64"/>
      <c r="B1334" s="80" t="s">
        <v>18249</v>
      </c>
      <c r="C1334" s="81" t="str">
        <f>IFERROR(__xludf.DUMMYFUNCTION("""COMPUTED_VALUE"""),"barry_gabjack")</f>
        <v>barry_gabjack</v>
      </c>
      <c r="D1334" s="75">
        <f>IFERROR(__xludf.DUMMYFUNCTION("""COMPUTED_VALUE"""),0.0)</f>
        <v>0</v>
      </c>
      <c r="E1334" s="64"/>
      <c r="F1334" s="95"/>
      <c r="G1334" s="96"/>
      <c r="H1334" s="64"/>
      <c r="I1334" s="64"/>
      <c r="J1334" s="64"/>
      <c r="K1334" s="64"/>
      <c r="L1334" s="64"/>
    </row>
    <row r="1335" ht="16.5" customHeight="1">
      <c r="A1335" s="64"/>
      <c r="B1335" s="80" t="s">
        <v>18249</v>
      </c>
      <c r="C1335" s="81" t="str">
        <f>IFERROR(__xludf.DUMMYFUNCTION("""COMPUTED_VALUE"""),"bear_risa")</f>
        <v>bear_risa</v>
      </c>
      <c r="D1335" s="75">
        <f>IFERROR(__xludf.DUMMYFUNCTION("""COMPUTED_VALUE"""),0.0)</f>
        <v>0</v>
      </c>
      <c r="E1335" s="64"/>
      <c r="F1335" s="95"/>
      <c r="G1335" s="96"/>
      <c r="H1335" s="64"/>
      <c r="I1335" s="64"/>
      <c r="J1335" s="64"/>
      <c r="K1335" s="64"/>
      <c r="L1335" s="64"/>
    </row>
    <row r="1336" ht="16.5" customHeight="1">
      <c r="A1336" s="64"/>
      <c r="B1336" s="80" t="s">
        <v>18249</v>
      </c>
      <c r="C1336" s="81" t="str">
        <f>IFERROR(__xludf.DUMMYFUNCTION("""COMPUTED_VALUE"""),"bedfordyid")</f>
        <v>bedfordyid</v>
      </c>
      <c r="D1336" s="75">
        <f>IFERROR(__xludf.DUMMYFUNCTION("""COMPUTED_VALUE"""),0.0)</f>
        <v>0</v>
      </c>
      <c r="E1336" s="64"/>
      <c r="F1336" s="95"/>
      <c r="G1336" s="96"/>
      <c r="H1336" s="64"/>
      <c r="I1336" s="64"/>
      <c r="J1336" s="64"/>
      <c r="K1336" s="64"/>
      <c r="L1336" s="64"/>
    </row>
    <row r="1337" ht="16.5" customHeight="1">
      <c r="A1337" s="64"/>
      <c r="B1337" s="80" t="s">
        <v>18249</v>
      </c>
      <c r="C1337" s="81" t="str">
        <f>IFERROR(__xludf.DUMMYFUNCTION("""COMPUTED_VALUE"""),"beech78")</f>
        <v>beech78</v>
      </c>
      <c r="D1337" s="75">
        <f>IFERROR(__xludf.DUMMYFUNCTION("""COMPUTED_VALUE"""),0.0)</f>
        <v>0</v>
      </c>
      <c r="E1337" s="64"/>
      <c r="F1337" s="95"/>
      <c r="G1337" s="96"/>
      <c r="H1337" s="64"/>
      <c r="I1337" s="64"/>
      <c r="J1337" s="64"/>
      <c r="K1337" s="64"/>
      <c r="L1337" s="64"/>
    </row>
    <row r="1338" ht="16.5" customHeight="1">
      <c r="A1338" s="64"/>
      <c r="B1338" s="80" t="s">
        <v>18249</v>
      </c>
      <c r="C1338" s="81" t="str">
        <f>IFERROR(__xludf.DUMMYFUNCTION("""COMPUTED_VALUE"""),"beith123")</f>
        <v>beith123</v>
      </c>
      <c r="D1338" s="75">
        <f>IFERROR(__xludf.DUMMYFUNCTION("""COMPUTED_VALUE"""),0.0)</f>
        <v>0</v>
      </c>
      <c r="E1338" s="64"/>
      <c r="F1338" s="95"/>
      <c r="G1338" s="96"/>
      <c r="H1338" s="64"/>
      <c r="I1338" s="64"/>
      <c r="J1338" s="64"/>
      <c r="K1338" s="64"/>
      <c r="L1338" s="64"/>
    </row>
    <row r="1339" ht="16.5" customHeight="1">
      <c r="A1339" s="64"/>
      <c r="B1339" s="80" t="s">
        <v>18249</v>
      </c>
      <c r="C1339" s="81" t="str">
        <f>IFERROR(__xludf.DUMMYFUNCTION("""COMPUTED_VALUE"""),"bellabean2")</f>
        <v>bellabean2</v>
      </c>
      <c r="D1339" s="75">
        <f>IFERROR(__xludf.DUMMYFUNCTION("""COMPUTED_VALUE"""),0.0)</f>
        <v>0</v>
      </c>
      <c r="E1339" s="64"/>
      <c r="F1339" s="95"/>
      <c r="G1339" s="96"/>
      <c r="H1339" s="64"/>
      <c r="I1339" s="64"/>
      <c r="J1339" s="64"/>
      <c r="K1339" s="64"/>
      <c r="L1339" s="64"/>
    </row>
    <row r="1340" ht="16.5" customHeight="1">
      <c r="A1340" s="64"/>
      <c r="B1340" s="80" t="s">
        <v>18249</v>
      </c>
      <c r="C1340" s="81" t="str">
        <f>IFERROR(__xludf.DUMMYFUNCTION("""COMPUTED_VALUE"""),"bellesareblue")</f>
        <v>bellesareblue</v>
      </c>
      <c r="D1340" s="75">
        <f>IFERROR(__xludf.DUMMYFUNCTION("""COMPUTED_VALUE"""),0.0)</f>
        <v>0</v>
      </c>
      <c r="E1340" s="64"/>
      <c r="F1340" s="95"/>
      <c r="G1340" s="96"/>
      <c r="H1340" s="64"/>
      <c r="I1340" s="64"/>
      <c r="J1340" s="64"/>
      <c r="K1340" s="64"/>
      <c r="L1340" s="64"/>
    </row>
    <row r="1341" ht="16.5" customHeight="1">
      <c r="A1341" s="64"/>
      <c r="B1341" s="80" t="s">
        <v>18249</v>
      </c>
      <c r="C1341" s="81" t="str">
        <f>IFERROR(__xludf.DUMMYFUNCTION("""COMPUTED_VALUE"""),"bendevon2")</f>
        <v>bendevon2</v>
      </c>
      <c r="D1341" s="75">
        <f>IFERROR(__xludf.DUMMYFUNCTION("""COMPUTED_VALUE"""),0.0)</f>
        <v>0</v>
      </c>
      <c r="E1341" s="64"/>
      <c r="F1341" s="95"/>
      <c r="G1341" s="96"/>
      <c r="H1341" s="64"/>
      <c r="I1341" s="64"/>
      <c r="J1341" s="64"/>
      <c r="K1341" s="64"/>
      <c r="L1341" s="64"/>
    </row>
    <row r="1342" ht="16.5" customHeight="1">
      <c r="A1342" s="64"/>
      <c r="B1342" s="80" t="s">
        <v>18249</v>
      </c>
      <c r="C1342" s="81" t="str">
        <f>IFERROR(__xludf.DUMMYFUNCTION("""COMPUTED_VALUE"""),"bernielhannon")</f>
        <v>bernielhannon</v>
      </c>
      <c r="D1342" s="75">
        <f>IFERROR(__xludf.DUMMYFUNCTION("""COMPUTED_VALUE"""),0.0)</f>
        <v>0</v>
      </c>
      <c r="E1342" s="64"/>
      <c r="F1342" s="95"/>
      <c r="G1342" s="96"/>
      <c r="H1342" s="64"/>
      <c r="I1342" s="64"/>
      <c r="J1342" s="64"/>
      <c r="K1342" s="64"/>
      <c r="L1342" s="64"/>
    </row>
    <row r="1343" ht="16.5" customHeight="1">
      <c r="A1343" s="64"/>
      <c r="B1343" s="80" t="s">
        <v>18249</v>
      </c>
      <c r="C1343" s="81" t="str">
        <f>IFERROR(__xludf.DUMMYFUNCTION("""COMPUTED_VALUE"""),"bestgrandma56")</f>
        <v>bestgrandma56</v>
      </c>
      <c r="D1343" s="75">
        <f>IFERROR(__xludf.DUMMYFUNCTION("""COMPUTED_VALUE"""),0.0)</f>
        <v>0</v>
      </c>
      <c r="E1343" s="64"/>
      <c r="F1343" s="95"/>
      <c r="G1343" s="96"/>
      <c r="H1343" s="64"/>
      <c r="I1343" s="64"/>
      <c r="J1343" s="64"/>
      <c r="K1343" s="64"/>
      <c r="L1343" s="64"/>
    </row>
    <row r="1344" ht="16.5" customHeight="1">
      <c r="A1344" s="64"/>
      <c r="B1344" s="80" t="s">
        <v>18249</v>
      </c>
      <c r="C1344" s="81" t="str">
        <f>IFERROR(__xludf.DUMMYFUNCTION("""COMPUTED_VALUE"""),"bethgwen")</f>
        <v>bethgwen</v>
      </c>
      <c r="D1344" s="75">
        <f>IFERROR(__xludf.DUMMYFUNCTION("""COMPUTED_VALUE"""),0.0)</f>
        <v>0</v>
      </c>
      <c r="E1344" s="64"/>
      <c r="F1344" s="95"/>
      <c r="G1344" s="96"/>
      <c r="H1344" s="64"/>
      <c r="I1344" s="64"/>
      <c r="J1344" s="64"/>
      <c r="K1344" s="64"/>
      <c r="L1344" s="64"/>
    </row>
    <row r="1345" ht="16.5" customHeight="1">
      <c r="A1345" s="64"/>
      <c r="B1345" s="80" t="s">
        <v>18249</v>
      </c>
      <c r="C1345" s="81" t="str">
        <f>IFERROR(__xludf.DUMMYFUNCTION("""COMPUTED_VALUE"""),"bglynn500")</f>
        <v>bglynn500</v>
      </c>
      <c r="D1345" s="75">
        <f>IFERROR(__xludf.DUMMYFUNCTION("""COMPUTED_VALUE"""),0.0)</f>
        <v>0</v>
      </c>
      <c r="E1345" s="64"/>
      <c r="F1345" s="95"/>
      <c r="G1345" s="96"/>
      <c r="H1345" s="64"/>
      <c r="I1345" s="64"/>
      <c r="J1345" s="64"/>
      <c r="K1345" s="64"/>
      <c r="L1345" s="64"/>
    </row>
    <row r="1346" ht="16.5" customHeight="1">
      <c r="A1346" s="64"/>
      <c r="B1346" s="80" t="s">
        <v>18249</v>
      </c>
      <c r="C1346" s="81" t="str">
        <f>IFERROR(__xludf.DUMMYFUNCTION("""COMPUTED_VALUE"""),"bhuddagosa")</f>
        <v>bhuddagosa</v>
      </c>
      <c r="D1346" s="75">
        <f>IFERROR(__xludf.DUMMYFUNCTION("""COMPUTED_VALUE"""),0.0)</f>
        <v>0</v>
      </c>
      <c r="E1346" s="64"/>
      <c r="F1346" s="95"/>
      <c r="G1346" s="96"/>
      <c r="H1346" s="64"/>
      <c r="I1346" s="64"/>
      <c r="J1346" s="64"/>
      <c r="K1346" s="64"/>
      <c r="L1346" s="64"/>
    </row>
    <row r="1347" ht="16.5" customHeight="1">
      <c r="A1347" s="64"/>
      <c r="B1347" s="80" t="s">
        <v>18249</v>
      </c>
      <c r="C1347" s="81" t="str">
        <f>IFERROR(__xludf.DUMMYFUNCTION("""COMPUTED_VALUE"""),"bigtrembles")</f>
        <v>bigtrembles</v>
      </c>
      <c r="D1347" s="75">
        <f>IFERROR(__xludf.DUMMYFUNCTION("""COMPUTED_VALUE"""),0.0)</f>
        <v>0</v>
      </c>
      <c r="E1347" s="64"/>
      <c r="F1347" s="95"/>
      <c r="G1347" s="96"/>
      <c r="H1347" s="64"/>
      <c r="I1347" s="64"/>
      <c r="J1347" s="64"/>
      <c r="K1347" s="64"/>
      <c r="L1347" s="64"/>
    </row>
    <row r="1348" ht="16.5" customHeight="1">
      <c r="A1348" s="64"/>
      <c r="B1348" s="80" t="s">
        <v>18249</v>
      </c>
      <c r="C1348" s="81" t="str">
        <f>IFERROR(__xludf.DUMMYFUNCTION("""COMPUTED_VALUE"""),"bill11uk")</f>
        <v>bill11uk</v>
      </c>
      <c r="D1348" s="75">
        <f>IFERROR(__xludf.DUMMYFUNCTION("""COMPUTED_VALUE"""),0.0)</f>
        <v>0</v>
      </c>
      <c r="E1348" s="64"/>
      <c r="F1348" s="95"/>
      <c r="G1348" s="96"/>
      <c r="H1348" s="64"/>
      <c r="I1348" s="64"/>
      <c r="J1348" s="64"/>
      <c r="K1348" s="64"/>
      <c r="L1348" s="64"/>
    </row>
    <row r="1349" ht="16.5" customHeight="1">
      <c r="A1349" s="64"/>
      <c r="B1349" s="80" t="s">
        <v>18249</v>
      </c>
      <c r="C1349" s="81" t="str">
        <f>IFERROR(__xludf.DUMMYFUNCTION("""COMPUTED_VALUE"""),"billsimpson16")</f>
        <v>billsimpson16</v>
      </c>
      <c r="D1349" s="75">
        <f>IFERROR(__xludf.DUMMYFUNCTION("""COMPUTED_VALUE"""),0.0)</f>
        <v>0</v>
      </c>
      <c r="E1349" s="64"/>
      <c r="F1349" s="95"/>
      <c r="G1349" s="96"/>
      <c r="H1349" s="64"/>
      <c r="I1349" s="64"/>
      <c r="J1349" s="64"/>
      <c r="K1349" s="64"/>
      <c r="L1349" s="64"/>
    </row>
    <row r="1350" ht="16.5" customHeight="1">
      <c r="A1350" s="64"/>
      <c r="B1350" s="80" t="s">
        <v>18249</v>
      </c>
      <c r="C1350" s="81" t="str">
        <f>IFERROR(__xludf.DUMMYFUNCTION("""COMPUTED_VALUE"""),"bionic_dread")</f>
        <v>bionic_dread</v>
      </c>
      <c r="D1350" s="75">
        <f>IFERROR(__xludf.DUMMYFUNCTION("""COMPUTED_VALUE"""),0.0)</f>
        <v>0</v>
      </c>
      <c r="E1350" s="64"/>
      <c r="F1350" s="95"/>
      <c r="G1350" s="96"/>
      <c r="H1350" s="64"/>
      <c r="I1350" s="64"/>
      <c r="J1350" s="64"/>
      <c r="K1350" s="64"/>
      <c r="L1350" s="64"/>
    </row>
    <row r="1351" ht="16.5" customHeight="1">
      <c r="A1351" s="64"/>
      <c r="B1351" s="80" t="s">
        <v>18249</v>
      </c>
      <c r="C1351" s="81" t="str">
        <f>IFERROR(__xludf.DUMMYFUNCTION("""COMPUTED_VALUE"""),"blackalicious61")</f>
        <v>blackalicious61</v>
      </c>
      <c r="D1351" s="75">
        <f>IFERROR(__xludf.DUMMYFUNCTION("""COMPUTED_VALUE"""),0.0)</f>
        <v>0</v>
      </c>
      <c r="E1351" s="64"/>
      <c r="F1351" s="95"/>
      <c r="G1351" s="96"/>
      <c r="H1351" s="64"/>
      <c r="I1351" s="64"/>
      <c r="J1351" s="64"/>
      <c r="K1351" s="64"/>
      <c r="L1351" s="64"/>
    </row>
    <row r="1352" ht="16.5" customHeight="1">
      <c r="A1352" s="64"/>
      <c r="B1352" s="80" t="s">
        <v>18249</v>
      </c>
      <c r="C1352" s="81" t="str">
        <f>IFERROR(__xludf.DUMMYFUNCTION("""COMPUTED_VALUE"""),"blandine_renou")</f>
        <v>blandine_renou</v>
      </c>
      <c r="D1352" s="75">
        <f>IFERROR(__xludf.DUMMYFUNCTION("""COMPUTED_VALUE"""),0.0)</f>
        <v>0</v>
      </c>
      <c r="E1352" s="64"/>
      <c r="F1352" s="95"/>
      <c r="G1352" s="96"/>
      <c r="H1352" s="64"/>
      <c r="I1352" s="64"/>
      <c r="J1352" s="64"/>
      <c r="K1352" s="64"/>
      <c r="L1352" s="64"/>
    </row>
    <row r="1353" ht="16.5" customHeight="1">
      <c r="A1353" s="64"/>
      <c r="B1353" s="80" t="s">
        <v>18249</v>
      </c>
      <c r="C1353" s="81" t="str">
        <f>IFERROR(__xludf.DUMMYFUNCTION("""COMPUTED_VALUE"""),"bloggerheads")</f>
        <v>bloggerheads</v>
      </c>
      <c r="D1353" s="75">
        <f>IFERROR(__xludf.DUMMYFUNCTION("""COMPUTED_VALUE"""),0.0)</f>
        <v>0</v>
      </c>
      <c r="E1353" s="64"/>
      <c r="F1353" s="95"/>
      <c r="G1353" s="96"/>
      <c r="H1353" s="64"/>
      <c r="I1353" s="64"/>
      <c r="J1353" s="64"/>
      <c r="K1353" s="64"/>
      <c r="L1353" s="64"/>
    </row>
    <row r="1354" ht="16.5" customHeight="1">
      <c r="A1354" s="64"/>
      <c r="B1354" s="80" t="s">
        <v>18249</v>
      </c>
      <c r="C1354" s="81" t="str">
        <f>IFERROR(__xludf.DUMMYFUNCTION("""COMPUTED_VALUE"""),"blucienwilliams")</f>
        <v>blucienwilliams</v>
      </c>
      <c r="D1354" s="75">
        <f>IFERROR(__xludf.DUMMYFUNCTION("""COMPUTED_VALUE"""),0.0)</f>
        <v>0</v>
      </c>
      <c r="E1354" s="64"/>
      <c r="F1354" s="95"/>
      <c r="G1354" s="96"/>
      <c r="H1354" s="64"/>
      <c r="I1354" s="64"/>
      <c r="J1354" s="64"/>
      <c r="K1354" s="64"/>
      <c r="L1354" s="64"/>
    </row>
    <row r="1355" ht="16.5" customHeight="1">
      <c r="A1355" s="64"/>
      <c r="B1355" s="80" t="s">
        <v>18249</v>
      </c>
      <c r="C1355" s="81" t="str">
        <f>IFERROR(__xludf.DUMMYFUNCTION("""COMPUTED_VALUE"""),"bly_mon")</f>
        <v>bly_mon</v>
      </c>
      <c r="D1355" s="75">
        <f>IFERROR(__xludf.DUMMYFUNCTION("""COMPUTED_VALUE"""),0.0)</f>
        <v>0</v>
      </c>
      <c r="E1355" s="64"/>
      <c r="F1355" s="95"/>
      <c r="G1355" s="96"/>
      <c r="H1355" s="64"/>
      <c r="I1355" s="64"/>
      <c r="J1355" s="64"/>
      <c r="K1355" s="64"/>
      <c r="L1355" s="64"/>
    </row>
    <row r="1356" ht="16.5" customHeight="1">
      <c r="A1356" s="64"/>
      <c r="B1356" s="80" t="s">
        <v>18249</v>
      </c>
      <c r="C1356" s="81" t="str">
        <f>IFERROR(__xludf.DUMMYFUNCTION("""COMPUTED_VALUE"""),"bmetwit")</f>
        <v>bmetwit</v>
      </c>
      <c r="D1356" s="75">
        <f>IFERROR(__xludf.DUMMYFUNCTION("""COMPUTED_VALUE"""),0.0)</f>
        <v>0</v>
      </c>
      <c r="E1356" s="64"/>
      <c r="F1356" s="95"/>
      <c r="G1356" s="96"/>
      <c r="H1356" s="64"/>
      <c r="I1356" s="64"/>
      <c r="J1356" s="64"/>
      <c r="K1356" s="64"/>
      <c r="L1356" s="64"/>
    </row>
    <row r="1357" ht="16.5" customHeight="1">
      <c r="A1357" s="64"/>
      <c r="B1357" s="80" t="s">
        <v>18249</v>
      </c>
      <c r="C1357" s="81" t="str">
        <f>IFERROR(__xludf.DUMMYFUNCTION("""COMPUTED_VALUE"""),"bmf1g10")</f>
        <v>bmf1g10</v>
      </c>
      <c r="D1357" s="75">
        <f>IFERROR(__xludf.DUMMYFUNCTION("""COMPUTED_VALUE"""),0.0)</f>
        <v>0</v>
      </c>
      <c r="E1357" s="64"/>
      <c r="F1357" s="95"/>
      <c r="G1357" s="96"/>
      <c r="H1357" s="64"/>
      <c r="I1357" s="64"/>
      <c r="J1357" s="64"/>
      <c r="K1357" s="64"/>
      <c r="L1357" s="64"/>
    </row>
    <row r="1358" ht="16.5" customHeight="1">
      <c r="A1358" s="64"/>
      <c r="B1358" s="80" t="s">
        <v>18249</v>
      </c>
      <c r="C1358" s="81" t="str">
        <f>IFERROR(__xludf.DUMMYFUNCTION("""COMPUTED_VALUE"""),"bneintellinews")</f>
        <v>bneintellinews</v>
      </c>
      <c r="D1358" s="75">
        <f>IFERROR(__xludf.DUMMYFUNCTION("""COMPUTED_VALUE"""),0.0)</f>
        <v>0</v>
      </c>
      <c r="E1358" s="64"/>
      <c r="F1358" s="95"/>
      <c r="G1358" s="96"/>
      <c r="H1358" s="64"/>
      <c r="I1358" s="64"/>
      <c r="J1358" s="64"/>
      <c r="K1358" s="64"/>
      <c r="L1358" s="64"/>
    </row>
    <row r="1359" ht="16.5" customHeight="1">
      <c r="A1359" s="64"/>
      <c r="B1359" s="80" t="s">
        <v>18249</v>
      </c>
      <c r="C1359" s="81" t="str">
        <f>IFERROR(__xludf.DUMMYFUNCTION("""COMPUTED_VALUE"""),"bobirving_green")</f>
        <v>bobirving_green</v>
      </c>
      <c r="D1359" s="75">
        <f>IFERROR(__xludf.DUMMYFUNCTION("""COMPUTED_VALUE"""),0.0)</f>
        <v>0</v>
      </c>
      <c r="E1359" s="64"/>
      <c r="F1359" s="95"/>
      <c r="G1359" s="96"/>
      <c r="H1359" s="64"/>
      <c r="I1359" s="64"/>
      <c r="J1359" s="64"/>
      <c r="K1359" s="64"/>
      <c r="L1359" s="64"/>
    </row>
    <row r="1360" ht="16.5" customHeight="1">
      <c r="A1360" s="64"/>
      <c r="B1360" s="80" t="s">
        <v>18249</v>
      </c>
      <c r="C1360" s="81" t="str">
        <f>IFERROR(__xludf.DUMMYFUNCTION("""COMPUTED_VALUE"""),"boblister_poole")</f>
        <v>boblister_poole</v>
      </c>
      <c r="D1360" s="75">
        <f>IFERROR(__xludf.DUMMYFUNCTION("""COMPUTED_VALUE"""),0.0)</f>
        <v>0</v>
      </c>
      <c r="E1360" s="64"/>
      <c r="F1360" s="95"/>
      <c r="G1360" s="96"/>
      <c r="H1360" s="64"/>
      <c r="I1360" s="64"/>
      <c r="J1360" s="64"/>
      <c r="K1360" s="64"/>
      <c r="L1360" s="64"/>
    </row>
    <row r="1361" ht="16.5" customHeight="1">
      <c r="A1361" s="64"/>
      <c r="B1361" s="80" t="s">
        <v>18249</v>
      </c>
      <c r="C1361" s="81" t="str">
        <f>IFERROR(__xludf.DUMMYFUNCTION("""COMPUTED_VALUE"""),"bobreeduk")</f>
        <v>bobreeduk</v>
      </c>
      <c r="D1361" s="75">
        <f>IFERROR(__xludf.DUMMYFUNCTION("""COMPUTED_VALUE"""),0.0)</f>
        <v>0</v>
      </c>
      <c r="E1361" s="64"/>
      <c r="F1361" s="95"/>
      <c r="G1361" s="96"/>
      <c r="H1361" s="64"/>
      <c r="I1361" s="64"/>
      <c r="J1361" s="64"/>
      <c r="K1361" s="64"/>
      <c r="L1361" s="64"/>
    </row>
    <row r="1362" ht="16.5" customHeight="1">
      <c r="A1362" s="64"/>
      <c r="B1362" s="80" t="s">
        <v>18249</v>
      </c>
      <c r="C1362" s="81" t="str">
        <f>IFERROR(__xludf.DUMMYFUNCTION("""COMPUTED_VALUE"""),"bobyoungs6")</f>
        <v>bobyoungs6</v>
      </c>
      <c r="D1362" s="75">
        <f>IFERROR(__xludf.DUMMYFUNCTION("""COMPUTED_VALUE"""),0.0)</f>
        <v>0</v>
      </c>
      <c r="E1362" s="64"/>
      <c r="F1362" s="95"/>
      <c r="G1362" s="96"/>
      <c r="H1362" s="64"/>
      <c r="I1362" s="64"/>
      <c r="J1362" s="64"/>
      <c r="K1362" s="64"/>
      <c r="L1362" s="64"/>
    </row>
    <row r="1363" ht="16.5" customHeight="1">
      <c r="A1363" s="64"/>
      <c r="B1363" s="80" t="s">
        <v>18249</v>
      </c>
      <c r="C1363" s="81" t="str">
        <f>IFERROR(__xludf.DUMMYFUNCTION("""COMPUTED_VALUE"""),"bootleian")</f>
        <v>bootleian</v>
      </c>
      <c r="D1363" s="75">
        <f>IFERROR(__xludf.DUMMYFUNCTION("""COMPUTED_VALUE"""),0.0)</f>
        <v>0</v>
      </c>
      <c r="E1363" s="64"/>
      <c r="F1363" s="95"/>
      <c r="G1363" s="96"/>
      <c r="H1363" s="64"/>
      <c r="I1363" s="64"/>
      <c r="J1363" s="64"/>
      <c r="K1363" s="64"/>
      <c r="L1363" s="64"/>
    </row>
    <row r="1364" ht="16.5" customHeight="1">
      <c r="A1364" s="64"/>
      <c r="B1364" s="80" t="s">
        <v>18249</v>
      </c>
      <c r="C1364" s="81" t="str">
        <f>IFERROR(__xludf.DUMMYFUNCTION("""COMPUTED_VALUE"""),"botanic_my")</f>
        <v>botanic_my</v>
      </c>
      <c r="D1364" s="75">
        <f>IFERROR(__xludf.DUMMYFUNCTION("""COMPUTED_VALUE"""),0.0)</f>
        <v>0</v>
      </c>
      <c r="E1364" s="64"/>
      <c r="F1364" s="95"/>
      <c r="G1364" s="96"/>
      <c r="H1364" s="64"/>
      <c r="I1364" s="64"/>
      <c r="J1364" s="64"/>
      <c r="K1364" s="64"/>
      <c r="L1364" s="64"/>
    </row>
    <row r="1365" ht="16.5" customHeight="1">
      <c r="A1365" s="64"/>
      <c r="B1365" s="80" t="s">
        <v>18249</v>
      </c>
      <c r="C1365" s="81" t="str">
        <f>IFERROR(__xludf.DUMMYFUNCTION("""COMPUTED_VALUE"""),"botbaitclick")</f>
        <v>botbaitclick</v>
      </c>
      <c r="D1365" s="75">
        <f>IFERROR(__xludf.DUMMYFUNCTION("""COMPUTED_VALUE"""),0.0)</f>
        <v>0</v>
      </c>
      <c r="E1365" s="64"/>
      <c r="F1365" s="95"/>
      <c r="G1365" s="96"/>
      <c r="H1365" s="64"/>
      <c r="I1365" s="64"/>
      <c r="J1365" s="64"/>
      <c r="K1365" s="64"/>
      <c r="L1365" s="64"/>
    </row>
    <row r="1366" ht="16.5" customHeight="1">
      <c r="A1366" s="64"/>
      <c r="B1366" s="80" t="s">
        <v>18249</v>
      </c>
      <c r="C1366" s="81" t="str">
        <f>IFERROR(__xludf.DUMMYFUNCTION("""COMPUTED_VALUE"""),"bowrog")</f>
        <v>bowrog</v>
      </c>
      <c r="D1366" s="75">
        <f>IFERROR(__xludf.DUMMYFUNCTION("""COMPUTED_VALUE"""),0.0)</f>
        <v>0</v>
      </c>
      <c r="E1366" s="64"/>
      <c r="F1366" s="95"/>
      <c r="G1366" s="96"/>
      <c r="H1366" s="64"/>
      <c r="I1366" s="64"/>
      <c r="J1366" s="64"/>
      <c r="K1366" s="64"/>
      <c r="L1366" s="64"/>
    </row>
    <row r="1367" ht="16.5" customHeight="1">
      <c r="A1367" s="64"/>
      <c r="B1367" s="80" t="s">
        <v>18249</v>
      </c>
      <c r="C1367" s="81" t="str">
        <f>IFERROR(__xludf.DUMMYFUNCTION("""COMPUTED_VALUE"""),"boxoffrogsmadas")</f>
        <v>boxoffrogsmadas</v>
      </c>
      <c r="D1367" s="75">
        <f>IFERROR(__xludf.DUMMYFUNCTION("""COMPUTED_VALUE"""),0.0)</f>
        <v>0</v>
      </c>
      <c r="E1367" s="64"/>
      <c r="F1367" s="95"/>
      <c r="G1367" s="96"/>
      <c r="H1367" s="64"/>
      <c r="I1367" s="64"/>
      <c r="J1367" s="64"/>
      <c r="K1367" s="64"/>
      <c r="L1367" s="64"/>
    </row>
    <row r="1368" ht="16.5" customHeight="1">
      <c r="A1368" s="64"/>
      <c r="B1368" s="80" t="s">
        <v>18249</v>
      </c>
      <c r="C1368" s="81" t="str">
        <f>IFERROR(__xludf.DUMMYFUNCTION("""COMPUTED_VALUE"""),"bozenaduba")</f>
        <v>bozenaduba</v>
      </c>
      <c r="D1368" s="75">
        <f>IFERROR(__xludf.DUMMYFUNCTION("""COMPUTED_VALUE"""),0.0)</f>
        <v>0</v>
      </c>
      <c r="E1368" s="64"/>
      <c r="F1368" s="95"/>
      <c r="G1368" s="96"/>
      <c r="H1368" s="64"/>
      <c r="I1368" s="64"/>
      <c r="J1368" s="64"/>
      <c r="K1368" s="64"/>
      <c r="L1368" s="64"/>
    </row>
    <row r="1369" ht="16.5" customHeight="1">
      <c r="A1369" s="64"/>
      <c r="B1369" s="80" t="s">
        <v>18249</v>
      </c>
      <c r="C1369" s="81" t="str">
        <f>IFERROR(__xludf.DUMMYFUNCTION("""COMPUTED_VALUE"""),"brendanno3")</f>
        <v>brendanno3</v>
      </c>
      <c r="D1369" s="75">
        <f>IFERROR(__xludf.DUMMYFUNCTION("""COMPUTED_VALUE"""),0.0)</f>
        <v>0</v>
      </c>
      <c r="E1369" s="64"/>
      <c r="F1369" s="95"/>
      <c r="G1369" s="96"/>
      <c r="H1369" s="64"/>
      <c r="I1369" s="64"/>
      <c r="J1369" s="64"/>
      <c r="K1369" s="64"/>
      <c r="L1369" s="64"/>
    </row>
    <row r="1370" ht="16.5" customHeight="1">
      <c r="A1370" s="64"/>
      <c r="B1370" s="80" t="s">
        <v>18249</v>
      </c>
      <c r="C1370" s="81" t="str">
        <f>IFERROR(__xludf.DUMMYFUNCTION("""COMPUTED_VALUE"""),"brennig")</f>
        <v>brennig</v>
      </c>
      <c r="D1370" s="75">
        <f>IFERROR(__xludf.DUMMYFUNCTION("""COMPUTED_VALUE"""),0.0)</f>
        <v>0</v>
      </c>
      <c r="E1370" s="64"/>
      <c r="F1370" s="95"/>
      <c r="G1370" s="96"/>
      <c r="H1370" s="64"/>
      <c r="I1370" s="64"/>
      <c r="J1370" s="64"/>
      <c r="K1370" s="64"/>
      <c r="L1370" s="64"/>
    </row>
    <row r="1371" ht="16.5" customHeight="1">
      <c r="A1371" s="64"/>
      <c r="B1371" s="80" t="s">
        <v>18249</v>
      </c>
      <c r="C1371" s="81" t="str">
        <f>IFERROR(__xludf.DUMMYFUNCTION("""COMPUTED_VALUE"""),"bridgetwilcox")</f>
        <v>bridgetwilcox</v>
      </c>
      <c r="D1371" s="75">
        <f>IFERROR(__xludf.DUMMYFUNCTION("""COMPUTED_VALUE"""),0.0)</f>
        <v>0</v>
      </c>
      <c r="E1371" s="64"/>
      <c r="F1371" s="95"/>
      <c r="G1371" s="96"/>
      <c r="H1371" s="64"/>
      <c r="I1371" s="64"/>
      <c r="J1371" s="64"/>
      <c r="K1371" s="64"/>
      <c r="L1371" s="64"/>
    </row>
    <row r="1372" ht="16.5" customHeight="1">
      <c r="A1372" s="64"/>
      <c r="B1372" s="80" t="s">
        <v>18249</v>
      </c>
      <c r="C1372" s="81" t="str">
        <f>IFERROR(__xludf.DUMMYFUNCTION("""COMPUTED_VALUE"""),"brightonianmiss")</f>
        <v>brightonianmiss</v>
      </c>
      <c r="D1372" s="75">
        <f>IFERROR(__xludf.DUMMYFUNCTION("""COMPUTED_VALUE"""),0.0)</f>
        <v>0</v>
      </c>
      <c r="E1372" s="64"/>
      <c r="F1372" s="95"/>
      <c r="G1372" s="96"/>
      <c r="H1372" s="64"/>
      <c r="I1372" s="64"/>
      <c r="J1372" s="64"/>
      <c r="K1372" s="64"/>
      <c r="L1372" s="64"/>
    </row>
    <row r="1373" ht="16.5" customHeight="1">
      <c r="A1373" s="64"/>
      <c r="B1373" s="80" t="s">
        <v>18249</v>
      </c>
      <c r="C1373" s="81" t="str">
        <f>IFERROR(__xludf.DUMMYFUNCTION("""COMPUTED_VALUE"""),"brightonwarren")</f>
        <v>brightonwarren</v>
      </c>
      <c r="D1373" s="75">
        <f>IFERROR(__xludf.DUMMYFUNCTION("""COMPUTED_VALUE"""),0.0)</f>
        <v>0</v>
      </c>
      <c r="E1373" s="64"/>
      <c r="F1373" s="95"/>
      <c r="G1373" s="96"/>
      <c r="H1373" s="64"/>
      <c r="I1373" s="64"/>
      <c r="J1373" s="64"/>
      <c r="K1373" s="64"/>
      <c r="L1373" s="64"/>
    </row>
    <row r="1374" ht="16.5" customHeight="1">
      <c r="A1374" s="64"/>
      <c r="B1374" s="80" t="s">
        <v>18249</v>
      </c>
      <c r="C1374" s="81" t="str">
        <f>IFERROR(__xludf.DUMMYFUNCTION("""COMPUTED_VALUE"""),"bronwen_brown1")</f>
        <v>bronwen_brown1</v>
      </c>
      <c r="D1374" s="75">
        <f>IFERROR(__xludf.DUMMYFUNCTION("""COMPUTED_VALUE"""),0.0)</f>
        <v>0</v>
      </c>
      <c r="E1374" s="64"/>
      <c r="F1374" s="95"/>
      <c r="G1374" s="96"/>
      <c r="H1374" s="64"/>
      <c r="I1374" s="64"/>
      <c r="J1374" s="64"/>
      <c r="K1374" s="64"/>
      <c r="L1374" s="64"/>
    </row>
    <row r="1375" ht="16.5" customHeight="1">
      <c r="A1375" s="64"/>
      <c r="B1375" s="80" t="s">
        <v>18249</v>
      </c>
      <c r="C1375" s="81" t="str">
        <f>IFERROR(__xludf.DUMMYFUNCTION("""COMPUTED_VALUE"""),"bronwengwriter")</f>
        <v>bronwengwriter</v>
      </c>
      <c r="D1375" s="75">
        <f>IFERROR(__xludf.DUMMYFUNCTION("""COMPUTED_VALUE"""),0.0)</f>
        <v>0</v>
      </c>
      <c r="E1375" s="64"/>
      <c r="F1375" s="95"/>
      <c r="G1375" s="96"/>
      <c r="H1375" s="64"/>
      <c r="I1375" s="64"/>
      <c r="J1375" s="64"/>
      <c r="K1375" s="64"/>
      <c r="L1375" s="64"/>
    </row>
    <row r="1376" ht="16.5" customHeight="1">
      <c r="A1376" s="64"/>
      <c r="B1376" s="80" t="s">
        <v>18249</v>
      </c>
      <c r="C1376" s="81" t="str">
        <f>IFERROR(__xludf.DUMMYFUNCTION("""COMPUTED_VALUE"""),"bronzearethusa")</f>
        <v>bronzearethusa</v>
      </c>
      <c r="D1376" s="75">
        <f>IFERROR(__xludf.DUMMYFUNCTION("""COMPUTED_VALUE"""),0.0)</f>
        <v>0</v>
      </c>
      <c r="E1376" s="64"/>
      <c r="F1376" s="95"/>
      <c r="G1376" s="96"/>
      <c r="H1376" s="64"/>
      <c r="I1376" s="64"/>
      <c r="J1376" s="64"/>
      <c r="K1376" s="64"/>
      <c r="L1376" s="64"/>
    </row>
    <row r="1377" ht="16.5" customHeight="1">
      <c r="A1377" s="64"/>
      <c r="B1377" s="80" t="s">
        <v>18249</v>
      </c>
      <c r="C1377" s="81" t="str">
        <f>IFERROR(__xludf.DUMMYFUNCTION("""COMPUTED_VALUE"""),"brotherguerilla")</f>
        <v>brotherguerilla</v>
      </c>
      <c r="D1377" s="75">
        <f>IFERROR(__xludf.DUMMYFUNCTION("""COMPUTED_VALUE"""),0.0)</f>
        <v>0</v>
      </c>
      <c r="E1377" s="64"/>
      <c r="F1377" s="95"/>
      <c r="G1377" s="96"/>
      <c r="H1377" s="64"/>
      <c r="I1377" s="64"/>
      <c r="J1377" s="64"/>
      <c r="K1377" s="64"/>
      <c r="L1377" s="64"/>
    </row>
    <row r="1378" ht="16.5" customHeight="1">
      <c r="A1378" s="64"/>
      <c r="B1378" s="80" t="s">
        <v>18249</v>
      </c>
      <c r="C1378" s="81" t="str">
        <f>IFERROR(__xludf.DUMMYFUNCTION("""COMPUTED_VALUE"""),"burdish")</f>
        <v>burdish</v>
      </c>
      <c r="D1378" s="75">
        <f>IFERROR(__xludf.DUMMYFUNCTION("""COMPUTED_VALUE"""),0.0)</f>
        <v>0</v>
      </c>
      <c r="E1378" s="64"/>
      <c r="F1378" s="95"/>
      <c r="G1378" s="96"/>
      <c r="H1378" s="64"/>
      <c r="I1378" s="64"/>
      <c r="J1378" s="64"/>
      <c r="K1378" s="64"/>
      <c r="L1378" s="64"/>
    </row>
    <row r="1379" ht="16.5" customHeight="1">
      <c r="A1379" s="64"/>
      <c r="B1379" s="80" t="s">
        <v>18249</v>
      </c>
      <c r="C1379" s="81" t="str">
        <f>IFERROR(__xludf.DUMMYFUNCTION("""COMPUTED_VALUE"""),"busby_lilian")</f>
        <v>busby_lilian</v>
      </c>
      <c r="D1379" s="75">
        <f>IFERROR(__xludf.DUMMYFUNCTION("""COMPUTED_VALUE"""),0.0)</f>
        <v>0</v>
      </c>
      <c r="E1379" s="64"/>
      <c r="F1379" s="95"/>
      <c r="G1379" s="96"/>
      <c r="H1379" s="64"/>
      <c r="I1379" s="64"/>
      <c r="J1379" s="64"/>
      <c r="K1379" s="64"/>
      <c r="L1379" s="64"/>
    </row>
    <row r="1380" ht="16.5" customHeight="1">
      <c r="A1380" s="64"/>
      <c r="B1380" s="80" t="s">
        <v>18249</v>
      </c>
      <c r="C1380" s="81" t="str">
        <f>IFERROR(__xludf.DUMMYFUNCTION("""COMPUTED_VALUE"""),"buy1_best")</f>
        <v>buy1_best</v>
      </c>
      <c r="D1380" s="75">
        <f>IFERROR(__xludf.DUMMYFUNCTION("""COMPUTED_VALUE"""),0.0)</f>
        <v>0</v>
      </c>
      <c r="E1380" s="64"/>
      <c r="F1380" s="95"/>
      <c r="G1380" s="96"/>
      <c r="H1380" s="64"/>
      <c r="I1380" s="64"/>
      <c r="J1380" s="64"/>
      <c r="K1380" s="64"/>
      <c r="L1380" s="64"/>
    </row>
    <row r="1381" ht="16.5" customHeight="1">
      <c r="A1381" s="64"/>
      <c r="B1381" s="80" t="s">
        <v>18249</v>
      </c>
      <c r="C1381" s="81" t="str">
        <f>IFERROR(__xludf.DUMMYFUNCTION("""COMPUTED_VALUE"""),"bwmoles")</f>
        <v>bwmoles</v>
      </c>
      <c r="D1381" s="75">
        <f>IFERROR(__xludf.DUMMYFUNCTION("""COMPUTED_VALUE"""),0.0)</f>
        <v>0</v>
      </c>
      <c r="E1381" s="64"/>
      <c r="F1381" s="95"/>
      <c r="G1381" s="96"/>
      <c r="H1381" s="64"/>
      <c r="I1381" s="64"/>
      <c r="J1381" s="64"/>
      <c r="K1381" s="64"/>
      <c r="L1381" s="64"/>
    </row>
    <row r="1382" ht="16.5" customHeight="1">
      <c r="A1382" s="64"/>
      <c r="B1382" s="80" t="s">
        <v>18249</v>
      </c>
      <c r="C1382" s="81" t="str">
        <f>IFERROR(__xludf.DUMMYFUNCTION("""COMPUTED_VALUE"""),"bwrthesquirrel")</f>
        <v>bwrthesquirrel</v>
      </c>
      <c r="D1382" s="75">
        <f>IFERROR(__xludf.DUMMYFUNCTION("""COMPUTED_VALUE"""),0.0)</f>
        <v>0</v>
      </c>
      <c r="E1382" s="64"/>
      <c r="F1382" s="95"/>
      <c r="G1382" s="96"/>
      <c r="H1382" s="64"/>
      <c r="I1382" s="64"/>
      <c r="J1382" s="64"/>
      <c r="K1382" s="64"/>
      <c r="L1382" s="64"/>
    </row>
    <row r="1383" ht="16.5" customHeight="1">
      <c r="A1383" s="64"/>
      <c r="B1383" s="80" t="s">
        <v>18249</v>
      </c>
      <c r="C1383" s="81" t="str">
        <f>IFERROR(__xludf.DUMMYFUNCTION("""COMPUTED_VALUE"""),"cai43245335")</f>
        <v>cai43245335</v>
      </c>
      <c r="D1383" s="75">
        <f>IFERROR(__xludf.DUMMYFUNCTION("""COMPUTED_VALUE"""),0.0)</f>
        <v>0</v>
      </c>
      <c r="E1383" s="64"/>
      <c r="F1383" s="95"/>
      <c r="G1383" s="96"/>
      <c r="H1383" s="64"/>
      <c r="I1383" s="64"/>
      <c r="J1383" s="64"/>
      <c r="K1383" s="64"/>
      <c r="L1383" s="64"/>
    </row>
    <row r="1384" ht="16.5" customHeight="1">
      <c r="A1384" s="64"/>
      <c r="B1384" s="80" t="s">
        <v>18249</v>
      </c>
      <c r="C1384" s="81" t="str">
        <f>IFERROR(__xludf.DUMMYFUNCTION("""COMPUTED_VALUE"""),"cairnrobin")</f>
        <v>cairnrobin</v>
      </c>
      <c r="D1384" s="75">
        <f>IFERROR(__xludf.DUMMYFUNCTION("""COMPUTED_VALUE"""),0.0)</f>
        <v>0</v>
      </c>
      <c r="E1384" s="64"/>
      <c r="F1384" s="95"/>
      <c r="G1384" s="96"/>
      <c r="H1384" s="64"/>
      <c r="I1384" s="64"/>
      <c r="J1384" s="64"/>
      <c r="K1384" s="64"/>
      <c r="L1384" s="64"/>
    </row>
    <row r="1385" ht="16.5" customHeight="1">
      <c r="A1385" s="64"/>
      <c r="B1385" s="80" t="s">
        <v>18249</v>
      </c>
      <c r="C1385" s="81" t="str">
        <f>IFERROR(__xludf.DUMMYFUNCTION("""COMPUTED_VALUE"""),"cardiff_martian")</f>
        <v>cardiff_martian</v>
      </c>
      <c r="D1385" s="75">
        <f>IFERROR(__xludf.DUMMYFUNCTION("""COMPUTED_VALUE"""),0.0)</f>
        <v>0</v>
      </c>
      <c r="E1385" s="64"/>
      <c r="F1385" s="95"/>
      <c r="G1385" s="96"/>
      <c r="H1385" s="64"/>
      <c r="I1385" s="64"/>
      <c r="J1385" s="64"/>
      <c r="K1385" s="64"/>
      <c r="L1385" s="64"/>
    </row>
    <row r="1386" ht="16.5" customHeight="1">
      <c r="A1386" s="64"/>
      <c r="B1386" s="80" t="s">
        <v>18249</v>
      </c>
      <c r="C1386" s="81" t="str">
        <f>IFERROR(__xludf.DUMMYFUNCTION("""COMPUTED_VALUE"""),"carol_falaki")</f>
        <v>carol_falaki</v>
      </c>
      <c r="D1386" s="75">
        <f>IFERROR(__xludf.DUMMYFUNCTION("""COMPUTED_VALUE"""),0.0)</f>
        <v>0</v>
      </c>
      <c r="E1386" s="64"/>
      <c r="F1386" s="95"/>
      <c r="G1386" s="96"/>
      <c r="H1386" s="64"/>
      <c r="I1386" s="64"/>
      <c r="J1386" s="64"/>
      <c r="K1386" s="64"/>
      <c r="L1386" s="64"/>
    </row>
    <row r="1387" ht="16.5" customHeight="1">
      <c r="A1387" s="64"/>
      <c r="B1387" s="80" t="s">
        <v>18249</v>
      </c>
      <c r="C1387" s="81" t="str">
        <f>IFERROR(__xludf.DUMMYFUNCTION("""COMPUTED_VALUE"""),"carolgately")</f>
        <v>carolgately</v>
      </c>
      <c r="D1387" s="75">
        <f>IFERROR(__xludf.DUMMYFUNCTION("""COMPUTED_VALUE"""),0.0)</f>
        <v>0</v>
      </c>
      <c r="E1387" s="64"/>
      <c r="F1387" s="95"/>
      <c r="G1387" s="96"/>
      <c r="H1387" s="64"/>
      <c r="I1387" s="64"/>
      <c r="J1387" s="64"/>
      <c r="K1387" s="64"/>
      <c r="L1387" s="64"/>
    </row>
    <row r="1388" ht="16.5" customHeight="1">
      <c r="A1388" s="64"/>
      <c r="B1388" s="80" t="s">
        <v>18249</v>
      </c>
      <c r="C1388" s="81" t="str">
        <f>IFERROR(__xludf.DUMMYFUNCTION("""COMPUTED_VALUE"""),"carolyndare")</f>
        <v>carolyndare</v>
      </c>
      <c r="D1388" s="75">
        <f>IFERROR(__xludf.DUMMYFUNCTION("""COMPUTED_VALUE"""),0.0)</f>
        <v>0</v>
      </c>
      <c r="E1388" s="64"/>
      <c r="F1388" s="95"/>
      <c r="G1388" s="96"/>
      <c r="H1388" s="64"/>
      <c r="I1388" s="64"/>
      <c r="J1388" s="64"/>
      <c r="K1388" s="64"/>
      <c r="L1388" s="64"/>
    </row>
    <row r="1389" ht="16.5" customHeight="1">
      <c r="A1389" s="64"/>
      <c r="B1389" s="80" t="s">
        <v>18249</v>
      </c>
      <c r="C1389" s="81" t="str">
        <f>IFERROR(__xludf.DUMMYFUNCTION("""COMPUTED_VALUE"""),"castervaria")</f>
        <v>castervaria</v>
      </c>
      <c r="D1389" s="75">
        <f>IFERROR(__xludf.DUMMYFUNCTION("""COMPUTED_VALUE"""),0.0)</f>
        <v>0</v>
      </c>
      <c r="E1389" s="64"/>
      <c r="F1389" s="95"/>
      <c r="G1389" s="96"/>
      <c r="H1389" s="64"/>
      <c r="I1389" s="64"/>
      <c r="J1389" s="64"/>
      <c r="K1389" s="64"/>
      <c r="L1389" s="64"/>
    </row>
    <row r="1390" ht="16.5" customHeight="1">
      <c r="A1390" s="64"/>
      <c r="B1390" s="80" t="s">
        <v>18249</v>
      </c>
      <c r="C1390" s="81" t="str">
        <f>IFERROR(__xludf.DUMMYFUNCTION("""COMPUTED_VALUE"""),"cathandfearne")</f>
        <v>cathandfearne</v>
      </c>
      <c r="D1390" s="75">
        <f>IFERROR(__xludf.DUMMYFUNCTION("""COMPUTED_VALUE"""),0.0)</f>
        <v>0</v>
      </c>
      <c r="E1390" s="64"/>
      <c r="F1390" s="95"/>
      <c r="G1390" s="96"/>
      <c r="H1390" s="64"/>
      <c r="I1390" s="64"/>
      <c r="J1390" s="64"/>
      <c r="K1390" s="64"/>
      <c r="L1390" s="64"/>
    </row>
    <row r="1391" ht="16.5" customHeight="1">
      <c r="A1391" s="64"/>
      <c r="B1391" s="80" t="s">
        <v>18249</v>
      </c>
      <c r="C1391" s="81" t="str">
        <f>IFERROR(__xludf.DUMMYFUNCTION("""COMPUTED_VALUE"""),"cathcart3303")</f>
        <v>cathcart3303</v>
      </c>
      <c r="D1391" s="75">
        <f>IFERROR(__xludf.DUMMYFUNCTION("""COMPUTED_VALUE"""),0.0)</f>
        <v>0</v>
      </c>
      <c r="E1391" s="64"/>
      <c r="F1391" s="95"/>
      <c r="G1391" s="96"/>
      <c r="H1391" s="64"/>
      <c r="I1391" s="64"/>
      <c r="J1391" s="64"/>
      <c r="K1391" s="64"/>
      <c r="L1391" s="64"/>
    </row>
    <row r="1392" ht="16.5" customHeight="1">
      <c r="A1392" s="64"/>
      <c r="B1392" s="80" t="s">
        <v>18249</v>
      </c>
      <c r="C1392" s="81" t="str">
        <f>IFERROR(__xludf.DUMMYFUNCTION("""COMPUTED_VALUE"""),"catherinemc40")</f>
        <v>catherinemc40</v>
      </c>
      <c r="D1392" s="75">
        <f>IFERROR(__xludf.DUMMYFUNCTION("""COMPUTED_VALUE"""),0.0)</f>
        <v>0</v>
      </c>
      <c r="E1392" s="64"/>
      <c r="F1392" s="95"/>
      <c r="G1392" s="96"/>
      <c r="H1392" s="64"/>
      <c r="I1392" s="64"/>
      <c r="J1392" s="64"/>
      <c r="K1392" s="64"/>
      <c r="L1392" s="64"/>
    </row>
    <row r="1393" ht="16.5" customHeight="1">
      <c r="A1393" s="64"/>
      <c r="B1393" s="80" t="s">
        <v>18249</v>
      </c>
      <c r="C1393" s="81" t="str">
        <f>IFERROR(__xludf.DUMMYFUNCTION("""COMPUTED_VALUE"""),"cathie_wood")</f>
        <v>cathie_wood</v>
      </c>
      <c r="D1393" s="75">
        <f>IFERROR(__xludf.DUMMYFUNCTION("""COMPUTED_VALUE"""),0.0)</f>
        <v>0</v>
      </c>
      <c r="E1393" s="64"/>
      <c r="F1393" s="95"/>
      <c r="G1393" s="96"/>
      <c r="H1393" s="64"/>
      <c r="I1393" s="64"/>
      <c r="J1393" s="64"/>
      <c r="K1393" s="64"/>
      <c r="L1393" s="64"/>
    </row>
    <row r="1394" ht="16.5" customHeight="1">
      <c r="A1394" s="64"/>
      <c r="B1394" s="80" t="s">
        <v>18249</v>
      </c>
      <c r="C1394" s="81" t="str">
        <f>IFERROR(__xludf.DUMMYFUNCTION("""COMPUTED_VALUE"""),"cathybertram")</f>
        <v>cathybertram</v>
      </c>
      <c r="D1394" s="75">
        <f>IFERROR(__xludf.DUMMYFUNCTION("""COMPUTED_VALUE"""),0.0)</f>
        <v>0</v>
      </c>
      <c r="E1394" s="64"/>
      <c r="F1394" s="95"/>
      <c r="G1394" s="96"/>
      <c r="H1394" s="64"/>
      <c r="I1394" s="64"/>
      <c r="J1394" s="64"/>
      <c r="K1394" s="64"/>
      <c r="L1394" s="64"/>
    </row>
    <row r="1395" ht="16.5" customHeight="1">
      <c r="A1395" s="64"/>
      <c r="B1395" s="80" t="s">
        <v>18249</v>
      </c>
      <c r="C1395" s="81" t="str">
        <f>IFERROR(__xludf.DUMMYFUNCTION("""COMPUTED_VALUE"""),"catwoman1979")</f>
        <v>catwoman1979</v>
      </c>
      <c r="D1395" s="75">
        <f>IFERROR(__xludf.DUMMYFUNCTION("""COMPUTED_VALUE"""),0.0)</f>
        <v>0</v>
      </c>
      <c r="E1395" s="64"/>
      <c r="F1395" s="95"/>
      <c r="G1395" s="96"/>
      <c r="H1395" s="64"/>
      <c r="I1395" s="64"/>
      <c r="J1395" s="64"/>
      <c r="K1395" s="64"/>
      <c r="L1395" s="64"/>
    </row>
    <row r="1396" ht="16.5" customHeight="1">
      <c r="A1396" s="64"/>
      <c r="B1396" s="80" t="s">
        <v>18249</v>
      </c>
      <c r="C1396" s="81" t="str">
        <f>IFERROR(__xludf.DUMMYFUNCTION("""COMPUTED_VALUE"""),"caz5697")</f>
        <v>caz5697</v>
      </c>
      <c r="D1396" s="75">
        <f>IFERROR(__xludf.DUMMYFUNCTION("""COMPUTED_VALUE"""),0.0)</f>
        <v>0</v>
      </c>
      <c r="E1396" s="64"/>
      <c r="F1396" s="95"/>
      <c r="G1396" s="96"/>
      <c r="H1396" s="64"/>
      <c r="I1396" s="64"/>
      <c r="J1396" s="64"/>
      <c r="K1396" s="64"/>
      <c r="L1396" s="64"/>
    </row>
    <row r="1397" ht="16.5" customHeight="1">
      <c r="A1397" s="64"/>
      <c r="B1397" s="80" t="s">
        <v>18249</v>
      </c>
      <c r="C1397" s="81" t="str">
        <f>IFERROR(__xludf.DUMMYFUNCTION("""COMPUTED_VALUE"""),"cbjhunter")</f>
        <v>cbjhunter</v>
      </c>
      <c r="D1397" s="75">
        <f>IFERROR(__xludf.DUMMYFUNCTION("""COMPUTED_VALUE"""),0.0)</f>
        <v>0</v>
      </c>
      <c r="E1397" s="64"/>
      <c r="F1397" s="95"/>
      <c r="G1397" s="96"/>
      <c r="H1397" s="64"/>
      <c r="I1397" s="64"/>
      <c r="J1397" s="64"/>
      <c r="K1397" s="64"/>
      <c r="L1397" s="64"/>
    </row>
    <row r="1398" ht="16.5" customHeight="1">
      <c r="A1398" s="64"/>
      <c r="B1398" s="80" t="s">
        <v>18249</v>
      </c>
      <c r="C1398" s="81" t="str">
        <f>IFERROR(__xludf.DUMMYFUNCTION("""COMPUTED_VALUE"""),"cbreretonartist")</f>
        <v>cbreretonartist</v>
      </c>
      <c r="D1398" s="75">
        <f>IFERROR(__xludf.DUMMYFUNCTION("""COMPUTED_VALUE"""),0.0)</f>
        <v>0</v>
      </c>
      <c r="E1398" s="64"/>
      <c r="F1398" s="95"/>
      <c r="G1398" s="96"/>
      <c r="H1398" s="64"/>
      <c r="I1398" s="64"/>
      <c r="J1398" s="64"/>
      <c r="K1398" s="64"/>
      <c r="L1398" s="64"/>
    </row>
    <row r="1399" ht="16.5" customHeight="1">
      <c r="A1399" s="64"/>
      <c r="B1399" s="80" t="s">
        <v>18249</v>
      </c>
      <c r="C1399" s="81" t="str">
        <f>IFERROR(__xludf.DUMMYFUNCTION("""COMPUTED_VALUE"""),"cedge_mbe")</f>
        <v>cedge_mbe</v>
      </c>
      <c r="D1399" s="75">
        <f>IFERROR(__xludf.DUMMYFUNCTION("""COMPUTED_VALUE"""),0.0)</f>
        <v>0</v>
      </c>
      <c r="E1399" s="64"/>
      <c r="F1399" s="95"/>
      <c r="G1399" s="96"/>
      <c r="H1399" s="64"/>
      <c r="I1399" s="64"/>
      <c r="J1399" s="64"/>
      <c r="K1399" s="64"/>
      <c r="L1399" s="64"/>
    </row>
    <row r="1400" ht="16.5" customHeight="1">
      <c r="A1400" s="64"/>
      <c r="B1400" s="80" t="s">
        <v>18249</v>
      </c>
      <c r="C1400" s="81" t="str">
        <f>IFERROR(__xludf.DUMMYFUNCTION("""COMPUTED_VALUE"""),"chanavox")</f>
        <v>chanavox</v>
      </c>
      <c r="D1400" s="75">
        <f>IFERROR(__xludf.DUMMYFUNCTION("""COMPUTED_VALUE"""),0.0)</f>
        <v>0</v>
      </c>
      <c r="E1400" s="64"/>
      <c r="F1400" s="95"/>
      <c r="G1400" s="96"/>
      <c r="H1400" s="64"/>
      <c r="I1400" s="64"/>
      <c r="J1400" s="64"/>
      <c r="K1400" s="64"/>
      <c r="L1400" s="64"/>
    </row>
    <row r="1401" ht="16.5" customHeight="1">
      <c r="A1401" s="64"/>
      <c r="B1401" s="80" t="s">
        <v>18249</v>
      </c>
      <c r="C1401" s="81" t="str">
        <f>IFERROR(__xludf.DUMMYFUNCTION("""COMPUTED_VALUE"""),"channstupot")</f>
        <v>channstupot</v>
      </c>
      <c r="D1401" s="75">
        <f>IFERROR(__xludf.DUMMYFUNCTION("""COMPUTED_VALUE"""),0.0)</f>
        <v>0</v>
      </c>
      <c r="E1401" s="64"/>
      <c r="F1401" s="95"/>
      <c r="G1401" s="96"/>
      <c r="H1401" s="64"/>
      <c r="I1401" s="64"/>
      <c r="J1401" s="64"/>
      <c r="K1401" s="64"/>
      <c r="L1401" s="64"/>
    </row>
    <row r="1402" ht="16.5" customHeight="1">
      <c r="A1402" s="64"/>
      <c r="B1402" s="80" t="s">
        <v>18249</v>
      </c>
      <c r="C1402" s="81" t="str">
        <f>IFERROR(__xludf.DUMMYFUNCTION("""COMPUTED_VALUE"""),"charlie001")</f>
        <v>charlie001</v>
      </c>
      <c r="D1402" s="75">
        <f>IFERROR(__xludf.DUMMYFUNCTION("""COMPUTED_VALUE"""),0.0)</f>
        <v>0</v>
      </c>
      <c r="E1402" s="64"/>
      <c r="F1402" s="95"/>
      <c r="G1402" s="96"/>
      <c r="H1402" s="64"/>
      <c r="I1402" s="64"/>
      <c r="J1402" s="64"/>
      <c r="K1402" s="64"/>
      <c r="L1402" s="64"/>
    </row>
    <row r="1403" ht="16.5" customHeight="1">
      <c r="A1403" s="64"/>
      <c r="B1403" s="80" t="s">
        <v>18249</v>
      </c>
      <c r="C1403" s="81" t="str">
        <f>IFERROR(__xludf.DUMMYFUNCTION("""COMPUTED_VALUE"""),"charlieosborne")</f>
        <v>charlieosborne</v>
      </c>
      <c r="D1403" s="75">
        <f>IFERROR(__xludf.DUMMYFUNCTION("""COMPUTED_VALUE"""),0.0)</f>
        <v>0</v>
      </c>
      <c r="E1403" s="64"/>
      <c r="F1403" s="95"/>
      <c r="G1403" s="96"/>
      <c r="H1403" s="64"/>
      <c r="I1403" s="64"/>
      <c r="J1403" s="64"/>
      <c r="K1403" s="64"/>
      <c r="L1403" s="64"/>
    </row>
    <row r="1404" ht="16.5" customHeight="1">
      <c r="A1404" s="64"/>
      <c r="B1404" s="80" t="s">
        <v>18249</v>
      </c>
      <c r="C1404" s="81" t="str">
        <f>IFERROR(__xludf.DUMMYFUNCTION("""COMPUTED_VALUE"""),"cheese58chat")</f>
        <v>cheese58chat</v>
      </c>
      <c r="D1404" s="75">
        <f>IFERROR(__xludf.DUMMYFUNCTION("""COMPUTED_VALUE"""),0.0)</f>
        <v>0</v>
      </c>
      <c r="E1404" s="64"/>
      <c r="F1404" s="95"/>
      <c r="G1404" s="96"/>
      <c r="H1404" s="64"/>
      <c r="I1404" s="64"/>
      <c r="J1404" s="64"/>
      <c r="K1404" s="64"/>
      <c r="L1404" s="64"/>
    </row>
    <row r="1405" ht="16.5" customHeight="1">
      <c r="A1405" s="64"/>
      <c r="B1405" s="80" t="s">
        <v>18249</v>
      </c>
      <c r="C1405" s="81" t="str">
        <f>IFERROR(__xludf.DUMMYFUNCTION("""COMPUTED_VALUE"""),"cheryl_beech")</f>
        <v>cheryl_beech</v>
      </c>
      <c r="D1405" s="75">
        <f>IFERROR(__xludf.DUMMYFUNCTION("""COMPUTED_VALUE"""),0.0)</f>
        <v>0</v>
      </c>
      <c r="E1405" s="64"/>
      <c r="F1405" s="95"/>
      <c r="G1405" s="96"/>
      <c r="H1405" s="64"/>
      <c r="I1405" s="64"/>
      <c r="J1405" s="64"/>
      <c r="K1405" s="64"/>
      <c r="L1405" s="64"/>
    </row>
    <row r="1406" ht="16.5" customHeight="1">
      <c r="A1406" s="64"/>
      <c r="B1406" s="80" t="s">
        <v>18249</v>
      </c>
      <c r="C1406" s="81" t="str">
        <f>IFERROR(__xludf.DUMMYFUNCTION("""COMPUTED_VALUE"""),"chesterwriter")</f>
        <v>chesterwriter</v>
      </c>
      <c r="D1406" s="75">
        <f>IFERROR(__xludf.DUMMYFUNCTION("""COMPUTED_VALUE"""),0.0)</f>
        <v>0</v>
      </c>
      <c r="E1406" s="64"/>
      <c r="F1406" s="95"/>
      <c r="G1406" s="96"/>
      <c r="H1406" s="64"/>
      <c r="I1406" s="64"/>
      <c r="J1406" s="64"/>
      <c r="K1406" s="64"/>
      <c r="L1406" s="64"/>
    </row>
    <row r="1407" ht="16.5" customHeight="1">
      <c r="A1407" s="64"/>
      <c r="B1407" s="80" t="s">
        <v>18249</v>
      </c>
      <c r="C1407" s="81" t="str">
        <f>IFERROR(__xludf.DUMMYFUNCTION("""COMPUTED_VALUE"""),"chestney_rose")</f>
        <v>chestney_rose</v>
      </c>
      <c r="D1407" s="75">
        <f>IFERROR(__xludf.DUMMYFUNCTION("""COMPUTED_VALUE"""),0.0)</f>
        <v>0</v>
      </c>
      <c r="E1407" s="64"/>
      <c r="F1407" s="95"/>
      <c r="G1407" s="96"/>
      <c r="H1407" s="64"/>
      <c r="I1407" s="64"/>
      <c r="J1407" s="64"/>
      <c r="K1407" s="64"/>
      <c r="L1407" s="64"/>
    </row>
    <row r="1408" ht="16.5" customHeight="1">
      <c r="A1408" s="64"/>
      <c r="B1408" s="80" t="s">
        <v>18249</v>
      </c>
      <c r="C1408" s="81" t="str">
        <f>IFERROR(__xludf.DUMMYFUNCTION("""COMPUTED_VALUE"""),"chirpychappy1")</f>
        <v>chirpychappy1</v>
      </c>
      <c r="D1408" s="75">
        <f>IFERROR(__xludf.DUMMYFUNCTION("""COMPUTED_VALUE"""),0.0)</f>
        <v>0</v>
      </c>
      <c r="E1408" s="64"/>
      <c r="F1408" s="95"/>
      <c r="G1408" s="96"/>
      <c r="H1408" s="64"/>
      <c r="I1408" s="64"/>
      <c r="J1408" s="64"/>
      <c r="K1408" s="64"/>
      <c r="L1408" s="64"/>
    </row>
    <row r="1409" ht="16.5" customHeight="1">
      <c r="A1409" s="64"/>
      <c r="B1409" s="80" t="s">
        <v>18249</v>
      </c>
      <c r="C1409" s="81" t="str">
        <f>IFERROR(__xludf.DUMMYFUNCTION("""COMPUTED_VALUE"""),"chloe4711")</f>
        <v>chloe4711</v>
      </c>
      <c r="D1409" s="75">
        <f>IFERROR(__xludf.DUMMYFUNCTION("""COMPUTED_VALUE"""),0.0)</f>
        <v>0</v>
      </c>
      <c r="E1409" s="64"/>
      <c r="F1409" s="95"/>
      <c r="G1409" s="96"/>
      <c r="H1409" s="64"/>
      <c r="I1409" s="64"/>
      <c r="J1409" s="64"/>
      <c r="K1409" s="64"/>
      <c r="L1409" s="64"/>
    </row>
    <row r="1410" ht="16.5" customHeight="1">
      <c r="A1410" s="64"/>
      <c r="B1410" s="80" t="s">
        <v>18249</v>
      </c>
      <c r="C1410" s="81" t="str">
        <f>IFERROR(__xludf.DUMMYFUNCTION("""COMPUTED_VALUE"""),"choccie_thief")</f>
        <v>choccie_thief</v>
      </c>
      <c r="D1410" s="75">
        <f>IFERROR(__xludf.DUMMYFUNCTION("""COMPUTED_VALUE"""),0.0)</f>
        <v>0</v>
      </c>
      <c r="E1410" s="64"/>
      <c r="F1410" s="95"/>
      <c r="G1410" s="96"/>
      <c r="H1410" s="64"/>
      <c r="I1410" s="64"/>
      <c r="J1410" s="64"/>
      <c r="K1410" s="64"/>
      <c r="L1410" s="64"/>
    </row>
    <row r="1411" ht="16.5" customHeight="1">
      <c r="A1411" s="64"/>
      <c r="B1411" s="80" t="s">
        <v>18249</v>
      </c>
      <c r="C1411" s="81" t="str">
        <f>IFERROR(__xludf.DUMMYFUNCTION("""COMPUTED_VALUE"""),"choor121")</f>
        <v>choor121</v>
      </c>
      <c r="D1411" s="75">
        <f>IFERROR(__xludf.DUMMYFUNCTION("""COMPUTED_VALUE"""),0.0)</f>
        <v>0</v>
      </c>
      <c r="E1411" s="64"/>
      <c r="F1411" s="95"/>
      <c r="G1411" s="96"/>
      <c r="H1411" s="64"/>
      <c r="I1411" s="64"/>
      <c r="J1411" s="64"/>
      <c r="K1411" s="64"/>
      <c r="L1411" s="64"/>
    </row>
    <row r="1412" ht="16.5" customHeight="1">
      <c r="A1412" s="64"/>
      <c r="B1412" s="80" t="s">
        <v>18249</v>
      </c>
      <c r="C1412" s="81" t="str">
        <f>IFERROR(__xludf.DUMMYFUNCTION("""COMPUTED_VALUE"""),"chrisastbury19")</f>
        <v>chrisastbury19</v>
      </c>
      <c r="D1412" s="75">
        <f>IFERROR(__xludf.DUMMYFUNCTION("""COMPUTED_VALUE"""),0.0)</f>
        <v>0</v>
      </c>
      <c r="E1412" s="64"/>
      <c r="F1412" s="95"/>
      <c r="G1412" s="96"/>
      <c r="H1412" s="64"/>
      <c r="I1412" s="64"/>
      <c r="J1412" s="64"/>
      <c r="K1412" s="64"/>
      <c r="L1412" s="64"/>
    </row>
    <row r="1413" ht="16.5" customHeight="1">
      <c r="A1413" s="64"/>
      <c r="B1413" s="80" t="s">
        <v>18249</v>
      </c>
      <c r="C1413" s="81" t="str">
        <f>IFERROR(__xludf.DUMMYFUNCTION("""COMPUTED_VALUE"""),"chrisc_kent")</f>
        <v>chrisc_kent</v>
      </c>
      <c r="D1413" s="75">
        <f>IFERROR(__xludf.DUMMYFUNCTION("""COMPUTED_VALUE"""),0.0)</f>
        <v>0</v>
      </c>
      <c r="E1413" s="64"/>
      <c r="F1413" s="95"/>
      <c r="G1413" s="96"/>
      <c r="H1413" s="64"/>
      <c r="I1413" s="64"/>
      <c r="J1413" s="64"/>
      <c r="K1413" s="64"/>
      <c r="L1413" s="64"/>
    </row>
    <row r="1414" ht="16.5" customHeight="1">
      <c r="A1414" s="64"/>
      <c r="B1414" s="80" t="s">
        <v>18249</v>
      </c>
      <c r="C1414" s="81" t="str">
        <f>IFERROR(__xludf.DUMMYFUNCTION("""COMPUTED_VALUE"""),"chriscarter1907")</f>
        <v>chriscarter1907</v>
      </c>
      <c r="D1414" s="75">
        <f>IFERROR(__xludf.DUMMYFUNCTION("""COMPUTED_VALUE"""),0.0)</f>
        <v>0</v>
      </c>
      <c r="E1414" s="64"/>
      <c r="F1414" s="95"/>
      <c r="G1414" s="96"/>
      <c r="H1414" s="64"/>
      <c r="I1414" s="64"/>
      <c r="J1414" s="64"/>
      <c r="K1414" s="64"/>
      <c r="L1414" s="64"/>
    </row>
    <row r="1415" ht="16.5" customHeight="1">
      <c r="A1415" s="64"/>
      <c r="B1415" s="80" t="s">
        <v>18249</v>
      </c>
      <c r="C1415" s="81" t="str">
        <f>IFERROR(__xludf.DUMMYFUNCTION("""COMPUTED_VALUE"""),"chrismayLU")</f>
        <v>chrismayLU</v>
      </c>
      <c r="D1415" s="75">
        <f>IFERROR(__xludf.DUMMYFUNCTION("""COMPUTED_VALUE"""),0.0)</f>
        <v>0</v>
      </c>
      <c r="E1415" s="64"/>
      <c r="F1415" s="95"/>
      <c r="G1415" s="96"/>
      <c r="H1415" s="64"/>
      <c r="I1415" s="64"/>
      <c r="J1415" s="64"/>
      <c r="K1415" s="64"/>
      <c r="L1415" s="64"/>
    </row>
    <row r="1416" ht="16.5" customHeight="1">
      <c r="A1416" s="64"/>
      <c r="B1416" s="80" t="s">
        <v>18249</v>
      </c>
      <c r="C1416" s="81" t="str">
        <f>IFERROR(__xludf.DUMMYFUNCTION("""COMPUTED_VALUE"""),"chrismilne69")</f>
        <v>chrismilne69</v>
      </c>
      <c r="D1416" s="75">
        <f>IFERROR(__xludf.DUMMYFUNCTION("""COMPUTED_VALUE"""),0.0)</f>
        <v>0</v>
      </c>
      <c r="E1416" s="64"/>
      <c r="F1416" s="95"/>
      <c r="G1416" s="96"/>
      <c r="H1416" s="64"/>
      <c r="I1416" s="64"/>
      <c r="J1416" s="64"/>
      <c r="K1416" s="64"/>
      <c r="L1416" s="64"/>
    </row>
    <row r="1417" ht="16.5" customHeight="1">
      <c r="A1417" s="64"/>
      <c r="B1417" s="80" t="s">
        <v>18249</v>
      </c>
      <c r="C1417" s="81" t="str">
        <f>IFERROR(__xludf.DUMMYFUNCTION("""COMPUTED_VALUE"""),"chrissiros")</f>
        <v>chrissiros</v>
      </c>
      <c r="D1417" s="75">
        <f>IFERROR(__xludf.DUMMYFUNCTION("""COMPUTED_VALUE"""),0.0)</f>
        <v>0</v>
      </c>
      <c r="E1417" s="64"/>
      <c r="F1417" s="95"/>
      <c r="G1417" s="96"/>
      <c r="H1417" s="64"/>
      <c r="I1417" s="64"/>
      <c r="J1417" s="64"/>
      <c r="K1417" s="64"/>
      <c r="L1417" s="64"/>
    </row>
    <row r="1418" ht="16.5" customHeight="1">
      <c r="A1418" s="64"/>
      <c r="B1418" s="80" t="s">
        <v>18249</v>
      </c>
      <c r="C1418" s="81" t="str">
        <f>IFERROR(__xludf.DUMMYFUNCTION("""COMPUTED_VALUE"""),"christine998")</f>
        <v>christine998</v>
      </c>
      <c r="D1418" s="75">
        <f>IFERROR(__xludf.DUMMYFUNCTION("""COMPUTED_VALUE"""),0.0)</f>
        <v>0</v>
      </c>
      <c r="E1418" s="64"/>
      <c r="F1418" s="95"/>
      <c r="G1418" s="96"/>
      <c r="H1418" s="64"/>
      <c r="I1418" s="64"/>
      <c r="J1418" s="64"/>
      <c r="K1418" s="64"/>
      <c r="L1418" s="64"/>
    </row>
    <row r="1419" ht="16.5" customHeight="1">
      <c r="A1419" s="64"/>
      <c r="B1419" s="80" t="s">
        <v>18249</v>
      </c>
      <c r="C1419" s="81" t="str">
        <f>IFERROR(__xludf.DUMMYFUNCTION("""COMPUTED_VALUE"""),"chriswalford")</f>
        <v>chriswalford</v>
      </c>
      <c r="D1419" s="75">
        <f>IFERROR(__xludf.DUMMYFUNCTION("""COMPUTED_VALUE"""),0.0)</f>
        <v>0</v>
      </c>
      <c r="E1419" s="64"/>
      <c r="F1419" s="95"/>
      <c r="G1419" s="96"/>
      <c r="H1419" s="64"/>
      <c r="I1419" s="64"/>
      <c r="J1419" s="64"/>
      <c r="K1419" s="64"/>
      <c r="L1419" s="64"/>
    </row>
    <row r="1420" ht="16.5" customHeight="1">
      <c r="A1420" s="64"/>
      <c r="B1420" s="80" t="s">
        <v>18249</v>
      </c>
      <c r="C1420" s="81" t="str">
        <f>IFERROR(__xludf.DUMMYFUNCTION("""COMPUTED_VALUE"""),"chrysha22")</f>
        <v>chrysha22</v>
      </c>
      <c r="D1420" s="75">
        <f>IFERROR(__xludf.DUMMYFUNCTION("""COMPUTED_VALUE"""),0.0)</f>
        <v>0</v>
      </c>
      <c r="E1420" s="64"/>
      <c r="F1420" s="95"/>
      <c r="G1420" s="96"/>
      <c r="H1420" s="64"/>
      <c r="I1420" s="64"/>
      <c r="J1420" s="64"/>
      <c r="K1420" s="64"/>
      <c r="L1420" s="64"/>
    </row>
    <row r="1421" ht="16.5" customHeight="1">
      <c r="A1421" s="64"/>
      <c r="B1421" s="80" t="s">
        <v>18249</v>
      </c>
      <c r="C1421" s="81" t="str">
        <f>IFERROR(__xludf.DUMMYFUNCTION("""COMPUTED_VALUE"""),"clairerendall1")</f>
        <v>clairerendall1</v>
      </c>
      <c r="D1421" s="75">
        <f>IFERROR(__xludf.DUMMYFUNCTION("""COMPUTED_VALUE"""),0.0)</f>
        <v>0</v>
      </c>
      <c r="E1421" s="64"/>
      <c r="F1421" s="95"/>
      <c r="G1421" s="96"/>
      <c r="H1421" s="64"/>
      <c r="I1421" s="64"/>
      <c r="J1421" s="64"/>
      <c r="K1421" s="64"/>
      <c r="L1421" s="64"/>
    </row>
    <row r="1422" ht="16.5" customHeight="1">
      <c r="A1422" s="64"/>
      <c r="B1422" s="80" t="s">
        <v>18249</v>
      </c>
      <c r="C1422" s="81" t="str">
        <f>IFERROR(__xludf.DUMMYFUNCTION("""COMPUTED_VALUE"""),"claregrove01")</f>
        <v>claregrove01</v>
      </c>
      <c r="D1422" s="75">
        <f>IFERROR(__xludf.DUMMYFUNCTION("""COMPUTED_VALUE"""),0.0)</f>
        <v>0</v>
      </c>
      <c r="E1422" s="64"/>
      <c r="F1422" s="95"/>
      <c r="G1422" s="96"/>
      <c r="H1422" s="64"/>
      <c r="I1422" s="64"/>
      <c r="J1422" s="64"/>
      <c r="K1422" s="64"/>
      <c r="L1422" s="64"/>
    </row>
    <row r="1423" ht="16.5" customHeight="1">
      <c r="A1423" s="64"/>
      <c r="B1423" s="80" t="s">
        <v>18249</v>
      </c>
      <c r="C1423" s="81" t="str">
        <f>IFERROR(__xludf.DUMMYFUNCTION("""COMPUTED_VALUE"""),"cllr_nardelli")</f>
        <v>cllr_nardelli</v>
      </c>
      <c r="D1423" s="75">
        <f>IFERROR(__xludf.DUMMYFUNCTION("""COMPUTED_VALUE"""),0.0)</f>
        <v>0</v>
      </c>
      <c r="E1423" s="64"/>
      <c r="F1423" s="95"/>
      <c r="G1423" s="96"/>
      <c r="H1423" s="64"/>
      <c r="I1423" s="64"/>
      <c r="J1423" s="64"/>
      <c r="K1423" s="64"/>
      <c r="L1423" s="64"/>
    </row>
    <row r="1424" ht="16.5" customHeight="1">
      <c r="A1424" s="64"/>
      <c r="B1424" s="80" t="s">
        <v>18249</v>
      </c>
      <c r="C1424" s="81" t="str">
        <f>IFERROR(__xludf.DUMMYFUNCTION("""COMPUTED_VALUE"""),"cmurphymurray")</f>
        <v>cmurphymurray</v>
      </c>
      <c r="D1424" s="75">
        <f>IFERROR(__xludf.DUMMYFUNCTION("""COMPUTED_VALUE"""),0.0)</f>
        <v>0</v>
      </c>
      <c r="E1424" s="64"/>
      <c r="F1424" s="95"/>
      <c r="G1424" s="96"/>
      <c r="H1424" s="64"/>
      <c r="I1424" s="64"/>
      <c r="J1424" s="64"/>
      <c r="K1424" s="64"/>
      <c r="L1424" s="64"/>
    </row>
    <row r="1425" ht="16.5" customHeight="1">
      <c r="A1425" s="64"/>
      <c r="B1425" s="80" t="s">
        <v>18249</v>
      </c>
      <c r="C1425" s="81" t="str">
        <f>IFERROR(__xludf.DUMMYFUNCTION("""COMPUTED_VALUE"""),"coffer_mco18")</f>
        <v>coffer_mco18</v>
      </c>
      <c r="D1425" s="75">
        <f>IFERROR(__xludf.DUMMYFUNCTION("""COMPUTED_VALUE"""),0.0)</f>
        <v>0</v>
      </c>
      <c r="E1425" s="64"/>
      <c r="F1425" s="95"/>
      <c r="G1425" s="96"/>
      <c r="H1425" s="64"/>
      <c r="I1425" s="64"/>
      <c r="J1425" s="64"/>
      <c r="K1425" s="64"/>
      <c r="L1425" s="64"/>
    </row>
    <row r="1426" ht="16.5" customHeight="1">
      <c r="A1426" s="64"/>
      <c r="B1426" s="80" t="s">
        <v>18249</v>
      </c>
      <c r="C1426" s="81" t="str">
        <f>IFERROR(__xludf.DUMMYFUNCTION("""COMPUTED_VALUE"""),"colemanr39")</f>
        <v>colemanr39</v>
      </c>
      <c r="D1426" s="75">
        <f>IFERROR(__xludf.DUMMYFUNCTION("""COMPUTED_VALUE"""),0.0)</f>
        <v>0</v>
      </c>
      <c r="E1426" s="64"/>
      <c r="F1426" s="95"/>
      <c r="G1426" s="96"/>
      <c r="H1426" s="64"/>
      <c r="I1426" s="64"/>
      <c r="J1426" s="64"/>
      <c r="K1426" s="64"/>
      <c r="L1426" s="64"/>
    </row>
    <row r="1427" ht="16.5" customHeight="1">
      <c r="A1427" s="64"/>
      <c r="B1427" s="80" t="s">
        <v>18249</v>
      </c>
      <c r="C1427" s="81" t="str">
        <f>IFERROR(__xludf.DUMMYFUNCTION("""COMPUTED_VALUE"""),"colin_macl")</f>
        <v>colin_macl</v>
      </c>
      <c r="D1427" s="75">
        <f>IFERROR(__xludf.DUMMYFUNCTION("""COMPUTED_VALUE"""),0.0)</f>
        <v>0</v>
      </c>
      <c r="E1427" s="64"/>
      <c r="F1427" s="95"/>
      <c r="G1427" s="96"/>
      <c r="H1427" s="64"/>
      <c r="I1427" s="64"/>
      <c r="J1427" s="64"/>
      <c r="K1427" s="64"/>
      <c r="L1427" s="64"/>
    </row>
    <row r="1428" ht="16.5" customHeight="1">
      <c r="A1428" s="64"/>
      <c r="B1428" s="80" t="s">
        <v>18249</v>
      </c>
      <c r="C1428" s="81" t="str">
        <f>IFERROR(__xludf.DUMMYFUNCTION("""COMPUTED_VALUE"""),"colinjhamilton")</f>
        <v>colinjhamilton</v>
      </c>
      <c r="D1428" s="75">
        <f>IFERROR(__xludf.DUMMYFUNCTION("""COMPUTED_VALUE"""),0.0)</f>
        <v>0</v>
      </c>
      <c r="E1428" s="64"/>
      <c r="F1428" s="95"/>
      <c r="G1428" s="96"/>
      <c r="H1428" s="64"/>
      <c r="I1428" s="64"/>
      <c r="J1428" s="64"/>
      <c r="K1428" s="64"/>
      <c r="L1428" s="64"/>
    </row>
    <row r="1429" ht="16.5" customHeight="1">
      <c r="A1429" s="64"/>
      <c r="B1429" s="80" t="s">
        <v>18249</v>
      </c>
      <c r="C1429" s="81" t="str">
        <f>IFERROR(__xludf.DUMMYFUNCTION("""COMPUTED_VALUE"""),"colinpennkenny")</f>
        <v>colinpennkenny</v>
      </c>
      <c r="D1429" s="75">
        <f>IFERROR(__xludf.DUMMYFUNCTION("""COMPUTED_VALUE"""),0.0)</f>
        <v>0</v>
      </c>
      <c r="E1429" s="64"/>
      <c r="F1429" s="95"/>
      <c r="G1429" s="96"/>
      <c r="H1429" s="64"/>
      <c r="I1429" s="64"/>
      <c r="J1429" s="64"/>
      <c r="K1429" s="64"/>
      <c r="L1429" s="64"/>
    </row>
    <row r="1430" ht="16.5" customHeight="1">
      <c r="A1430" s="64"/>
      <c r="B1430" s="80" t="s">
        <v>18249</v>
      </c>
      <c r="C1430" s="81" t="str">
        <f>IFERROR(__xludf.DUMMYFUNCTION("""COMPUTED_VALUE"""),"commonsenseden")</f>
        <v>commonsenseden</v>
      </c>
      <c r="D1430" s="75">
        <f>IFERROR(__xludf.DUMMYFUNCTION("""COMPUTED_VALUE"""),0.0)</f>
        <v>0</v>
      </c>
      <c r="E1430" s="64"/>
      <c r="F1430" s="95"/>
      <c r="G1430" s="96"/>
      <c r="H1430" s="64"/>
      <c r="I1430" s="64"/>
      <c r="J1430" s="64"/>
      <c r="K1430" s="64"/>
      <c r="L1430" s="64"/>
    </row>
    <row r="1431" ht="16.5" customHeight="1">
      <c r="A1431" s="64"/>
      <c r="B1431" s="80" t="s">
        <v>18249</v>
      </c>
      <c r="C1431" s="81" t="str">
        <f>IFERROR(__xludf.DUMMYFUNCTION("""COMPUTED_VALUE"""),"condaeanclar")</f>
        <v>condaeanclar</v>
      </c>
      <c r="D1431" s="75">
        <f>IFERROR(__xludf.DUMMYFUNCTION("""COMPUTED_VALUE"""),0.0)</f>
        <v>0</v>
      </c>
      <c r="E1431" s="64"/>
      <c r="F1431" s="95"/>
      <c r="G1431" s="96"/>
      <c r="H1431" s="64"/>
      <c r="I1431" s="64"/>
      <c r="J1431" s="64"/>
      <c r="K1431" s="64"/>
      <c r="L1431" s="64"/>
    </row>
    <row r="1432" ht="16.5" customHeight="1">
      <c r="A1432" s="64"/>
      <c r="B1432" s="80" t="s">
        <v>18249</v>
      </c>
      <c r="C1432" s="81" t="str">
        <f>IFERROR(__xludf.DUMMYFUNCTION("""COMPUTED_VALUE"""),"connolly_lg")</f>
        <v>connolly_lg</v>
      </c>
      <c r="D1432" s="75">
        <f>IFERROR(__xludf.DUMMYFUNCTION("""COMPUTED_VALUE"""),0.0)</f>
        <v>0</v>
      </c>
      <c r="E1432" s="64"/>
      <c r="F1432" s="95"/>
      <c r="G1432" s="96"/>
      <c r="H1432" s="64"/>
      <c r="I1432" s="64"/>
      <c r="J1432" s="64"/>
      <c r="K1432" s="64"/>
      <c r="L1432" s="64"/>
    </row>
    <row r="1433" ht="16.5" customHeight="1">
      <c r="A1433" s="64"/>
      <c r="B1433" s="80" t="s">
        <v>18249</v>
      </c>
      <c r="C1433" s="81" t="str">
        <f>IFERROR(__xludf.DUMMYFUNCTION("""COMPUTED_VALUE"""),"cook_ythink")</f>
        <v>cook_ythink</v>
      </c>
      <c r="D1433" s="75">
        <f>IFERROR(__xludf.DUMMYFUNCTION("""COMPUTED_VALUE"""),0.0)</f>
        <v>0</v>
      </c>
      <c r="E1433" s="64"/>
      <c r="F1433" s="95"/>
      <c r="G1433" s="96"/>
      <c r="H1433" s="64"/>
      <c r="I1433" s="64"/>
      <c r="J1433" s="64"/>
      <c r="K1433" s="64"/>
      <c r="L1433" s="64"/>
    </row>
    <row r="1434" ht="16.5" customHeight="1">
      <c r="A1434" s="64"/>
      <c r="B1434" s="80" t="s">
        <v>18249</v>
      </c>
      <c r="C1434" s="81" t="str">
        <f>IFERROR(__xludf.DUMMYFUNCTION("""COMPUTED_VALUE"""),"corinna_gregory")</f>
        <v>corinna_gregory</v>
      </c>
      <c r="D1434" s="75">
        <f>IFERROR(__xludf.DUMMYFUNCTION("""COMPUTED_VALUE"""),0.0)</f>
        <v>0</v>
      </c>
      <c r="E1434" s="64"/>
      <c r="F1434" s="95"/>
      <c r="G1434" s="96"/>
      <c r="H1434" s="64"/>
      <c r="I1434" s="64"/>
      <c r="J1434" s="64"/>
      <c r="K1434" s="64"/>
      <c r="L1434" s="64"/>
    </row>
    <row r="1435" ht="16.5" customHeight="1">
      <c r="A1435" s="64"/>
      <c r="B1435" s="80" t="s">
        <v>18249</v>
      </c>
      <c r="C1435" s="81" t="str">
        <f>IFERROR(__xludf.DUMMYFUNCTION("""COMPUTED_VALUE"""),"cork_kb")</f>
        <v>cork_kb</v>
      </c>
      <c r="D1435" s="75">
        <f>IFERROR(__xludf.DUMMYFUNCTION("""COMPUTED_VALUE"""),0.0)</f>
        <v>0</v>
      </c>
      <c r="E1435" s="64"/>
      <c r="F1435" s="95"/>
      <c r="G1435" s="96"/>
      <c r="H1435" s="64"/>
      <c r="I1435" s="64"/>
      <c r="J1435" s="64"/>
      <c r="K1435" s="64"/>
      <c r="L1435" s="64"/>
    </row>
    <row r="1436" ht="16.5" customHeight="1">
      <c r="A1436" s="64"/>
      <c r="B1436" s="80" t="s">
        <v>18249</v>
      </c>
      <c r="C1436" s="81" t="str">
        <f>IFERROR(__xludf.DUMMYFUNCTION("""COMPUTED_VALUE"""),"cristian_ma21")</f>
        <v>cristian_ma21</v>
      </c>
      <c r="D1436" s="75">
        <f>IFERROR(__xludf.DUMMYFUNCTION("""COMPUTED_VALUE"""),0.0)</f>
        <v>0</v>
      </c>
      <c r="E1436" s="64"/>
      <c r="F1436" s="95"/>
      <c r="G1436" s="96"/>
      <c r="H1436" s="64"/>
      <c r="I1436" s="64"/>
      <c r="J1436" s="64"/>
      <c r="K1436" s="64"/>
      <c r="L1436" s="64"/>
    </row>
    <row r="1437" ht="16.5" customHeight="1">
      <c r="A1437" s="64"/>
      <c r="B1437" s="80" t="s">
        <v>18249</v>
      </c>
      <c r="C1437" s="81" t="str">
        <f>IFERROR(__xludf.DUMMYFUNCTION("""COMPUTED_VALUE"""),"crozier_damian")</f>
        <v>crozier_damian</v>
      </c>
      <c r="D1437" s="75">
        <f>IFERROR(__xludf.DUMMYFUNCTION("""COMPUTED_VALUE"""),0.0)</f>
        <v>0</v>
      </c>
      <c r="E1437" s="64"/>
      <c r="F1437" s="95"/>
      <c r="G1437" s="96"/>
      <c r="H1437" s="64"/>
      <c r="I1437" s="64"/>
      <c r="J1437" s="64"/>
      <c r="K1437" s="64"/>
      <c r="L1437" s="64"/>
    </row>
    <row r="1438" ht="16.5" customHeight="1">
      <c r="A1438" s="64"/>
      <c r="B1438" s="80" t="s">
        <v>18249</v>
      </c>
      <c r="C1438" s="81" t="str">
        <f>IFERROR(__xludf.DUMMYFUNCTION("""COMPUTED_VALUE"""),"csibike1")</f>
        <v>csibike1</v>
      </c>
      <c r="D1438" s="75">
        <f>IFERROR(__xludf.DUMMYFUNCTION("""COMPUTED_VALUE"""),0.0)</f>
        <v>0</v>
      </c>
      <c r="E1438" s="64"/>
      <c r="F1438" s="95"/>
      <c r="G1438" s="96"/>
      <c r="H1438" s="64"/>
      <c r="I1438" s="64"/>
      <c r="J1438" s="64"/>
      <c r="K1438" s="64"/>
      <c r="L1438" s="64"/>
    </row>
    <row r="1439" ht="16.5" customHeight="1">
      <c r="A1439" s="64"/>
      <c r="B1439" s="80" t="s">
        <v>18249</v>
      </c>
      <c r="C1439" s="81" t="str">
        <f>IFERROR(__xludf.DUMMYFUNCTION("""COMPUTED_VALUE"""),"csrvermaak")</f>
        <v>csrvermaak</v>
      </c>
      <c r="D1439" s="75">
        <f>IFERROR(__xludf.DUMMYFUNCTION("""COMPUTED_VALUE"""),0.0)</f>
        <v>0</v>
      </c>
      <c r="E1439" s="64"/>
      <c r="F1439" s="95"/>
      <c r="G1439" s="96"/>
      <c r="H1439" s="64"/>
      <c r="I1439" s="64"/>
      <c r="J1439" s="64"/>
      <c r="K1439" s="64"/>
      <c r="L1439" s="64"/>
    </row>
    <row r="1440" ht="16.5" customHeight="1">
      <c r="A1440" s="64"/>
      <c r="B1440" s="80" t="s">
        <v>18249</v>
      </c>
      <c r="C1440" s="81" t="str">
        <f>IFERROR(__xludf.DUMMYFUNCTION("""COMPUTED_VALUE"""),"cwsmith1")</f>
        <v>cwsmith1</v>
      </c>
      <c r="D1440" s="75">
        <f>IFERROR(__xludf.DUMMYFUNCTION("""COMPUTED_VALUE"""),0.0)</f>
        <v>0</v>
      </c>
      <c r="E1440" s="64"/>
      <c r="F1440" s="95"/>
      <c r="G1440" s="96"/>
      <c r="H1440" s="64"/>
      <c r="I1440" s="64"/>
      <c r="J1440" s="64"/>
      <c r="K1440" s="64"/>
      <c r="L1440" s="64"/>
    </row>
    <row r="1441" ht="16.5" customHeight="1">
      <c r="A1441" s="64"/>
      <c r="B1441" s="80" t="s">
        <v>18249</v>
      </c>
      <c r="C1441" s="81" t="str">
        <f>IFERROR(__xludf.DUMMYFUNCTION("""COMPUTED_VALUE"""),"d5_rss")</f>
        <v>d5_rss</v>
      </c>
      <c r="D1441" s="75">
        <f>IFERROR(__xludf.DUMMYFUNCTION("""COMPUTED_VALUE"""),0.0)</f>
        <v>0</v>
      </c>
      <c r="E1441" s="64"/>
      <c r="F1441" s="95"/>
      <c r="G1441" s="96"/>
      <c r="H1441" s="64"/>
      <c r="I1441" s="64"/>
      <c r="J1441" s="64"/>
      <c r="K1441" s="64"/>
      <c r="L1441" s="64"/>
    </row>
    <row r="1442" ht="16.5" customHeight="1">
      <c r="A1442" s="64"/>
      <c r="B1442" s="80" t="s">
        <v>18249</v>
      </c>
      <c r="C1442" s="81" t="str">
        <f>IFERROR(__xludf.DUMMYFUNCTION("""COMPUTED_VALUE"""),"dajrafa")</f>
        <v>dajrafa</v>
      </c>
      <c r="D1442" s="75">
        <f>IFERROR(__xludf.DUMMYFUNCTION("""COMPUTED_VALUE"""),0.0)</f>
        <v>0</v>
      </c>
      <c r="E1442" s="64"/>
      <c r="F1442" s="95"/>
      <c r="G1442" s="96"/>
      <c r="H1442" s="64"/>
      <c r="I1442" s="64"/>
      <c r="J1442" s="64"/>
      <c r="K1442" s="64"/>
      <c r="L1442" s="64"/>
    </row>
    <row r="1443" ht="16.5" customHeight="1">
      <c r="A1443" s="64"/>
      <c r="B1443" s="80" t="s">
        <v>18249</v>
      </c>
      <c r="C1443" s="81" t="str">
        <f>IFERROR(__xludf.DUMMYFUNCTION("""COMPUTED_VALUE"""),"damaumart1")</f>
        <v>damaumart1</v>
      </c>
      <c r="D1443" s="75">
        <f>IFERROR(__xludf.DUMMYFUNCTION("""COMPUTED_VALUE"""),0.0)</f>
        <v>0</v>
      </c>
      <c r="E1443" s="64"/>
      <c r="F1443" s="95"/>
      <c r="G1443" s="96"/>
      <c r="H1443" s="64"/>
      <c r="I1443" s="64"/>
      <c r="J1443" s="64"/>
      <c r="K1443" s="64"/>
      <c r="L1443" s="64"/>
    </row>
    <row r="1444" ht="16.5" customHeight="1">
      <c r="A1444" s="64"/>
      <c r="B1444" s="80" t="s">
        <v>18249</v>
      </c>
      <c r="C1444" s="81" t="str">
        <f>IFERROR(__xludf.DUMMYFUNCTION("""COMPUTED_VALUE"""),"damienburke1234")</f>
        <v>damienburke1234</v>
      </c>
      <c r="D1444" s="75">
        <f>IFERROR(__xludf.DUMMYFUNCTION("""COMPUTED_VALUE"""),0.0)</f>
        <v>0</v>
      </c>
      <c r="E1444" s="64"/>
      <c r="F1444" s="95"/>
      <c r="G1444" s="96"/>
      <c r="H1444" s="64"/>
      <c r="I1444" s="64"/>
      <c r="J1444" s="64"/>
      <c r="K1444" s="64"/>
      <c r="L1444" s="64"/>
    </row>
    <row r="1445" ht="16.5" customHeight="1">
      <c r="A1445" s="64"/>
      <c r="B1445" s="80" t="s">
        <v>18249</v>
      </c>
      <c r="C1445" s="81" t="str">
        <f>IFERROR(__xludf.DUMMYFUNCTION("""COMPUTED_VALUE"""),"damienransome")</f>
        <v>damienransome</v>
      </c>
      <c r="D1445" s="75">
        <f>IFERROR(__xludf.DUMMYFUNCTION("""COMPUTED_VALUE"""),0.0)</f>
        <v>0</v>
      </c>
      <c r="E1445" s="64"/>
      <c r="F1445" s="95"/>
      <c r="G1445" s="96"/>
      <c r="H1445" s="64"/>
      <c r="I1445" s="64"/>
      <c r="J1445" s="64"/>
      <c r="K1445" s="64"/>
      <c r="L1445" s="64"/>
    </row>
    <row r="1446" ht="16.5" customHeight="1">
      <c r="A1446" s="64"/>
      <c r="B1446" s="80" t="s">
        <v>18249</v>
      </c>
      <c r="C1446" s="81" t="str">
        <f>IFERROR(__xludf.DUMMYFUNCTION("""COMPUTED_VALUE"""),"dammitjanice")</f>
        <v>dammitjanice</v>
      </c>
      <c r="D1446" s="75">
        <f>IFERROR(__xludf.DUMMYFUNCTION("""COMPUTED_VALUE"""),0.0)</f>
        <v>0</v>
      </c>
      <c r="E1446" s="64"/>
      <c r="F1446" s="95"/>
      <c r="G1446" s="96"/>
      <c r="H1446" s="64"/>
      <c r="I1446" s="64"/>
      <c r="J1446" s="64"/>
      <c r="K1446" s="64"/>
      <c r="L1446" s="64"/>
    </row>
    <row r="1447" ht="16.5" customHeight="1">
      <c r="A1447" s="64"/>
      <c r="B1447" s="80" t="s">
        <v>18249</v>
      </c>
      <c r="C1447" s="81" t="str">
        <f>IFERROR(__xludf.DUMMYFUNCTION("""COMPUTED_VALUE"""),"dan_ist")</f>
        <v>dan_ist</v>
      </c>
      <c r="D1447" s="75">
        <f>IFERROR(__xludf.DUMMYFUNCTION("""COMPUTED_VALUE"""),0.0)</f>
        <v>0</v>
      </c>
      <c r="E1447" s="64"/>
      <c r="F1447" s="95"/>
      <c r="G1447" s="96"/>
      <c r="H1447" s="64"/>
      <c r="I1447" s="64"/>
      <c r="J1447" s="64"/>
      <c r="K1447" s="64"/>
      <c r="L1447" s="64"/>
    </row>
    <row r="1448" ht="16.5" customHeight="1">
      <c r="A1448" s="64"/>
      <c r="B1448" s="80" t="s">
        <v>18249</v>
      </c>
      <c r="C1448" s="81" t="str">
        <f>IFERROR(__xludf.DUMMYFUNCTION("""COMPUTED_VALUE"""),"dancelightning")</f>
        <v>dancelightning</v>
      </c>
      <c r="D1448" s="75">
        <f>IFERROR(__xludf.DUMMYFUNCTION("""COMPUTED_VALUE"""),0.0)</f>
        <v>0</v>
      </c>
      <c r="E1448" s="64"/>
      <c r="F1448" s="95"/>
      <c r="G1448" s="96"/>
      <c r="H1448" s="64"/>
      <c r="I1448" s="64"/>
      <c r="J1448" s="64"/>
      <c r="K1448" s="64"/>
      <c r="L1448" s="64"/>
    </row>
    <row r="1449" ht="16.5" customHeight="1">
      <c r="A1449" s="64"/>
      <c r="B1449" s="80" t="s">
        <v>18249</v>
      </c>
      <c r="C1449" s="81" t="str">
        <f>IFERROR(__xludf.DUMMYFUNCTION("""COMPUTED_VALUE"""),"danielRob001")</f>
        <v>danielRob001</v>
      </c>
      <c r="D1449" s="75">
        <f>IFERROR(__xludf.DUMMYFUNCTION("""COMPUTED_VALUE"""),0.0)</f>
        <v>0</v>
      </c>
      <c r="E1449" s="64"/>
      <c r="F1449" s="95"/>
      <c r="G1449" s="96"/>
      <c r="H1449" s="64"/>
      <c r="I1449" s="64"/>
      <c r="J1449" s="64"/>
      <c r="K1449" s="64"/>
      <c r="L1449" s="64"/>
    </row>
    <row r="1450" ht="16.5" customHeight="1">
      <c r="A1450" s="64"/>
      <c r="B1450" s="80" t="s">
        <v>18249</v>
      </c>
      <c r="C1450" s="81" t="str">
        <f>IFERROR(__xludf.DUMMYFUNCTION("""COMPUTED_VALUE"""),"danohagan")</f>
        <v>danohagan</v>
      </c>
      <c r="D1450" s="75">
        <f>IFERROR(__xludf.DUMMYFUNCTION("""COMPUTED_VALUE"""),0.0)</f>
        <v>0</v>
      </c>
      <c r="E1450" s="64"/>
      <c r="F1450" s="95"/>
      <c r="G1450" s="96"/>
      <c r="H1450" s="64"/>
      <c r="I1450" s="64"/>
      <c r="J1450" s="64"/>
      <c r="K1450" s="64"/>
      <c r="L1450" s="64"/>
    </row>
    <row r="1451" ht="16.5" customHeight="1">
      <c r="A1451" s="64"/>
      <c r="B1451" s="80" t="s">
        <v>18249</v>
      </c>
      <c r="C1451" s="81" t="str">
        <f>IFERROR(__xludf.DUMMYFUNCTION("""COMPUTED_VALUE"""),"dark_f00t")</f>
        <v>dark_f00t</v>
      </c>
      <c r="D1451" s="75">
        <f>IFERROR(__xludf.DUMMYFUNCTION("""COMPUTED_VALUE"""),0.0)</f>
        <v>0</v>
      </c>
      <c r="E1451" s="64"/>
      <c r="F1451" s="95"/>
      <c r="G1451" s="96"/>
      <c r="H1451" s="64"/>
      <c r="I1451" s="64"/>
      <c r="J1451" s="64"/>
      <c r="K1451" s="64"/>
      <c r="L1451" s="64"/>
    </row>
    <row r="1452" ht="16.5" customHeight="1">
      <c r="A1452" s="64"/>
      <c r="B1452" s="80" t="s">
        <v>18249</v>
      </c>
      <c r="C1452" s="81" t="str">
        <f>IFERROR(__xludf.DUMMYFUNCTION("""COMPUTED_VALUE"""),"darrenoutlaw1")</f>
        <v>darrenoutlaw1</v>
      </c>
      <c r="D1452" s="75">
        <f>IFERROR(__xludf.DUMMYFUNCTION("""COMPUTED_VALUE"""),0.0)</f>
        <v>0</v>
      </c>
      <c r="E1452" s="64"/>
      <c r="F1452" s="95"/>
      <c r="G1452" s="96"/>
      <c r="H1452" s="64"/>
      <c r="I1452" s="64"/>
      <c r="J1452" s="64"/>
      <c r="K1452" s="64"/>
      <c r="L1452" s="64"/>
    </row>
    <row r="1453" ht="16.5" customHeight="1">
      <c r="A1453" s="64"/>
      <c r="B1453" s="80" t="s">
        <v>18249</v>
      </c>
      <c r="C1453" s="81" t="str">
        <f>IFERROR(__xludf.DUMMYFUNCTION("""COMPUTED_VALUE"""),"darwent_charles")</f>
        <v>darwent_charles</v>
      </c>
      <c r="D1453" s="75">
        <f>IFERROR(__xludf.DUMMYFUNCTION("""COMPUTED_VALUE"""),0.0)</f>
        <v>0</v>
      </c>
      <c r="E1453" s="64"/>
      <c r="F1453" s="95"/>
      <c r="G1453" s="96"/>
      <c r="H1453" s="64"/>
      <c r="I1453" s="64"/>
      <c r="J1453" s="64"/>
      <c r="K1453" s="64"/>
      <c r="L1453" s="64"/>
    </row>
    <row r="1454" ht="16.5" customHeight="1">
      <c r="A1454" s="64"/>
      <c r="B1454" s="80" t="s">
        <v>18249</v>
      </c>
      <c r="C1454" s="81" t="str">
        <f>IFERROR(__xludf.DUMMYFUNCTION("""COMPUTED_VALUE"""),"datamanvt")</f>
        <v>datamanvt</v>
      </c>
      <c r="D1454" s="75">
        <f>IFERROR(__xludf.DUMMYFUNCTION("""COMPUTED_VALUE"""),0.0)</f>
        <v>0</v>
      </c>
      <c r="E1454" s="64"/>
      <c r="F1454" s="95"/>
      <c r="G1454" s="96"/>
      <c r="H1454" s="64"/>
      <c r="I1454" s="64"/>
      <c r="J1454" s="64"/>
      <c r="K1454" s="64"/>
      <c r="L1454" s="64"/>
    </row>
    <row r="1455" ht="16.5" customHeight="1">
      <c r="A1455" s="64"/>
      <c r="B1455" s="80" t="s">
        <v>18249</v>
      </c>
      <c r="C1455" s="81" t="str">
        <f>IFERROR(__xludf.DUMMYFUNCTION("""COMPUTED_VALUE"""),"dave161256")</f>
        <v>dave161256</v>
      </c>
      <c r="D1455" s="75">
        <f>IFERROR(__xludf.DUMMYFUNCTION("""COMPUTED_VALUE"""),0.0)</f>
        <v>0</v>
      </c>
      <c r="E1455" s="64"/>
      <c r="F1455" s="95"/>
      <c r="G1455" s="96"/>
      <c r="H1455" s="64"/>
      <c r="I1455" s="64"/>
      <c r="J1455" s="64"/>
      <c r="K1455" s="64"/>
      <c r="L1455" s="64"/>
    </row>
    <row r="1456" ht="16.5" customHeight="1">
      <c r="A1456" s="64"/>
      <c r="B1456" s="80" t="s">
        <v>18249</v>
      </c>
      <c r="C1456" s="81" t="str">
        <f>IFERROR(__xludf.DUMMYFUNCTION("""COMPUTED_VALUE"""),"daveRessex")</f>
        <v>daveRessex</v>
      </c>
      <c r="D1456" s="75">
        <f>IFERROR(__xludf.DUMMYFUNCTION("""COMPUTED_VALUE"""),0.0)</f>
        <v>0</v>
      </c>
      <c r="E1456" s="64"/>
      <c r="F1456" s="95"/>
      <c r="G1456" s="96"/>
      <c r="H1456" s="64"/>
      <c r="I1456" s="64"/>
      <c r="J1456" s="64"/>
      <c r="K1456" s="64"/>
      <c r="L1456" s="64"/>
    </row>
    <row r="1457" ht="16.5" customHeight="1">
      <c r="A1457" s="64"/>
      <c r="B1457" s="80" t="s">
        <v>18249</v>
      </c>
      <c r="C1457" s="81" t="str">
        <f>IFERROR(__xludf.DUMMYFUNCTION("""COMPUTED_VALUE"""),"davee_evans")</f>
        <v>davee_evans</v>
      </c>
      <c r="D1457" s="75">
        <f>IFERROR(__xludf.DUMMYFUNCTION("""COMPUTED_VALUE"""),0.0)</f>
        <v>0</v>
      </c>
      <c r="E1457" s="64"/>
      <c r="F1457" s="95"/>
      <c r="G1457" s="96"/>
      <c r="H1457" s="64"/>
      <c r="I1457" s="64"/>
      <c r="J1457" s="64"/>
      <c r="K1457" s="64"/>
      <c r="L1457" s="64"/>
    </row>
    <row r="1458" ht="16.5" customHeight="1">
      <c r="A1458" s="64"/>
      <c r="B1458" s="80" t="s">
        <v>18249</v>
      </c>
      <c r="C1458" s="81" t="str">
        <f>IFERROR(__xludf.DUMMYFUNCTION("""COMPUTED_VALUE"""),"david_mcnab")</f>
        <v>david_mcnab</v>
      </c>
      <c r="D1458" s="75">
        <f>IFERROR(__xludf.DUMMYFUNCTION("""COMPUTED_VALUE"""),0.0)</f>
        <v>0</v>
      </c>
      <c r="E1458" s="64"/>
      <c r="F1458" s="95"/>
      <c r="G1458" s="96"/>
      <c r="H1458" s="64"/>
      <c r="I1458" s="64"/>
      <c r="J1458" s="64"/>
      <c r="K1458" s="64"/>
      <c r="L1458" s="64"/>
    </row>
    <row r="1459" ht="16.5" customHeight="1">
      <c r="A1459" s="64"/>
      <c r="B1459" s="80" t="s">
        <v>18249</v>
      </c>
      <c r="C1459" s="81" t="str">
        <f>IFERROR(__xludf.DUMMYFUNCTION("""COMPUTED_VALUE"""),"davidagoodland")</f>
        <v>davidagoodland</v>
      </c>
      <c r="D1459" s="75">
        <f>IFERROR(__xludf.DUMMYFUNCTION("""COMPUTED_VALUE"""),0.0)</f>
        <v>0</v>
      </c>
      <c r="E1459" s="64"/>
      <c r="F1459" s="95"/>
      <c r="G1459" s="96"/>
      <c r="H1459" s="64"/>
      <c r="I1459" s="64"/>
      <c r="J1459" s="64"/>
      <c r="K1459" s="64"/>
      <c r="L1459" s="64"/>
    </row>
    <row r="1460" ht="16.5" customHeight="1">
      <c r="A1460" s="64"/>
      <c r="B1460" s="80" t="s">
        <v>18249</v>
      </c>
      <c r="C1460" s="81" t="str">
        <f>IFERROR(__xludf.DUMMYFUNCTION("""COMPUTED_VALUE"""),"davidbo61210816")</f>
        <v>davidbo61210816</v>
      </c>
      <c r="D1460" s="75">
        <f>IFERROR(__xludf.DUMMYFUNCTION("""COMPUTED_VALUE"""),0.0)</f>
        <v>0</v>
      </c>
      <c r="E1460" s="64"/>
      <c r="F1460" s="95"/>
      <c r="G1460" s="96"/>
      <c r="H1460" s="64"/>
      <c r="I1460" s="64"/>
      <c r="J1460" s="64"/>
      <c r="K1460" s="64"/>
      <c r="L1460" s="64"/>
    </row>
    <row r="1461" ht="16.5" customHeight="1">
      <c r="A1461" s="64"/>
      <c r="B1461" s="80" t="s">
        <v>18249</v>
      </c>
      <c r="C1461" s="81" t="str">
        <f>IFERROR(__xludf.DUMMYFUNCTION("""COMPUTED_VALUE"""),"davideaton51")</f>
        <v>davideaton51</v>
      </c>
      <c r="D1461" s="75">
        <f>IFERROR(__xludf.DUMMYFUNCTION("""COMPUTED_VALUE"""),0.0)</f>
        <v>0</v>
      </c>
      <c r="E1461" s="64"/>
      <c r="F1461" s="95"/>
      <c r="G1461" s="96"/>
      <c r="H1461" s="64"/>
      <c r="I1461" s="64"/>
      <c r="J1461" s="64"/>
      <c r="K1461" s="64"/>
      <c r="L1461" s="64"/>
    </row>
    <row r="1462" ht="16.5" customHeight="1">
      <c r="A1462" s="64"/>
      <c r="B1462" s="80" t="s">
        <v>18249</v>
      </c>
      <c r="C1462" s="81" t="str">
        <f>IFERROR(__xludf.DUMMYFUNCTION("""COMPUTED_VALUE"""),"davidjmyershot2")</f>
        <v>davidjmyershot2</v>
      </c>
      <c r="D1462" s="75">
        <f>IFERROR(__xludf.DUMMYFUNCTION("""COMPUTED_VALUE"""),0.0)</f>
        <v>0</v>
      </c>
      <c r="E1462" s="64"/>
      <c r="F1462" s="95"/>
      <c r="G1462" s="96"/>
      <c r="H1462" s="64"/>
      <c r="I1462" s="64"/>
      <c r="J1462" s="64"/>
      <c r="K1462" s="64"/>
      <c r="L1462" s="64"/>
    </row>
    <row r="1463" ht="16.5" customHeight="1">
      <c r="A1463" s="64"/>
      <c r="B1463" s="80" t="s">
        <v>18249</v>
      </c>
      <c r="C1463" s="81" t="str">
        <f>IFERROR(__xludf.DUMMYFUNCTION("""COMPUTED_VALUE"""),"davidmacdougall")</f>
        <v>davidmacdougall</v>
      </c>
      <c r="D1463" s="75">
        <f>IFERROR(__xludf.DUMMYFUNCTION("""COMPUTED_VALUE"""),0.0)</f>
        <v>0</v>
      </c>
      <c r="E1463" s="64"/>
      <c r="F1463" s="95"/>
      <c r="G1463" s="96"/>
      <c r="H1463" s="64"/>
      <c r="I1463" s="64"/>
      <c r="J1463" s="64"/>
      <c r="K1463" s="64"/>
      <c r="L1463" s="64"/>
    </row>
    <row r="1464" ht="16.5" customHeight="1">
      <c r="A1464" s="64"/>
      <c r="B1464" s="80" t="s">
        <v>18249</v>
      </c>
      <c r="C1464" s="81" t="str">
        <f>IFERROR(__xludf.DUMMYFUNCTION("""COMPUTED_VALUE"""),"davidmatterson")</f>
        <v>davidmatterson</v>
      </c>
      <c r="D1464" s="75">
        <f>IFERROR(__xludf.DUMMYFUNCTION("""COMPUTED_VALUE"""),0.0)</f>
        <v>0</v>
      </c>
      <c r="E1464" s="64"/>
      <c r="F1464" s="95"/>
      <c r="G1464" s="96"/>
      <c r="H1464" s="64"/>
      <c r="I1464" s="64"/>
      <c r="J1464" s="64"/>
      <c r="K1464" s="64"/>
      <c r="L1464" s="64"/>
    </row>
    <row r="1465" ht="16.5" customHeight="1">
      <c r="A1465" s="64"/>
      <c r="B1465" s="80" t="s">
        <v>18249</v>
      </c>
      <c r="C1465" s="81" t="str">
        <f>IFERROR(__xludf.DUMMYFUNCTION("""COMPUTED_VALUE"""),"davidnoland71")</f>
        <v>davidnoland71</v>
      </c>
      <c r="D1465" s="75">
        <f>IFERROR(__xludf.DUMMYFUNCTION("""COMPUTED_VALUE"""),0.0)</f>
        <v>0</v>
      </c>
      <c r="E1465" s="64"/>
      <c r="F1465" s="95"/>
      <c r="G1465" s="96"/>
      <c r="H1465" s="64"/>
      <c r="I1465" s="64"/>
      <c r="J1465" s="64"/>
      <c r="K1465" s="64"/>
      <c r="L1465" s="64"/>
    </row>
    <row r="1466" ht="16.5" customHeight="1">
      <c r="A1466" s="64"/>
      <c r="B1466" s="80" t="s">
        <v>18249</v>
      </c>
      <c r="C1466" s="81" t="str">
        <f>IFERROR(__xludf.DUMMYFUNCTION("""COMPUTED_VALUE"""),"davidsugars")</f>
        <v>davidsugars</v>
      </c>
      <c r="D1466" s="75">
        <f>IFERROR(__xludf.DUMMYFUNCTION("""COMPUTED_VALUE"""),0.0)</f>
        <v>0</v>
      </c>
      <c r="E1466" s="64"/>
      <c r="F1466" s="95"/>
      <c r="G1466" s="96"/>
      <c r="H1466" s="64"/>
      <c r="I1466" s="64"/>
      <c r="J1466" s="64"/>
      <c r="K1466" s="64"/>
      <c r="L1466" s="64"/>
    </row>
    <row r="1467" ht="16.5" customHeight="1">
      <c r="A1467" s="64"/>
      <c r="B1467" s="80" t="s">
        <v>18249</v>
      </c>
      <c r="C1467" s="81" t="str">
        <f>IFERROR(__xludf.DUMMYFUNCTION("""COMPUTED_VALUE"""),"davidtphillips")</f>
        <v>davidtphillips</v>
      </c>
      <c r="D1467" s="75">
        <f>IFERROR(__xludf.DUMMYFUNCTION("""COMPUTED_VALUE"""),0.0)</f>
        <v>0</v>
      </c>
      <c r="E1467" s="64"/>
      <c r="F1467" s="95"/>
      <c r="G1467" s="96"/>
      <c r="H1467" s="64"/>
      <c r="I1467" s="64"/>
      <c r="J1467" s="64"/>
      <c r="K1467" s="64"/>
      <c r="L1467" s="64"/>
    </row>
    <row r="1468" ht="16.5" customHeight="1">
      <c r="A1468" s="64"/>
      <c r="B1468" s="80" t="s">
        <v>18249</v>
      </c>
      <c r="C1468" s="81" t="str">
        <f>IFERROR(__xludf.DUMMYFUNCTION("""COMPUTED_VALUE"""),"davidwaters79")</f>
        <v>davidwaters79</v>
      </c>
      <c r="D1468" s="75">
        <f>IFERROR(__xludf.DUMMYFUNCTION("""COMPUTED_VALUE"""),0.0)</f>
        <v>0</v>
      </c>
      <c r="E1468" s="64"/>
      <c r="F1468" s="95"/>
      <c r="G1468" s="96"/>
      <c r="H1468" s="64"/>
      <c r="I1468" s="64"/>
      <c r="J1468" s="64"/>
      <c r="K1468" s="64"/>
      <c r="L1468" s="64"/>
    </row>
    <row r="1469" ht="16.5" customHeight="1">
      <c r="A1469" s="64"/>
      <c r="B1469" s="80" t="s">
        <v>18249</v>
      </c>
      <c r="C1469" s="81" t="str">
        <f>IFERROR(__xludf.DUMMYFUNCTION("""COMPUTED_VALUE"""),"davidwychwood")</f>
        <v>davidwychwood</v>
      </c>
      <c r="D1469" s="75">
        <f>IFERROR(__xludf.DUMMYFUNCTION("""COMPUTED_VALUE"""),0.0)</f>
        <v>0</v>
      </c>
      <c r="E1469" s="64"/>
      <c r="F1469" s="95"/>
      <c r="G1469" s="96"/>
      <c r="H1469" s="64"/>
      <c r="I1469" s="64"/>
      <c r="J1469" s="64"/>
      <c r="K1469" s="64"/>
      <c r="L1469" s="64"/>
    </row>
    <row r="1470" ht="16.5" customHeight="1">
      <c r="A1470" s="64"/>
      <c r="B1470" s="80" t="s">
        <v>18249</v>
      </c>
      <c r="C1470" s="81" t="str">
        <f>IFERROR(__xludf.DUMMYFUNCTION("""COMPUTED_VALUE"""),"davie5456")</f>
        <v>davie5456</v>
      </c>
      <c r="D1470" s="75">
        <f>IFERROR(__xludf.DUMMYFUNCTION("""COMPUTED_VALUE"""),0.0)</f>
        <v>0</v>
      </c>
      <c r="E1470" s="64"/>
      <c r="F1470" s="95"/>
      <c r="G1470" s="96"/>
      <c r="H1470" s="64"/>
      <c r="I1470" s="64"/>
      <c r="J1470" s="64"/>
      <c r="K1470" s="64"/>
      <c r="L1470" s="64"/>
    </row>
    <row r="1471" ht="16.5" customHeight="1">
      <c r="A1471" s="64"/>
      <c r="B1471" s="80" t="s">
        <v>18249</v>
      </c>
      <c r="C1471" s="81" t="str">
        <f>IFERROR(__xludf.DUMMYFUNCTION("""COMPUTED_VALUE"""),"dazf777")</f>
        <v>dazf777</v>
      </c>
      <c r="D1471" s="75">
        <f>IFERROR(__xludf.DUMMYFUNCTION("""COMPUTED_VALUE"""),0.0)</f>
        <v>0</v>
      </c>
      <c r="E1471" s="64"/>
      <c r="F1471" s="95"/>
      <c r="G1471" s="96"/>
      <c r="H1471" s="64"/>
      <c r="I1471" s="64"/>
      <c r="J1471" s="64"/>
      <c r="K1471" s="64"/>
      <c r="L1471" s="64"/>
    </row>
    <row r="1472" ht="16.5" customHeight="1">
      <c r="A1472" s="64"/>
      <c r="B1472" s="80" t="s">
        <v>18249</v>
      </c>
      <c r="C1472" s="81" t="str">
        <f>IFERROR(__xludf.DUMMYFUNCTION("""COMPUTED_VALUE"""),"dazzapsj1")</f>
        <v>dazzapsj1</v>
      </c>
      <c r="D1472" s="75">
        <f>IFERROR(__xludf.DUMMYFUNCTION("""COMPUTED_VALUE"""),0.0)</f>
        <v>0</v>
      </c>
      <c r="E1472" s="64"/>
      <c r="F1472" s="95"/>
      <c r="G1472" s="96"/>
      <c r="H1472" s="64"/>
      <c r="I1472" s="64"/>
      <c r="J1472" s="64"/>
      <c r="K1472" s="64"/>
      <c r="L1472" s="64"/>
    </row>
    <row r="1473" ht="16.5" customHeight="1">
      <c r="A1473" s="64"/>
      <c r="B1473" s="80" t="s">
        <v>18249</v>
      </c>
      <c r="C1473" s="81" t="str">
        <f>IFERROR(__xludf.DUMMYFUNCTION("""COMPUTED_VALUE"""),"dbkell")</f>
        <v>dbkell</v>
      </c>
      <c r="D1473" s="75">
        <f>IFERROR(__xludf.DUMMYFUNCTION("""COMPUTED_VALUE"""),0.0)</f>
        <v>0</v>
      </c>
      <c r="E1473" s="64"/>
      <c r="F1473" s="95"/>
      <c r="G1473" s="96"/>
      <c r="H1473" s="64"/>
      <c r="I1473" s="64"/>
      <c r="J1473" s="64"/>
      <c r="K1473" s="64"/>
      <c r="L1473" s="64"/>
    </row>
    <row r="1474" ht="16.5" customHeight="1">
      <c r="A1474" s="64"/>
      <c r="B1474" s="80" t="s">
        <v>18249</v>
      </c>
      <c r="C1474" s="81" t="str">
        <f>IFERROR(__xludf.DUMMYFUNCTION("""COMPUTED_VALUE"""),"dcpardoe")</f>
        <v>dcpardoe</v>
      </c>
      <c r="D1474" s="75">
        <f>IFERROR(__xludf.DUMMYFUNCTION("""COMPUTED_VALUE"""),0.0)</f>
        <v>0</v>
      </c>
      <c r="E1474" s="64"/>
      <c r="F1474" s="95"/>
      <c r="G1474" s="96"/>
      <c r="H1474" s="64"/>
      <c r="I1474" s="64"/>
      <c r="J1474" s="64"/>
      <c r="K1474" s="64"/>
      <c r="L1474" s="64"/>
    </row>
    <row r="1475" ht="16.5" customHeight="1">
      <c r="A1475" s="64"/>
      <c r="B1475" s="80" t="s">
        <v>18249</v>
      </c>
      <c r="C1475" s="81" t="str">
        <f>IFERROR(__xludf.DUMMYFUNCTION("""COMPUTED_VALUE"""),"deane258")</f>
        <v>deane258</v>
      </c>
      <c r="D1475" s="75">
        <f>IFERROR(__xludf.DUMMYFUNCTION("""COMPUTED_VALUE"""),0.0)</f>
        <v>0</v>
      </c>
      <c r="E1475" s="64"/>
      <c r="F1475" s="95"/>
      <c r="G1475" s="96"/>
      <c r="H1475" s="64"/>
      <c r="I1475" s="64"/>
      <c r="J1475" s="64"/>
      <c r="K1475" s="64"/>
      <c r="L1475" s="64"/>
    </row>
    <row r="1476" ht="16.5" customHeight="1">
      <c r="A1476" s="64"/>
      <c r="B1476" s="80" t="s">
        <v>18249</v>
      </c>
      <c r="C1476" s="81" t="str">
        <f>IFERROR(__xludf.DUMMYFUNCTION("""COMPUTED_VALUE"""),"decsernatony")</f>
        <v>decsernatony</v>
      </c>
      <c r="D1476" s="75">
        <f>IFERROR(__xludf.DUMMYFUNCTION("""COMPUTED_VALUE"""),0.0)</f>
        <v>0</v>
      </c>
      <c r="E1476" s="64"/>
      <c r="F1476" s="95"/>
      <c r="G1476" s="96"/>
      <c r="H1476" s="64"/>
      <c r="I1476" s="64"/>
      <c r="J1476" s="64"/>
      <c r="K1476" s="64"/>
      <c r="L1476" s="64"/>
    </row>
    <row r="1477" ht="16.5" customHeight="1">
      <c r="A1477" s="64"/>
      <c r="B1477" s="80" t="s">
        <v>18249</v>
      </c>
      <c r="C1477" s="81" t="str">
        <f>IFERROR(__xludf.DUMMYFUNCTION("""COMPUTED_VALUE"""),"deescattered")</f>
        <v>deescattered</v>
      </c>
      <c r="D1477" s="75">
        <f>IFERROR(__xludf.DUMMYFUNCTION("""COMPUTED_VALUE"""),0.0)</f>
        <v>0</v>
      </c>
      <c r="E1477" s="64"/>
      <c r="F1477" s="95"/>
      <c r="G1477" s="96"/>
      <c r="H1477" s="64"/>
      <c r="I1477" s="64"/>
      <c r="J1477" s="64"/>
      <c r="K1477" s="64"/>
      <c r="L1477" s="64"/>
    </row>
    <row r="1478" ht="16.5" customHeight="1">
      <c r="A1478" s="64"/>
      <c r="B1478" s="80" t="s">
        <v>18249</v>
      </c>
      <c r="C1478" s="81" t="str">
        <f>IFERROR(__xludf.DUMMYFUNCTION("""COMPUTED_VALUE"""),"dennbarr44")</f>
        <v>dennbarr44</v>
      </c>
      <c r="D1478" s="75">
        <f>IFERROR(__xludf.DUMMYFUNCTION("""COMPUTED_VALUE"""),0.0)</f>
        <v>0</v>
      </c>
      <c r="E1478" s="64"/>
      <c r="F1478" s="95"/>
      <c r="G1478" s="96"/>
      <c r="H1478" s="64"/>
      <c r="I1478" s="64"/>
      <c r="J1478" s="64"/>
      <c r="K1478" s="64"/>
      <c r="L1478" s="64"/>
    </row>
    <row r="1479" ht="16.5" customHeight="1">
      <c r="A1479" s="64"/>
      <c r="B1479" s="80" t="s">
        <v>18249</v>
      </c>
      <c r="C1479" s="81" t="str">
        <f>IFERROR(__xludf.DUMMYFUNCTION("""COMPUTED_VALUE"""),"desmonddolan")</f>
        <v>desmonddolan</v>
      </c>
      <c r="D1479" s="75">
        <f>IFERROR(__xludf.DUMMYFUNCTION("""COMPUTED_VALUE"""),0.0)</f>
        <v>0</v>
      </c>
      <c r="E1479" s="64"/>
      <c r="F1479" s="95"/>
      <c r="G1479" s="96"/>
      <c r="H1479" s="64"/>
      <c r="I1479" s="64"/>
      <c r="J1479" s="64"/>
      <c r="K1479" s="64"/>
      <c r="L1479" s="64"/>
    </row>
    <row r="1480" ht="16.5" customHeight="1">
      <c r="A1480" s="64"/>
      <c r="B1480" s="80" t="s">
        <v>18249</v>
      </c>
      <c r="C1480" s="81" t="str">
        <f>IFERROR(__xludf.DUMMYFUNCTION("""COMPUTED_VALUE"""),"detemple")</f>
        <v>detemple</v>
      </c>
      <c r="D1480" s="75">
        <f>IFERROR(__xludf.DUMMYFUNCTION("""COMPUTED_VALUE"""),0.0)</f>
        <v>0</v>
      </c>
      <c r="E1480" s="64"/>
      <c r="F1480" s="95"/>
      <c r="G1480" s="96"/>
      <c r="H1480" s="64"/>
      <c r="I1480" s="64"/>
      <c r="J1480" s="64"/>
      <c r="K1480" s="64"/>
      <c r="L1480" s="64"/>
    </row>
    <row r="1481" ht="16.5" customHeight="1">
      <c r="A1481" s="64"/>
      <c r="B1481" s="80" t="s">
        <v>18249</v>
      </c>
      <c r="C1481" s="81" t="str">
        <f>IFERROR(__xludf.DUMMYFUNCTION("""COMPUTED_VALUE"""),"devonguy02")</f>
        <v>devonguy02</v>
      </c>
      <c r="D1481" s="75">
        <f>IFERROR(__xludf.DUMMYFUNCTION("""COMPUTED_VALUE"""),0.0)</f>
        <v>0</v>
      </c>
      <c r="E1481" s="64"/>
      <c r="F1481" s="95"/>
      <c r="G1481" s="96"/>
      <c r="H1481" s="64"/>
      <c r="I1481" s="64"/>
      <c r="J1481" s="64"/>
      <c r="K1481" s="64"/>
      <c r="L1481" s="64"/>
    </row>
    <row r="1482" ht="16.5" customHeight="1">
      <c r="A1482" s="64"/>
      <c r="B1482" s="80" t="s">
        <v>18249</v>
      </c>
      <c r="C1482" s="81" t="str">
        <f>IFERROR(__xludf.DUMMYFUNCTION("""COMPUTED_VALUE"""),"dewderino")</f>
        <v>dewderino</v>
      </c>
      <c r="D1482" s="75">
        <f>IFERROR(__xludf.DUMMYFUNCTION("""COMPUTED_VALUE"""),0.0)</f>
        <v>0</v>
      </c>
      <c r="E1482" s="64"/>
      <c r="F1482" s="95"/>
      <c r="G1482" s="96"/>
      <c r="H1482" s="64"/>
      <c r="I1482" s="64"/>
      <c r="J1482" s="64"/>
      <c r="K1482" s="64"/>
      <c r="L1482" s="64"/>
    </row>
    <row r="1483" ht="16.5" customHeight="1">
      <c r="A1483" s="64"/>
      <c r="B1483" s="80" t="s">
        <v>18249</v>
      </c>
      <c r="C1483" s="81" t="str">
        <f>IFERROR(__xludf.DUMMYFUNCTION("""COMPUTED_VALUE"""),"dexter_mavhura")</f>
        <v>dexter_mavhura</v>
      </c>
      <c r="D1483" s="75">
        <f>IFERROR(__xludf.DUMMYFUNCTION("""COMPUTED_VALUE"""),0.0)</f>
        <v>0</v>
      </c>
      <c r="E1483" s="64"/>
      <c r="F1483" s="95"/>
      <c r="G1483" s="96"/>
      <c r="H1483" s="64"/>
      <c r="I1483" s="64"/>
      <c r="J1483" s="64"/>
      <c r="K1483" s="64"/>
      <c r="L1483" s="64"/>
    </row>
    <row r="1484" ht="16.5" customHeight="1">
      <c r="A1484" s="64"/>
      <c r="B1484" s="80" t="s">
        <v>18249</v>
      </c>
      <c r="C1484" s="81" t="str">
        <f>IFERROR(__xludf.DUMMYFUNCTION("""COMPUTED_VALUE"""),"dgmicro")</f>
        <v>dgmicro</v>
      </c>
      <c r="D1484" s="75">
        <f>IFERROR(__xludf.DUMMYFUNCTION("""COMPUTED_VALUE"""),0.0)</f>
        <v>0</v>
      </c>
      <c r="E1484" s="64"/>
      <c r="F1484" s="95"/>
      <c r="G1484" s="96"/>
      <c r="H1484" s="64"/>
      <c r="I1484" s="64"/>
      <c r="J1484" s="64"/>
      <c r="K1484" s="64"/>
      <c r="L1484" s="64"/>
    </row>
    <row r="1485" ht="16.5" customHeight="1">
      <c r="A1485" s="64"/>
      <c r="B1485" s="80" t="s">
        <v>18249</v>
      </c>
      <c r="C1485" s="81" t="str">
        <f>IFERROR(__xludf.DUMMYFUNCTION("""COMPUTED_VALUE"""),"dholland422")</f>
        <v>dholland422</v>
      </c>
      <c r="D1485" s="75">
        <f>IFERROR(__xludf.DUMMYFUNCTION("""COMPUTED_VALUE"""),0.0)</f>
        <v>0</v>
      </c>
      <c r="E1485" s="64"/>
      <c r="F1485" s="95"/>
      <c r="G1485" s="96"/>
      <c r="H1485" s="64"/>
      <c r="I1485" s="64"/>
      <c r="J1485" s="64"/>
      <c r="K1485" s="64"/>
      <c r="L1485" s="64"/>
    </row>
    <row r="1486" ht="16.5" customHeight="1">
      <c r="A1486" s="64"/>
      <c r="B1486" s="80" t="s">
        <v>18249</v>
      </c>
      <c r="C1486" s="81" t="str">
        <f>IFERROR(__xludf.DUMMYFUNCTION("""COMPUTED_VALUE"""),"dickayl")</f>
        <v>dickayl</v>
      </c>
      <c r="D1486" s="75">
        <f>IFERROR(__xludf.DUMMYFUNCTION("""COMPUTED_VALUE"""),0.0)</f>
        <v>0</v>
      </c>
      <c r="E1486" s="64"/>
      <c r="F1486" s="95"/>
      <c r="G1486" s="96"/>
      <c r="H1486" s="64"/>
      <c r="I1486" s="64"/>
      <c r="J1486" s="64"/>
      <c r="K1486" s="64"/>
      <c r="L1486" s="64"/>
    </row>
    <row r="1487" ht="16.5" customHeight="1">
      <c r="A1487" s="64"/>
      <c r="B1487" s="80" t="s">
        <v>18249</v>
      </c>
      <c r="C1487" s="81" t="str">
        <f>IFERROR(__xludf.DUMMYFUNCTION("""COMPUTED_VALUE"""),"diplomacyxx")</f>
        <v>diplomacyxx</v>
      </c>
      <c r="D1487" s="75">
        <f>IFERROR(__xludf.DUMMYFUNCTION("""COMPUTED_VALUE"""),0.0)</f>
        <v>0</v>
      </c>
      <c r="E1487" s="64"/>
      <c r="F1487" s="95"/>
      <c r="G1487" s="96"/>
      <c r="H1487" s="64"/>
      <c r="I1487" s="64"/>
      <c r="J1487" s="64"/>
      <c r="K1487" s="64"/>
      <c r="L1487" s="64"/>
    </row>
    <row r="1488" ht="16.5" customHeight="1">
      <c r="A1488" s="64"/>
      <c r="B1488" s="80" t="s">
        <v>18249</v>
      </c>
      <c r="C1488" s="81" t="str">
        <f>IFERROR(__xludf.DUMMYFUNCTION("""COMPUTED_VALUE"""),"dirtybone")</f>
        <v>dirtybone</v>
      </c>
      <c r="D1488" s="75">
        <f>IFERROR(__xludf.DUMMYFUNCTION("""COMPUTED_VALUE"""),0.0)</f>
        <v>0</v>
      </c>
      <c r="E1488" s="64"/>
      <c r="F1488" s="95"/>
      <c r="G1488" s="96"/>
      <c r="H1488" s="64"/>
      <c r="I1488" s="64"/>
      <c r="J1488" s="64"/>
      <c r="K1488" s="64"/>
      <c r="L1488" s="64"/>
    </row>
    <row r="1489" ht="16.5" customHeight="1">
      <c r="A1489" s="64"/>
      <c r="B1489" s="80" t="s">
        <v>18249</v>
      </c>
      <c r="C1489" s="81" t="str">
        <f>IFERROR(__xludf.DUMMYFUNCTION("""COMPUTED_VALUE"""),"disasterhistory")</f>
        <v>disasterhistory</v>
      </c>
      <c r="D1489" s="75">
        <f>IFERROR(__xludf.DUMMYFUNCTION("""COMPUTED_VALUE"""),0.0)</f>
        <v>0</v>
      </c>
      <c r="E1489" s="64"/>
      <c r="F1489" s="95"/>
      <c r="G1489" s="96"/>
      <c r="H1489" s="64"/>
      <c r="I1489" s="64"/>
      <c r="J1489" s="64"/>
      <c r="K1489" s="64"/>
      <c r="L1489" s="64"/>
    </row>
    <row r="1490" ht="16.5" customHeight="1">
      <c r="A1490" s="64"/>
      <c r="B1490" s="80" t="s">
        <v>18249</v>
      </c>
      <c r="C1490" s="81" t="str">
        <f>IFERROR(__xludf.DUMMYFUNCTION("""COMPUTED_VALUE"""),"disnenchanted")</f>
        <v>disnenchanted</v>
      </c>
      <c r="D1490" s="75">
        <f>IFERROR(__xludf.DUMMYFUNCTION("""COMPUTED_VALUE"""),0.0)</f>
        <v>0</v>
      </c>
      <c r="E1490" s="64"/>
      <c r="F1490" s="95"/>
      <c r="G1490" s="96"/>
      <c r="H1490" s="64"/>
      <c r="I1490" s="64"/>
      <c r="J1490" s="64"/>
      <c r="K1490" s="64"/>
      <c r="L1490" s="64"/>
    </row>
    <row r="1491" ht="16.5" customHeight="1">
      <c r="A1491" s="64"/>
      <c r="B1491" s="80" t="s">
        <v>18249</v>
      </c>
      <c r="C1491" s="81" t="str">
        <f>IFERROR(__xludf.DUMMYFUNCTION("""COMPUTED_VALUE"""),"djangowinedog")</f>
        <v>djangowinedog</v>
      </c>
      <c r="D1491" s="75">
        <f>IFERROR(__xludf.DUMMYFUNCTION("""COMPUTED_VALUE"""),0.0)</f>
        <v>0</v>
      </c>
      <c r="E1491" s="64"/>
      <c r="F1491" s="95"/>
      <c r="G1491" s="96"/>
      <c r="H1491" s="64"/>
      <c r="I1491" s="64"/>
      <c r="J1491" s="64"/>
      <c r="K1491" s="64"/>
      <c r="L1491" s="64"/>
    </row>
    <row r="1492" ht="16.5" customHeight="1">
      <c r="A1492" s="64"/>
      <c r="B1492" s="80" t="s">
        <v>18249</v>
      </c>
      <c r="C1492" s="81" t="str">
        <f>IFERROR(__xludf.DUMMYFUNCTION("""COMPUTED_VALUE"""),"dohay22")</f>
        <v>dohay22</v>
      </c>
      <c r="D1492" s="75">
        <f>IFERROR(__xludf.DUMMYFUNCTION("""COMPUTED_VALUE"""),0.0)</f>
        <v>0</v>
      </c>
      <c r="E1492" s="64"/>
      <c r="F1492" s="95"/>
      <c r="G1492" s="96"/>
      <c r="H1492" s="64"/>
      <c r="I1492" s="64"/>
      <c r="J1492" s="64"/>
      <c r="K1492" s="64"/>
      <c r="L1492" s="64"/>
    </row>
    <row r="1493" ht="16.5" customHeight="1">
      <c r="A1493" s="64"/>
      <c r="B1493" s="80" t="s">
        <v>18249</v>
      </c>
      <c r="C1493" s="81" t="str">
        <f>IFERROR(__xludf.DUMMYFUNCTION("""COMPUTED_VALUE"""),"dollymix2015")</f>
        <v>dollymix2015</v>
      </c>
      <c r="D1493" s="75">
        <f>IFERROR(__xludf.DUMMYFUNCTION("""COMPUTED_VALUE"""),0.0)</f>
        <v>0</v>
      </c>
      <c r="E1493" s="64"/>
      <c r="F1493" s="95"/>
      <c r="G1493" s="96"/>
      <c r="H1493" s="64"/>
      <c r="I1493" s="64"/>
      <c r="J1493" s="64"/>
      <c r="K1493" s="64"/>
      <c r="L1493" s="64"/>
    </row>
    <row r="1494" ht="16.5" customHeight="1">
      <c r="A1494" s="64"/>
      <c r="B1494" s="80" t="s">
        <v>18249</v>
      </c>
      <c r="C1494" s="81" t="str">
        <f>IFERROR(__xludf.DUMMYFUNCTION("""COMPUTED_VALUE"""),"dombens")</f>
        <v>dombens</v>
      </c>
      <c r="D1494" s="75">
        <f>IFERROR(__xludf.DUMMYFUNCTION("""COMPUTED_VALUE"""),0.0)</f>
        <v>0</v>
      </c>
      <c r="E1494" s="64"/>
      <c r="F1494" s="95"/>
      <c r="G1494" s="96"/>
      <c r="H1494" s="64"/>
      <c r="I1494" s="64"/>
      <c r="J1494" s="64"/>
      <c r="K1494" s="64"/>
      <c r="L1494" s="64"/>
    </row>
    <row r="1495" ht="16.5" customHeight="1">
      <c r="A1495" s="64"/>
      <c r="B1495" s="80" t="s">
        <v>18249</v>
      </c>
      <c r="C1495" s="81" t="str">
        <f>IFERROR(__xludf.DUMMYFUNCTION("""COMPUTED_VALUE"""),"donaldstavert")</f>
        <v>donaldstavert</v>
      </c>
      <c r="D1495" s="75">
        <f>IFERROR(__xludf.DUMMYFUNCTION("""COMPUTED_VALUE"""),0.0)</f>
        <v>0</v>
      </c>
      <c r="E1495" s="64"/>
      <c r="F1495" s="95"/>
      <c r="G1495" s="96"/>
      <c r="H1495" s="64"/>
      <c r="I1495" s="64"/>
      <c r="J1495" s="64"/>
      <c r="K1495" s="64"/>
      <c r="L1495" s="64"/>
    </row>
    <row r="1496" ht="16.5" customHeight="1">
      <c r="A1496" s="64"/>
      <c r="B1496" s="80" t="s">
        <v>18249</v>
      </c>
      <c r="C1496" s="81" t="str">
        <f>IFERROR(__xludf.DUMMYFUNCTION("""COMPUTED_VALUE"""),"dontbrexitfixit")</f>
        <v>dontbrexitfixit</v>
      </c>
      <c r="D1496" s="75">
        <f>IFERROR(__xludf.DUMMYFUNCTION("""COMPUTED_VALUE"""),0.0)</f>
        <v>0</v>
      </c>
      <c r="E1496" s="64"/>
      <c r="F1496" s="95"/>
      <c r="G1496" s="96"/>
      <c r="H1496" s="64"/>
      <c r="I1496" s="64"/>
      <c r="J1496" s="64"/>
      <c r="K1496" s="64"/>
      <c r="L1496" s="64"/>
    </row>
    <row r="1497" ht="16.5" customHeight="1">
      <c r="A1497" s="64"/>
      <c r="B1497" s="80" t="s">
        <v>18249</v>
      </c>
      <c r="C1497" s="81" t="str">
        <f>IFERROR(__xludf.DUMMYFUNCTION("""COMPUTED_VALUE"""),"dot50dowling")</f>
        <v>dot50dowling</v>
      </c>
      <c r="D1497" s="75">
        <f>IFERROR(__xludf.DUMMYFUNCTION("""COMPUTED_VALUE"""),0.0)</f>
        <v>0</v>
      </c>
      <c r="E1497" s="64"/>
      <c r="F1497" s="95"/>
      <c r="G1497" s="96"/>
      <c r="H1497" s="64"/>
      <c r="I1497" s="64"/>
      <c r="J1497" s="64"/>
      <c r="K1497" s="64"/>
      <c r="L1497" s="64"/>
    </row>
    <row r="1498" ht="16.5" customHeight="1">
      <c r="A1498" s="64"/>
      <c r="B1498" s="80" t="s">
        <v>18249</v>
      </c>
      <c r="C1498" s="81" t="str">
        <f>IFERROR(__xludf.DUMMYFUNCTION("""COMPUTED_VALUE"""),"doubledodge")</f>
        <v>doubledodge</v>
      </c>
      <c r="D1498" s="75">
        <f>IFERROR(__xludf.DUMMYFUNCTION("""COMPUTED_VALUE"""),0.0)</f>
        <v>0</v>
      </c>
      <c r="E1498" s="64"/>
      <c r="F1498" s="95"/>
      <c r="G1498" s="96"/>
      <c r="H1498" s="64"/>
      <c r="I1498" s="64"/>
      <c r="J1498" s="64"/>
      <c r="K1498" s="64"/>
      <c r="L1498" s="64"/>
    </row>
    <row r="1499" ht="16.5" customHeight="1">
      <c r="A1499" s="64"/>
      <c r="B1499" s="80" t="s">
        <v>18249</v>
      </c>
      <c r="C1499" s="81" t="str">
        <f>IFERROR(__xludf.DUMMYFUNCTION("""COMPUTED_VALUE"""),"dp90546285")</f>
        <v>dp90546285</v>
      </c>
      <c r="D1499" s="75">
        <f>IFERROR(__xludf.DUMMYFUNCTION("""COMPUTED_VALUE"""),0.0)</f>
        <v>0</v>
      </c>
      <c r="E1499" s="64"/>
      <c r="F1499" s="95"/>
      <c r="G1499" s="96"/>
      <c r="H1499" s="64"/>
      <c r="I1499" s="64"/>
      <c r="J1499" s="64"/>
      <c r="K1499" s="64"/>
      <c r="L1499" s="64"/>
    </row>
    <row r="1500" ht="16.5" customHeight="1">
      <c r="A1500" s="64"/>
      <c r="B1500" s="80" t="s">
        <v>18249</v>
      </c>
      <c r="C1500" s="81" t="str">
        <f>IFERROR(__xludf.DUMMYFUNCTION("""COMPUTED_VALUE"""),"dr__amanda_")</f>
        <v>dr__amanda_</v>
      </c>
      <c r="D1500" s="75">
        <f>IFERROR(__xludf.DUMMYFUNCTION("""COMPUTED_VALUE"""),0.0)</f>
        <v>0</v>
      </c>
      <c r="E1500" s="64"/>
      <c r="F1500" s="95"/>
      <c r="G1500" s="96"/>
      <c r="H1500" s="64"/>
      <c r="I1500" s="64"/>
      <c r="J1500" s="64"/>
      <c r="K1500" s="64"/>
      <c r="L1500" s="64"/>
    </row>
    <row r="1501" ht="16.5" customHeight="1">
      <c r="A1501" s="64"/>
      <c r="B1501" s="80" t="s">
        <v>18249</v>
      </c>
      <c r="C1501" s="81" t="str">
        <f>IFERROR(__xludf.DUMMYFUNCTION("""COMPUTED_VALUE"""),"dracuk")</f>
        <v>dracuk</v>
      </c>
      <c r="D1501" s="75">
        <f>IFERROR(__xludf.DUMMYFUNCTION("""COMPUTED_VALUE"""),0.0)</f>
        <v>0</v>
      </c>
      <c r="E1501" s="64"/>
      <c r="F1501" s="95"/>
      <c r="G1501" s="96"/>
      <c r="H1501" s="64"/>
      <c r="I1501" s="64"/>
      <c r="J1501" s="64"/>
      <c r="K1501" s="64"/>
      <c r="L1501" s="64"/>
    </row>
    <row r="1502" ht="16.5" customHeight="1">
      <c r="A1502" s="64"/>
      <c r="B1502" s="80" t="s">
        <v>18249</v>
      </c>
      <c r="C1502" s="81" t="str">
        <f>IFERROR(__xludf.DUMMYFUNCTION("""COMPUTED_VALUE"""),"dubh_sgian")</f>
        <v>dubh_sgian</v>
      </c>
      <c r="D1502" s="75">
        <f>IFERROR(__xludf.DUMMYFUNCTION("""COMPUTED_VALUE"""),0.0)</f>
        <v>0</v>
      </c>
      <c r="E1502" s="64"/>
      <c r="F1502" s="95"/>
      <c r="G1502" s="96"/>
      <c r="H1502" s="64"/>
      <c r="I1502" s="64"/>
      <c r="J1502" s="64"/>
      <c r="K1502" s="64"/>
      <c r="L1502" s="64"/>
    </row>
    <row r="1503" ht="16.5" customHeight="1">
      <c r="A1503" s="64"/>
      <c r="B1503" s="80" t="s">
        <v>18249</v>
      </c>
      <c r="C1503" s="81" t="str">
        <f>IFERROR(__xludf.DUMMYFUNCTION("""COMPUTED_VALUE"""),"dunlin57")</f>
        <v>dunlin57</v>
      </c>
      <c r="D1503" s="75">
        <f>IFERROR(__xludf.DUMMYFUNCTION("""COMPUTED_VALUE"""),0.0)</f>
        <v>0</v>
      </c>
      <c r="E1503" s="64"/>
      <c r="F1503" s="95"/>
      <c r="G1503" s="96"/>
      <c r="H1503" s="64"/>
      <c r="I1503" s="64"/>
      <c r="J1503" s="64"/>
      <c r="K1503" s="64"/>
      <c r="L1503" s="64"/>
    </row>
    <row r="1504" ht="16.5" customHeight="1">
      <c r="A1504" s="64"/>
      <c r="B1504" s="80" t="s">
        <v>18249</v>
      </c>
      <c r="C1504" s="81" t="str">
        <f>IFERROR(__xludf.DUMMYFUNCTION("""COMPUTED_VALUE"""),"dwinnera")</f>
        <v>dwinnera</v>
      </c>
      <c r="D1504" s="75">
        <f>IFERROR(__xludf.DUMMYFUNCTION("""COMPUTED_VALUE"""),0.0)</f>
        <v>0</v>
      </c>
      <c r="E1504" s="64"/>
      <c r="F1504" s="95"/>
      <c r="G1504" s="96"/>
      <c r="H1504" s="64"/>
      <c r="I1504" s="64"/>
      <c r="J1504" s="64"/>
      <c r="K1504" s="64"/>
      <c r="L1504" s="64"/>
    </row>
    <row r="1505" ht="16.5" customHeight="1">
      <c r="A1505" s="64"/>
      <c r="B1505" s="80" t="s">
        <v>18249</v>
      </c>
      <c r="C1505" s="81" t="str">
        <f>IFERROR(__xludf.DUMMYFUNCTION("""COMPUTED_VALUE"""),"e_evison")</f>
        <v>e_evison</v>
      </c>
      <c r="D1505" s="75">
        <f>IFERROR(__xludf.DUMMYFUNCTION("""COMPUTED_VALUE"""),0.0)</f>
        <v>0</v>
      </c>
      <c r="E1505" s="64"/>
      <c r="F1505" s="95"/>
      <c r="G1505" s="96"/>
      <c r="H1505" s="64"/>
      <c r="I1505" s="64"/>
      <c r="J1505" s="64"/>
      <c r="K1505" s="64"/>
      <c r="L1505" s="64"/>
    </row>
    <row r="1506" ht="16.5" customHeight="1">
      <c r="A1506" s="64"/>
      <c r="B1506" s="80" t="s">
        <v>18249</v>
      </c>
      <c r="C1506" s="81" t="str">
        <f>IFERROR(__xludf.DUMMYFUNCTION("""COMPUTED_VALUE"""),"ecklwald")</f>
        <v>ecklwald</v>
      </c>
      <c r="D1506" s="75">
        <f>IFERROR(__xludf.DUMMYFUNCTION("""COMPUTED_VALUE"""),0.0)</f>
        <v>0</v>
      </c>
      <c r="E1506" s="64"/>
      <c r="F1506" s="95"/>
      <c r="G1506" s="96"/>
      <c r="H1506" s="64"/>
      <c r="I1506" s="64"/>
      <c r="J1506" s="64"/>
      <c r="K1506" s="64"/>
      <c r="L1506" s="64"/>
    </row>
    <row r="1507" ht="16.5" customHeight="1">
      <c r="A1507" s="64"/>
      <c r="B1507" s="80" t="s">
        <v>18249</v>
      </c>
      <c r="C1507" s="81" t="str">
        <f>IFERROR(__xludf.DUMMYFUNCTION("""COMPUTED_VALUE"""),"edparnell")</f>
        <v>edparnell</v>
      </c>
      <c r="D1507" s="75">
        <f>IFERROR(__xludf.DUMMYFUNCTION("""COMPUTED_VALUE"""),0.0)</f>
        <v>0</v>
      </c>
      <c r="E1507" s="64"/>
      <c r="F1507" s="95"/>
      <c r="G1507" s="96"/>
      <c r="H1507" s="64"/>
      <c r="I1507" s="64"/>
      <c r="J1507" s="64"/>
      <c r="K1507" s="64"/>
      <c r="L1507" s="64"/>
    </row>
    <row r="1508" ht="16.5" customHeight="1">
      <c r="A1508" s="64"/>
      <c r="B1508" s="80" t="s">
        <v>18249</v>
      </c>
      <c r="C1508" s="81" t="str">
        <f>IFERROR(__xludf.DUMMYFUNCTION("""COMPUTED_VALUE"""),"eelemsti")</f>
        <v>eelemsti</v>
      </c>
      <c r="D1508" s="75">
        <f>IFERROR(__xludf.DUMMYFUNCTION("""COMPUTED_VALUE"""),0.0)</f>
        <v>0</v>
      </c>
      <c r="E1508" s="64"/>
      <c r="F1508" s="95"/>
      <c r="G1508" s="96"/>
      <c r="H1508" s="64"/>
      <c r="I1508" s="64"/>
      <c r="J1508" s="64"/>
      <c r="K1508" s="64"/>
      <c r="L1508" s="64"/>
    </row>
    <row r="1509" ht="16.5" customHeight="1">
      <c r="A1509" s="64"/>
      <c r="B1509" s="80" t="s">
        <v>18249</v>
      </c>
      <c r="C1509" s="81" t="str">
        <f>IFERROR(__xludf.DUMMYFUNCTION("""COMPUTED_VALUE"""),"eildons3")</f>
        <v>eildons3</v>
      </c>
      <c r="D1509" s="75">
        <f>IFERROR(__xludf.DUMMYFUNCTION("""COMPUTED_VALUE"""),0.0)</f>
        <v>0</v>
      </c>
      <c r="E1509" s="64"/>
      <c r="F1509" s="95"/>
      <c r="G1509" s="96"/>
      <c r="H1509" s="64"/>
      <c r="I1509" s="64"/>
      <c r="J1509" s="64"/>
      <c r="K1509" s="64"/>
      <c r="L1509" s="64"/>
    </row>
    <row r="1510" ht="16.5" customHeight="1">
      <c r="A1510" s="64"/>
      <c r="B1510" s="80" t="s">
        <v>18249</v>
      </c>
      <c r="C1510" s="81" t="str">
        <f>IFERROR(__xludf.DUMMYFUNCTION("""COMPUTED_VALUE"""),"elgarado")</f>
        <v>elgarado</v>
      </c>
      <c r="D1510" s="75">
        <f>IFERROR(__xludf.DUMMYFUNCTION("""COMPUTED_VALUE"""),0.0)</f>
        <v>0</v>
      </c>
      <c r="E1510" s="64"/>
      <c r="F1510" s="95"/>
      <c r="G1510" s="96"/>
      <c r="H1510" s="64"/>
      <c r="I1510" s="64"/>
      <c r="J1510" s="64"/>
      <c r="K1510" s="64"/>
      <c r="L1510" s="64"/>
    </row>
    <row r="1511" ht="16.5" customHeight="1">
      <c r="A1511" s="64"/>
      <c r="B1511" s="80" t="s">
        <v>18249</v>
      </c>
      <c r="C1511" s="81" t="str">
        <f>IFERROR(__xludf.DUMMYFUNCTION("""COMPUTED_VALUE"""),"elibo_17")</f>
        <v>elibo_17</v>
      </c>
      <c r="D1511" s="75">
        <f>IFERROR(__xludf.DUMMYFUNCTION("""COMPUTED_VALUE"""),0.0)</f>
        <v>0</v>
      </c>
      <c r="E1511" s="64"/>
      <c r="F1511" s="95"/>
      <c r="G1511" s="96"/>
      <c r="H1511" s="64"/>
      <c r="I1511" s="64"/>
      <c r="J1511" s="64"/>
      <c r="K1511" s="64"/>
      <c r="L1511" s="64"/>
    </row>
    <row r="1512" ht="16.5" customHeight="1">
      <c r="A1512" s="64"/>
      <c r="B1512" s="80" t="s">
        <v>18249</v>
      </c>
      <c r="C1512" s="81" t="str">
        <f>IFERROR(__xludf.DUMMYFUNCTION("""COMPUTED_VALUE"""),"elizavrose06")</f>
        <v>elizavrose06</v>
      </c>
      <c r="D1512" s="75">
        <f>IFERROR(__xludf.DUMMYFUNCTION("""COMPUTED_VALUE"""),0.0)</f>
        <v>0</v>
      </c>
      <c r="E1512" s="64"/>
      <c r="F1512" s="95"/>
      <c r="G1512" s="96"/>
      <c r="H1512" s="64"/>
      <c r="I1512" s="64"/>
      <c r="J1512" s="64"/>
      <c r="K1512" s="64"/>
      <c r="L1512" s="64"/>
    </row>
    <row r="1513" ht="16.5" customHeight="1">
      <c r="A1513" s="64"/>
      <c r="B1513" s="80" t="s">
        <v>18249</v>
      </c>
      <c r="C1513" s="81" t="str">
        <f>IFERROR(__xludf.DUMMYFUNCTION("""COMPUTED_VALUE"""),"ellenwhiteworld")</f>
        <v>ellenwhiteworld</v>
      </c>
      <c r="D1513" s="75">
        <f>IFERROR(__xludf.DUMMYFUNCTION("""COMPUTED_VALUE"""),0.0)</f>
        <v>0</v>
      </c>
      <c r="E1513" s="64"/>
      <c r="F1513" s="95"/>
      <c r="G1513" s="96"/>
      <c r="H1513" s="64"/>
      <c r="I1513" s="64"/>
      <c r="J1513" s="64"/>
      <c r="K1513" s="64"/>
      <c r="L1513" s="64"/>
    </row>
    <row r="1514" ht="16.5" customHeight="1">
      <c r="A1514" s="64"/>
      <c r="B1514" s="80" t="s">
        <v>18249</v>
      </c>
      <c r="C1514" s="81" t="str">
        <f>IFERROR(__xludf.DUMMYFUNCTION("""COMPUTED_VALUE"""),"elpistolero7")</f>
        <v>elpistolero7</v>
      </c>
      <c r="D1514" s="75">
        <f>IFERROR(__xludf.DUMMYFUNCTION("""COMPUTED_VALUE"""),0.0)</f>
        <v>0</v>
      </c>
      <c r="E1514" s="64"/>
      <c r="F1514" s="95"/>
      <c r="G1514" s="96"/>
      <c r="H1514" s="64"/>
      <c r="I1514" s="64"/>
      <c r="J1514" s="64"/>
      <c r="K1514" s="64"/>
      <c r="L1514" s="64"/>
    </row>
    <row r="1515" ht="16.5" customHeight="1">
      <c r="A1515" s="64"/>
      <c r="B1515" s="80" t="s">
        <v>18249</v>
      </c>
      <c r="C1515" s="81" t="str">
        <f>IFERROR(__xludf.DUMMYFUNCTION("""COMPUTED_VALUE"""),"endless_europe")</f>
        <v>endless_europe</v>
      </c>
      <c r="D1515" s="75">
        <f>IFERROR(__xludf.DUMMYFUNCTION("""COMPUTED_VALUE"""),0.0)</f>
        <v>0</v>
      </c>
      <c r="E1515" s="64"/>
      <c r="F1515" s="95"/>
      <c r="G1515" s="96"/>
      <c r="H1515" s="64"/>
      <c r="I1515" s="64"/>
      <c r="J1515" s="64"/>
      <c r="K1515" s="64"/>
      <c r="L1515" s="64"/>
    </row>
    <row r="1516" ht="16.5" customHeight="1">
      <c r="A1516" s="64"/>
      <c r="B1516" s="80" t="s">
        <v>18249</v>
      </c>
      <c r="C1516" s="81" t="str">
        <f>IFERROR(__xludf.DUMMYFUNCTION("""COMPUTED_VALUE"""),"englishfil")</f>
        <v>englishfil</v>
      </c>
      <c r="D1516" s="75">
        <f>IFERROR(__xludf.DUMMYFUNCTION("""COMPUTED_VALUE"""),0.0)</f>
        <v>0</v>
      </c>
      <c r="E1516" s="64"/>
      <c r="F1516" s="95"/>
      <c r="G1516" s="96"/>
      <c r="H1516" s="64"/>
      <c r="I1516" s="64"/>
      <c r="J1516" s="64"/>
      <c r="K1516" s="64"/>
      <c r="L1516" s="64"/>
    </row>
    <row r="1517" ht="16.5" customHeight="1">
      <c r="A1517" s="64"/>
      <c r="B1517" s="80" t="s">
        <v>18249</v>
      </c>
      <c r="C1517" s="81" t="str">
        <f>IFERROR(__xludf.DUMMYFUNCTION("""COMPUTED_VALUE"""),"enobkered1")</f>
        <v>enobkered1</v>
      </c>
      <c r="D1517" s="75">
        <f>IFERROR(__xludf.DUMMYFUNCTION("""COMPUTED_VALUE"""),0.0)</f>
        <v>0</v>
      </c>
      <c r="E1517" s="64"/>
      <c r="F1517" s="95"/>
      <c r="G1517" s="96"/>
      <c r="H1517" s="64"/>
      <c r="I1517" s="64"/>
      <c r="J1517" s="64"/>
      <c r="K1517" s="64"/>
      <c r="L1517" s="64"/>
    </row>
    <row r="1518" ht="16.5" customHeight="1">
      <c r="A1518" s="64"/>
      <c r="B1518" s="80" t="s">
        <v>18249</v>
      </c>
      <c r="C1518" s="81" t="str">
        <f>IFERROR(__xludf.DUMMYFUNCTION("""COMPUTED_VALUE"""),"enya92037321")</f>
        <v>enya92037321</v>
      </c>
      <c r="D1518" s="75">
        <f>IFERROR(__xludf.DUMMYFUNCTION("""COMPUTED_VALUE"""),0.0)</f>
        <v>0</v>
      </c>
      <c r="E1518" s="64"/>
      <c r="F1518" s="95"/>
      <c r="G1518" s="96"/>
      <c r="H1518" s="64"/>
      <c r="I1518" s="64"/>
      <c r="J1518" s="64"/>
      <c r="K1518" s="64"/>
      <c r="L1518" s="64"/>
    </row>
    <row r="1519" ht="16.5" customHeight="1">
      <c r="A1519" s="64"/>
      <c r="B1519" s="80" t="s">
        <v>18249</v>
      </c>
      <c r="C1519" s="81" t="str">
        <f>IFERROR(__xludf.DUMMYFUNCTION("""COMPUTED_VALUE"""),"erichearn")</f>
        <v>erichearn</v>
      </c>
      <c r="D1519" s="75">
        <f>IFERROR(__xludf.DUMMYFUNCTION("""COMPUTED_VALUE"""),0.0)</f>
        <v>0</v>
      </c>
      <c r="E1519" s="64"/>
      <c r="F1519" s="95"/>
      <c r="G1519" s="96"/>
      <c r="H1519" s="64"/>
      <c r="I1519" s="64"/>
      <c r="J1519" s="64"/>
      <c r="K1519" s="64"/>
      <c r="L1519" s="64"/>
    </row>
    <row r="1520" ht="16.5" customHeight="1">
      <c r="A1520" s="64"/>
      <c r="B1520" s="80" t="s">
        <v>18249</v>
      </c>
      <c r="C1520" s="81" t="str">
        <f>IFERROR(__xludf.DUMMYFUNCTION("""COMPUTED_VALUE"""),"esther_livesey")</f>
        <v>esther_livesey</v>
      </c>
      <c r="D1520" s="75">
        <f>IFERROR(__xludf.DUMMYFUNCTION("""COMPUTED_VALUE"""),0.0)</f>
        <v>0</v>
      </c>
      <c r="E1520" s="64"/>
      <c r="F1520" s="95"/>
      <c r="G1520" s="96"/>
      <c r="H1520" s="64"/>
      <c r="I1520" s="64"/>
      <c r="J1520" s="64"/>
      <c r="K1520" s="64"/>
      <c r="L1520" s="64"/>
    </row>
    <row r="1521" ht="16.5" customHeight="1">
      <c r="A1521" s="64"/>
      <c r="B1521" s="80" t="s">
        <v>18249</v>
      </c>
      <c r="C1521" s="81" t="str">
        <f>IFERROR(__xludf.DUMMYFUNCTION("""COMPUTED_VALUE"""),"etihwv")</f>
        <v>etihwv</v>
      </c>
      <c r="D1521" s="75">
        <f>IFERROR(__xludf.DUMMYFUNCTION("""COMPUTED_VALUE"""),0.0)</f>
        <v>0</v>
      </c>
      <c r="E1521" s="64"/>
      <c r="F1521" s="95"/>
      <c r="G1521" s="96"/>
      <c r="H1521" s="64"/>
      <c r="I1521" s="64"/>
      <c r="J1521" s="64"/>
      <c r="K1521" s="64"/>
      <c r="L1521" s="64"/>
    </row>
    <row r="1522" ht="16.5" customHeight="1">
      <c r="A1522" s="64"/>
      <c r="B1522" s="80" t="s">
        <v>18249</v>
      </c>
      <c r="C1522" s="81" t="str">
        <f>IFERROR(__xludf.DUMMYFUNCTION("""COMPUTED_VALUE"""),"etkwebster")</f>
        <v>etkwebster</v>
      </c>
      <c r="D1522" s="75">
        <f>IFERROR(__xludf.DUMMYFUNCTION("""COMPUTED_VALUE"""),0.0)</f>
        <v>0</v>
      </c>
      <c r="E1522" s="64"/>
      <c r="F1522" s="95"/>
      <c r="G1522" s="96"/>
      <c r="H1522" s="64"/>
      <c r="I1522" s="64"/>
      <c r="J1522" s="64"/>
      <c r="K1522" s="64"/>
      <c r="L1522" s="64"/>
    </row>
    <row r="1523" ht="16.5" customHeight="1">
      <c r="A1523" s="64"/>
      <c r="B1523" s="80" t="s">
        <v>18249</v>
      </c>
      <c r="C1523" s="81" t="str">
        <f>IFERROR(__xludf.DUMMYFUNCTION("""COMPUTED_VALUE"""),"etxberria55")</f>
        <v>etxberria55</v>
      </c>
      <c r="D1523" s="75">
        <f>IFERROR(__xludf.DUMMYFUNCTION("""COMPUTED_VALUE"""),0.0)</f>
        <v>0</v>
      </c>
      <c r="E1523" s="64"/>
      <c r="F1523" s="95"/>
      <c r="G1523" s="96"/>
      <c r="H1523" s="64"/>
      <c r="I1523" s="64"/>
      <c r="J1523" s="64"/>
      <c r="K1523" s="64"/>
      <c r="L1523" s="64"/>
    </row>
    <row r="1524" ht="16.5" customHeight="1">
      <c r="A1524" s="64"/>
      <c r="B1524" s="80" t="s">
        <v>18249</v>
      </c>
      <c r="C1524" s="81" t="str">
        <f>IFERROR(__xludf.DUMMYFUNCTION("""COMPUTED_VALUE"""),"euanfar")</f>
        <v>euanfar</v>
      </c>
      <c r="D1524" s="75">
        <f>IFERROR(__xludf.DUMMYFUNCTION("""COMPUTED_VALUE"""),0.0)</f>
        <v>0</v>
      </c>
      <c r="E1524" s="64"/>
      <c r="F1524" s="95"/>
      <c r="G1524" s="96"/>
      <c r="H1524" s="64"/>
      <c r="I1524" s="64"/>
      <c r="J1524" s="64"/>
      <c r="K1524" s="64"/>
      <c r="L1524" s="64"/>
    </row>
    <row r="1525" ht="16.5" customHeight="1">
      <c r="A1525" s="64"/>
      <c r="B1525" s="80" t="s">
        <v>18249</v>
      </c>
      <c r="C1525" s="81" t="str">
        <f>IFERROR(__xludf.DUMMYFUNCTION("""COMPUTED_VALUE"""),"eurightswatch")</f>
        <v>eurightswatch</v>
      </c>
      <c r="D1525" s="75">
        <f>IFERROR(__xludf.DUMMYFUNCTION("""COMPUTED_VALUE"""),0.0)</f>
        <v>0</v>
      </c>
      <c r="E1525" s="64"/>
      <c r="F1525" s="95"/>
      <c r="G1525" s="96"/>
      <c r="H1525" s="64"/>
      <c r="I1525" s="64"/>
      <c r="J1525" s="64"/>
      <c r="K1525" s="64"/>
      <c r="L1525" s="64"/>
    </row>
    <row r="1526" ht="16.5" customHeight="1">
      <c r="A1526" s="64"/>
      <c r="B1526" s="80" t="s">
        <v>18249</v>
      </c>
      <c r="C1526" s="81" t="str">
        <f>IFERROR(__xludf.DUMMYFUNCTION("""COMPUTED_VALUE"""),"eva_kenneth")</f>
        <v>eva_kenneth</v>
      </c>
      <c r="D1526" s="75">
        <f>IFERROR(__xludf.DUMMYFUNCTION("""COMPUTED_VALUE"""),0.0)</f>
        <v>0</v>
      </c>
      <c r="E1526" s="64"/>
      <c r="F1526" s="95"/>
      <c r="G1526" s="96"/>
      <c r="H1526" s="64"/>
      <c r="I1526" s="64"/>
      <c r="J1526" s="64"/>
      <c r="K1526" s="64"/>
      <c r="L1526" s="64"/>
    </row>
    <row r="1527" ht="16.5" customHeight="1">
      <c r="A1527" s="64"/>
      <c r="B1527" s="80" t="s">
        <v>18249</v>
      </c>
      <c r="C1527" s="81" t="str">
        <f>IFERROR(__xludf.DUMMYFUNCTION("""COMPUTED_VALUE"""),"eyejosh")</f>
        <v>eyejosh</v>
      </c>
      <c r="D1527" s="75">
        <f>IFERROR(__xludf.DUMMYFUNCTION("""COMPUTED_VALUE"""),0.0)</f>
        <v>0</v>
      </c>
      <c r="E1527" s="64"/>
      <c r="F1527" s="95"/>
      <c r="G1527" s="96"/>
      <c r="H1527" s="64"/>
      <c r="I1527" s="64"/>
      <c r="J1527" s="64"/>
      <c r="K1527" s="64"/>
      <c r="L1527" s="64"/>
    </row>
    <row r="1528" ht="16.5" customHeight="1">
      <c r="A1528" s="64"/>
      <c r="B1528" s="80" t="s">
        <v>18249</v>
      </c>
      <c r="C1528" s="81" t="str">
        <f>IFERROR(__xludf.DUMMYFUNCTION("""COMPUTED_VALUE"""),"ezzye")</f>
        <v>ezzye</v>
      </c>
      <c r="D1528" s="75">
        <f>IFERROR(__xludf.DUMMYFUNCTION("""COMPUTED_VALUE"""),0.0)</f>
        <v>0</v>
      </c>
      <c r="E1528" s="64"/>
      <c r="F1528" s="95"/>
      <c r="G1528" s="96"/>
      <c r="H1528" s="64"/>
      <c r="I1528" s="64"/>
      <c r="J1528" s="64"/>
      <c r="K1528" s="64"/>
      <c r="L1528" s="64"/>
    </row>
    <row r="1529" ht="16.5" customHeight="1">
      <c r="A1529" s="64"/>
      <c r="B1529" s="80" t="s">
        <v>18249</v>
      </c>
      <c r="C1529" s="81" t="str">
        <f>IFERROR(__xludf.DUMMYFUNCTION("""COMPUTED_VALUE"""),"farfield79")</f>
        <v>farfield79</v>
      </c>
      <c r="D1529" s="75">
        <f>IFERROR(__xludf.DUMMYFUNCTION("""COMPUTED_VALUE"""),0.0)</f>
        <v>0</v>
      </c>
      <c r="E1529" s="64"/>
      <c r="F1529" s="95"/>
      <c r="G1529" s="96"/>
      <c r="H1529" s="64"/>
      <c r="I1529" s="64"/>
      <c r="J1529" s="64"/>
      <c r="K1529" s="64"/>
      <c r="L1529" s="64"/>
    </row>
    <row r="1530" ht="16.5" customHeight="1">
      <c r="A1530" s="64"/>
      <c r="B1530" s="80" t="s">
        <v>18249</v>
      </c>
      <c r="C1530" s="81" t="str">
        <f>IFERROR(__xludf.DUMMYFUNCTION("""COMPUTED_VALUE"""),"farquar")</f>
        <v>farquar</v>
      </c>
      <c r="D1530" s="75">
        <f>IFERROR(__xludf.DUMMYFUNCTION("""COMPUTED_VALUE"""),0.0)</f>
        <v>0</v>
      </c>
      <c r="E1530" s="64"/>
      <c r="F1530" s="95"/>
      <c r="G1530" s="96"/>
      <c r="H1530" s="64"/>
      <c r="I1530" s="64"/>
      <c r="J1530" s="64"/>
      <c r="K1530" s="64"/>
      <c r="L1530" s="64"/>
    </row>
    <row r="1531" ht="16.5" customHeight="1">
      <c r="A1531" s="64"/>
      <c r="B1531" s="80" t="s">
        <v>18249</v>
      </c>
      <c r="C1531" s="81" t="str">
        <f>IFERROR(__xludf.DUMMYFUNCTION("""COMPUTED_VALUE"""),"fascinatorfun")</f>
        <v>fascinatorfun</v>
      </c>
      <c r="D1531" s="75">
        <f>IFERROR(__xludf.DUMMYFUNCTION("""COMPUTED_VALUE"""),0.0)</f>
        <v>0</v>
      </c>
      <c r="E1531" s="64"/>
      <c r="F1531" s="95"/>
      <c r="G1531" s="96"/>
      <c r="H1531" s="64"/>
      <c r="I1531" s="64"/>
      <c r="J1531" s="64"/>
      <c r="K1531" s="64"/>
      <c r="L1531" s="64"/>
    </row>
    <row r="1532" ht="16.5" customHeight="1">
      <c r="A1532" s="64"/>
      <c r="B1532" s="80" t="s">
        <v>18249</v>
      </c>
      <c r="C1532" s="81" t="str">
        <f>IFERROR(__xludf.DUMMYFUNCTION("""COMPUTED_VALUE"""),"fatchaz61")</f>
        <v>fatchaz61</v>
      </c>
      <c r="D1532" s="75">
        <f>IFERROR(__xludf.DUMMYFUNCTION("""COMPUTED_VALUE"""),0.0)</f>
        <v>0</v>
      </c>
      <c r="E1532" s="64"/>
      <c r="F1532" s="95"/>
      <c r="G1532" s="96"/>
      <c r="H1532" s="64"/>
      <c r="I1532" s="64"/>
      <c r="J1532" s="64"/>
      <c r="K1532" s="64"/>
      <c r="L1532" s="64"/>
    </row>
    <row r="1533" ht="16.5" customHeight="1">
      <c r="A1533" s="64"/>
      <c r="B1533" s="80" t="s">
        <v>18249</v>
      </c>
      <c r="C1533" s="81" t="str">
        <f>IFERROR(__xludf.DUMMYFUNCTION("""COMPUTED_VALUE"""),"fatoldsun68")</f>
        <v>fatoldsun68</v>
      </c>
      <c r="D1533" s="75">
        <f>IFERROR(__xludf.DUMMYFUNCTION("""COMPUTED_VALUE"""),0.0)</f>
        <v>0</v>
      </c>
      <c r="E1533" s="64"/>
      <c r="F1533" s="95"/>
      <c r="G1533" s="96"/>
      <c r="H1533" s="64"/>
      <c r="I1533" s="64"/>
      <c r="J1533" s="64"/>
      <c r="K1533" s="64"/>
      <c r="L1533" s="64"/>
    </row>
    <row r="1534" ht="16.5" customHeight="1">
      <c r="A1534" s="64"/>
      <c r="B1534" s="80" t="s">
        <v>18249</v>
      </c>
      <c r="C1534" s="81" t="str">
        <f>IFERROR(__xludf.DUMMYFUNCTION("""COMPUTED_VALUE"""),"fbpe_h")</f>
        <v>fbpe_h</v>
      </c>
      <c r="D1534" s="75">
        <f>IFERROR(__xludf.DUMMYFUNCTION("""COMPUTED_VALUE"""),0.0)</f>
        <v>0</v>
      </c>
      <c r="E1534" s="64"/>
      <c r="F1534" s="95"/>
      <c r="G1534" s="96"/>
      <c r="H1534" s="64"/>
      <c r="I1534" s="64"/>
      <c r="J1534" s="64"/>
      <c r="K1534" s="64"/>
      <c r="L1534" s="64"/>
    </row>
    <row r="1535" ht="16.5" customHeight="1">
      <c r="A1535" s="64"/>
      <c r="B1535" s="80" t="s">
        <v>18249</v>
      </c>
      <c r="C1535" s="81" t="str">
        <f>IFERROR(__xludf.DUMMYFUNCTION("""COMPUTED_VALUE"""),"fbtoast")</f>
        <v>fbtoast</v>
      </c>
      <c r="D1535" s="75">
        <f>IFERROR(__xludf.DUMMYFUNCTION("""COMPUTED_VALUE"""),0.0)</f>
        <v>0</v>
      </c>
      <c r="E1535" s="64"/>
      <c r="F1535" s="95"/>
      <c r="G1535" s="96"/>
      <c r="H1535" s="64"/>
      <c r="I1535" s="64"/>
      <c r="J1535" s="64"/>
      <c r="K1535" s="64"/>
      <c r="L1535" s="64"/>
    </row>
    <row r="1536" ht="16.5" customHeight="1">
      <c r="A1536" s="64"/>
      <c r="B1536" s="80" t="s">
        <v>18249</v>
      </c>
      <c r="C1536" s="81" t="str">
        <f>IFERROR(__xludf.DUMMYFUNCTION("""COMPUTED_VALUE"""),"fergs01")</f>
        <v>fergs01</v>
      </c>
      <c r="D1536" s="75">
        <f>IFERROR(__xludf.DUMMYFUNCTION("""COMPUTED_VALUE"""),0.0)</f>
        <v>0</v>
      </c>
      <c r="E1536" s="64"/>
      <c r="F1536" s="95"/>
      <c r="G1536" s="96"/>
      <c r="H1536" s="64"/>
      <c r="I1536" s="64"/>
      <c r="J1536" s="64"/>
      <c r="K1536" s="64"/>
      <c r="L1536" s="64"/>
    </row>
    <row r="1537" ht="16.5" customHeight="1">
      <c r="A1537" s="64"/>
      <c r="B1537" s="80" t="s">
        <v>18249</v>
      </c>
      <c r="C1537" s="81" t="str">
        <f>IFERROR(__xludf.DUMMYFUNCTION("""COMPUTED_VALUE"""),"fiercetiger103")</f>
        <v>fiercetiger103</v>
      </c>
      <c r="D1537" s="75">
        <f>IFERROR(__xludf.DUMMYFUNCTION("""COMPUTED_VALUE"""),0.0)</f>
        <v>0</v>
      </c>
      <c r="E1537" s="64"/>
      <c r="F1537" s="95"/>
      <c r="G1537" s="96"/>
      <c r="H1537" s="64"/>
      <c r="I1537" s="64"/>
      <c r="J1537" s="64"/>
      <c r="K1537" s="64"/>
      <c r="L1537" s="64"/>
    </row>
    <row r="1538" ht="16.5" customHeight="1">
      <c r="A1538" s="64"/>
      <c r="B1538" s="80" t="s">
        <v>18249</v>
      </c>
      <c r="C1538" s="81" t="str">
        <f>IFERROR(__xludf.DUMMYFUNCTION("""COMPUTED_VALUE"""),"filsdelenin")</f>
        <v>filsdelenin</v>
      </c>
      <c r="D1538" s="75">
        <f>IFERROR(__xludf.DUMMYFUNCTION("""COMPUTED_VALUE"""),0.0)</f>
        <v>0</v>
      </c>
      <c r="E1538" s="64"/>
      <c r="F1538" s="95"/>
      <c r="G1538" s="96"/>
      <c r="H1538" s="64"/>
      <c r="I1538" s="64"/>
      <c r="J1538" s="64"/>
      <c r="K1538" s="64"/>
      <c r="L1538" s="64"/>
    </row>
    <row r="1539" ht="16.5" customHeight="1">
      <c r="A1539" s="64"/>
      <c r="B1539" s="80" t="s">
        <v>18249</v>
      </c>
      <c r="C1539" s="81" t="str">
        <f>IFERROR(__xludf.DUMMYFUNCTION("""COMPUTED_VALUE"""),"financedoor_de")</f>
        <v>financedoor_de</v>
      </c>
      <c r="D1539" s="75">
        <f>IFERROR(__xludf.DUMMYFUNCTION("""COMPUTED_VALUE"""),0.0)</f>
        <v>0</v>
      </c>
      <c r="E1539" s="64"/>
      <c r="F1539" s="95"/>
      <c r="G1539" s="96"/>
      <c r="H1539" s="64"/>
      <c r="I1539" s="64"/>
      <c r="J1539" s="64"/>
      <c r="K1539" s="64"/>
      <c r="L1539" s="64"/>
    </row>
    <row r="1540" ht="16.5" customHeight="1">
      <c r="A1540" s="64"/>
      <c r="B1540" s="80" t="s">
        <v>18249</v>
      </c>
      <c r="C1540" s="81" t="str">
        <f>IFERROR(__xludf.DUMMYFUNCTION("""COMPUTED_VALUE"""),"fionn114")</f>
        <v>fionn114</v>
      </c>
      <c r="D1540" s="75">
        <f>IFERROR(__xludf.DUMMYFUNCTION("""COMPUTED_VALUE"""),0.0)</f>
        <v>0</v>
      </c>
      <c r="E1540" s="64"/>
      <c r="F1540" s="95"/>
      <c r="G1540" s="96"/>
      <c r="H1540" s="64"/>
      <c r="I1540" s="64"/>
      <c r="J1540" s="64"/>
      <c r="K1540" s="64"/>
      <c r="L1540" s="64"/>
    </row>
    <row r="1541" ht="16.5" customHeight="1">
      <c r="A1541" s="64"/>
      <c r="B1541" s="80" t="s">
        <v>18249</v>
      </c>
      <c r="C1541" s="81" t="str">
        <f>IFERROR(__xludf.DUMMYFUNCTION("""COMPUTED_VALUE"""),"fishface58")</f>
        <v>fishface58</v>
      </c>
      <c r="D1541" s="75">
        <f>IFERROR(__xludf.DUMMYFUNCTION("""COMPUTED_VALUE"""),0.0)</f>
        <v>0</v>
      </c>
      <c r="E1541" s="64"/>
      <c r="F1541" s="95"/>
      <c r="G1541" s="96"/>
      <c r="H1541" s="64"/>
      <c r="I1541" s="64"/>
      <c r="J1541" s="64"/>
      <c r="K1541" s="64"/>
      <c r="L1541" s="64"/>
    </row>
    <row r="1542" ht="16.5" customHeight="1">
      <c r="A1542" s="64"/>
      <c r="B1542" s="80" t="s">
        <v>18249</v>
      </c>
      <c r="C1542" s="81" t="str">
        <f>IFERROR(__xludf.DUMMYFUNCTION("""COMPUTED_VALUE"""),"fitzjimi")</f>
        <v>fitzjimi</v>
      </c>
      <c r="D1542" s="75">
        <f>IFERROR(__xludf.DUMMYFUNCTION("""COMPUTED_VALUE"""),0.0)</f>
        <v>0</v>
      </c>
      <c r="E1542" s="64"/>
      <c r="F1542" s="95"/>
      <c r="G1542" s="96"/>
      <c r="H1542" s="64"/>
      <c r="I1542" s="64"/>
      <c r="J1542" s="64"/>
      <c r="K1542" s="64"/>
      <c r="L1542" s="64"/>
    </row>
    <row r="1543" ht="16.5" customHeight="1">
      <c r="A1543" s="64"/>
      <c r="B1543" s="80" t="s">
        <v>18249</v>
      </c>
      <c r="C1543" s="81" t="str">
        <f>IFERROR(__xludf.DUMMYFUNCTION("""COMPUTED_VALUE"""),"floater1985")</f>
        <v>floater1985</v>
      </c>
      <c r="D1543" s="75">
        <f>IFERROR(__xludf.DUMMYFUNCTION("""COMPUTED_VALUE"""),0.0)</f>
        <v>0</v>
      </c>
      <c r="E1543" s="64"/>
      <c r="F1543" s="95"/>
      <c r="G1543" s="96"/>
      <c r="H1543" s="64"/>
      <c r="I1543" s="64"/>
      <c r="J1543" s="64"/>
      <c r="K1543" s="64"/>
      <c r="L1543" s="64"/>
    </row>
    <row r="1544" ht="16.5" customHeight="1">
      <c r="A1544" s="64"/>
      <c r="B1544" s="80" t="s">
        <v>18249</v>
      </c>
      <c r="C1544" s="81" t="str">
        <f>IFERROR(__xludf.DUMMYFUNCTION("""COMPUTED_VALUE"""),"flora_heather")</f>
        <v>flora_heather</v>
      </c>
      <c r="D1544" s="75">
        <f>IFERROR(__xludf.DUMMYFUNCTION("""COMPUTED_VALUE"""),0.0)</f>
        <v>0</v>
      </c>
      <c r="E1544" s="64"/>
      <c r="F1544" s="95"/>
      <c r="G1544" s="96"/>
      <c r="H1544" s="64"/>
      <c r="I1544" s="64"/>
      <c r="J1544" s="64"/>
      <c r="K1544" s="64"/>
      <c r="L1544" s="64"/>
    </row>
    <row r="1545" ht="16.5" customHeight="1">
      <c r="A1545" s="64"/>
      <c r="B1545" s="80" t="s">
        <v>18249</v>
      </c>
      <c r="C1545" s="81" t="str">
        <f>IFERROR(__xludf.DUMMYFUNCTION("""COMPUTED_VALUE"""),"fluteuphisnose")</f>
        <v>fluteuphisnose</v>
      </c>
      <c r="D1545" s="75">
        <f>IFERROR(__xludf.DUMMYFUNCTION("""COMPUTED_VALUE"""),0.0)</f>
        <v>0</v>
      </c>
      <c r="E1545" s="64"/>
      <c r="F1545" s="95"/>
      <c r="G1545" s="96"/>
      <c r="H1545" s="64"/>
      <c r="I1545" s="64"/>
      <c r="J1545" s="64"/>
      <c r="K1545" s="64"/>
      <c r="L1545" s="64"/>
    </row>
    <row r="1546" ht="16.5" customHeight="1">
      <c r="A1546" s="64"/>
      <c r="B1546" s="80" t="s">
        <v>18249</v>
      </c>
      <c r="C1546" s="81" t="str">
        <f>IFERROR(__xludf.DUMMYFUNCTION("""COMPUTED_VALUE"""),"fourstar1979")</f>
        <v>fourstar1979</v>
      </c>
      <c r="D1546" s="75">
        <f>IFERROR(__xludf.DUMMYFUNCTION("""COMPUTED_VALUE"""),0.0)</f>
        <v>0</v>
      </c>
      <c r="E1546" s="64"/>
      <c r="F1546" s="95"/>
      <c r="G1546" s="96"/>
      <c r="H1546" s="64"/>
      <c r="I1546" s="64"/>
      <c r="J1546" s="64"/>
      <c r="K1546" s="64"/>
      <c r="L1546" s="64"/>
    </row>
    <row r="1547" ht="16.5" customHeight="1">
      <c r="A1547" s="64"/>
      <c r="B1547" s="80" t="s">
        <v>18249</v>
      </c>
      <c r="C1547" s="81" t="str">
        <f>IFERROR(__xludf.DUMMYFUNCTION("""COMPUTED_VALUE"""),"fozziebear74")</f>
        <v>fozziebear74</v>
      </c>
      <c r="D1547" s="75">
        <f>IFERROR(__xludf.DUMMYFUNCTION("""COMPUTED_VALUE"""),0.0)</f>
        <v>0</v>
      </c>
      <c r="E1547" s="64"/>
      <c r="F1547" s="95"/>
      <c r="G1547" s="96"/>
      <c r="H1547" s="64"/>
      <c r="I1547" s="64"/>
      <c r="J1547" s="64"/>
      <c r="K1547" s="64"/>
      <c r="L1547" s="64"/>
    </row>
    <row r="1548" ht="16.5" customHeight="1">
      <c r="A1548" s="64"/>
      <c r="B1548" s="80" t="s">
        <v>18249</v>
      </c>
      <c r="C1548" s="81" t="str">
        <f>IFERROR(__xludf.DUMMYFUNCTION("""COMPUTED_VALUE"""),"fplchrisg100")</f>
        <v>fplchrisg100</v>
      </c>
      <c r="D1548" s="75">
        <f>IFERROR(__xludf.DUMMYFUNCTION("""COMPUTED_VALUE"""),0.0)</f>
        <v>0</v>
      </c>
      <c r="E1548" s="64"/>
      <c r="F1548" s="95"/>
      <c r="G1548" s="96"/>
      <c r="H1548" s="64"/>
      <c r="I1548" s="64"/>
      <c r="J1548" s="64"/>
      <c r="K1548" s="64"/>
      <c r="L1548" s="64"/>
    </row>
    <row r="1549" ht="16.5" customHeight="1">
      <c r="A1549" s="64"/>
      <c r="B1549" s="80" t="s">
        <v>18249</v>
      </c>
      <c r="C1549" s="81" t="str">
        <f>IFERROR(__xludf.DUMMYFUNCTION("""COMPUTED_VALUE"""),"francis_farrell")</f>
        <v>francis_farrell</v>
      </c>
      <c r="D1549" s="75">
        <f>IFERROR(__xludf.DUMMYFUNCTION("""COMPUTED_VALUE"""),0.0)</f>
        <v>0</v>
      </c>
      <c r="E1549" s="64"/>
      <c r="F1549" s="95"/>
      <c r="G1549" s="96"/>
      <c r="H1549" s="64"/>
      <c r="I1549" s="64"/>
      <c r="J1549" s="64"/>
      <c r="K1549" s="64"/>
      <c r="L1549" s="64"/>
    </row>
    <row r="1550" ht="16.5" customHeight="1">
      <c r="A1550" s="64"/>
      <c r="B1550" s="80" t="s">
        <v>18249</v>
      </c>
      <c r="C1550" s="81" t="str">
        <f>IFERROR(__xludf.DUMMYFUNCTION("""COMPUTED_VALUE"""),"franjangle")</f>
        <v>franjangle</v>
      </c>
      <c r="D1550" s="75">
        <f>IFERROR(__xludf.DUMMYFUNCTION("""COMPUTED_VALUE"""),0.0)</f>
        <v>0</v>
      </c>
      <c r="E1550" s="64"/>
      <c r="F1550" s="95"/>
      <c r="G1550" s="96"/>
      <c r="H1550" s="64"/>
      <c r="I1550" s="64"/>
      <c r="J1550" s="64"/>
      <c r="K1550" s="64"/>
      <c r="L1550" s="64"/>
    </row>
    <row r="1551" ht="16.5" customHeight="1">
      <c r="A1551" s="64"/>
      <c r="B1551" s="80" t="s">
        <v>18249</v>
      </c>
      <c r="C1551" s="81" t="str">
        <f>IFERROR(__xludf.DUMMYFUNCTION("""COMPUTED_VALUE"""),"fransglobal")</f>
        <v>fransglobal</v>
      </c>
      <c r="D1551" s="75">
        <f>IFERROR(__xludf.DUMMYFUNCTION("""COMPUTED_VALUE"""),0.0)</f>
        <v>0</v>
      </c>
      <c r="E1551" s="64"/>
      <c r="F1551" s="95"/>
      <c r="G1551" s="96"/>
      <c r="H1551" s="64"/>
      <c r="I1551" s="64"/>
      <c r="J1551" s="64"/>
      <c r="K1551" s="64"/>
      <c r="L1551" s="64"/>
    </row>
    <row r="1552" ht="16.5" customHeight="1">
      <c r="A1552" s="64"/>
      <c r="B1552" s="80" t="s">
        <v>18249</v>
      </c>
      <c r="C1552" s="81" t="str">
        <f>IFERROR(__xludf.DUMMYFUNCTION("""COMPUTED_VALUE"""),"freeWorld2")</f>
        <v>freeWorld2</v>
      </c>
      <c r="D1552" s="75">
        <f>IFERROR(__xludf.DUMMYFUNCTION("""COMPUTED_VALUE"""),0.0)</f>
        <v>0</v>
      </c>
      <c r="E1552" s="64"/>
      <c r="F1552" s="95"/>
      <c r="G1552" s="96"/>
      <c r="H1552" s="64"/>
      <c r="I1552" s="64"/>
      <c r="J1552" s="64"/>
      <c r="K1552" s="64"/>
      <c r="L1552" s="64"/>
    </row>
    <row r="1553" ht="16.5" customHeight="1">
      <c r="A1553" s="64"/>
      <c r="B1553" s="80" t="s">
        <v>18249</v>
      </c>
      <c r="C1553" s="81" t="str">
        <f>IFERROR(__xludf.DUMMYFUNCTION("""COMPUTED_VALUE"""),"frenchieinlimbo")</f>
        <v>frenchieinlimbo</v>
      </c>
      <c r="D1553" s="75">
        <f>IFERROR(__xludf.DUMMYFUNCTION("""COMPUTED_VALUE"""),0.0)</f>
        <v>0</v>
      </c>
      <c r="E1553" s="64"/>
      <c r="F1553" s="95"/>
      <c r="G1553" s="96"/>
      <c r="H1553" s="64"/>
      <c r="I1553" s="64"/>
      <c r="J1553" s="64"/>
      <c r="K1553" s="64"/>
      <c r="L1553" s="64"/>
    </row>
    <row r="1554" ht="16.5" customHeight="1">
      <c r="A1554" s="64"/>
      <c r="B1554" s="80" t="s">
        <v>18249</v>
      </c>
      <c r="C1554" s="81" t="str">
        <f>IFERROR(__xludf.DUMMYFUNCTION("""COMPUTED_VALUE"""),"frog_bum")</f>
        <v>frog_bum</v>
      </c>
      <c r="D1554" s="75">
        <f>IFERROR(__xludf.DUMMYFUNCTION("""COMPUTED_VALUE"""),0.0)</f>
        <v>0</v>
      </c>
      <c r="E1554" s="64"/>
      <c r="F1554" s="95"/>
      <c r="G1554" s="96"/>
      <c r="H1554" s="64"/>
      <c r="I1554" s="64"/>
      <c r="J1554" s="64"/>
      <c r="K1554" s="64"/>
      <c r="L1554" s="64"/>
    </row>
    <row r="1555" ht="16.5" customHeight="1">
      <c r="A1555" s="64"/>
      <c r="B1555" s="80" t="s">
        <v>18249</v>
      </c>
      <c r="C1555" s="81" t="str">
        <f>IFERROR(__xludf.DUMMYFUNCTION("""COMPUTED_VALUE"""),"frostyinfinity")</f>
        <v>frostyinfinity</v>
      </c>
      <c r="D1555" s="75">
        <f>IFERROR(__xludf.DUMMYFUNCTION("""COMPUTED_VALUE"""),0.0)</f>
        <v>0</v>
      </c>
      <c r="E1555" s="64"/>
      <c r="F1555" s="95"/>
      <c r="G1555" s="96"/>
      <c r="H1555" s="64"/>
      <c r="I1555" s="64"/>
      <c r="J1555" s="64"/>
      <c r="K1555" s="64"/>
      <c r="L1555" s="64"/>
    </row>
    <row r="1556" ht="16.5" customHeight="1">
      <c r="A1556" s="64"/>
      <c r="B1556" s="80" t="s">
        <v>18249</v>
      </c>
      <c r="C1556" s="81" t="str">
        <f>IFERROR(__xludf.DUMMYFUNCTION("""COMPUTED_VALUE"""),"fullcirclefibre")</f>
        <v>fullcirclefibre</v>
      </c>
      <c r="D1556" s="75">
        <f>IFERROR(__xludf.DUMMYFUNCTION("""COMPUTED_VALUE"""),0.0)</f>
        <v>0</v>
      </c>
      <c r="E1556" s="64"/>
      <c r="F1556" s="95"/>
      <c r="G1556" s="96"/>
      <c r="H1556" s="64"/>
      <c r="I1556" s="64"/>
      <c r="J1556" s="64"/>
      <c r="K1556" s="64"/>
      <c r="L1556" s="64"/>
    </row>
    <row r="1557" ht="16.5" customHeight="1">
      <c r="A1557" s="64"/>
      <c r="B1557" s="80" t="s">
        <v>18249</v>
      </c>
      <c r="C1557" s="81" t="str">
        <f>IFERROR(__xludf.DUMMYFUNCTION("""COMPUTED_VALUE"""),"fxstreetcn")</f>
        <v>fxstreetcn</v>
      </c>
      <c r="D1557" s="75">
        <f>IFERROR(__xludf.DUMMYFUNCTION("""COMPUTED_VALUE"""),0.0)</f>
        <v>0</v>
      </c>
      <c r="E1557" s="64"/>
      <c r="F1557" s="95"/>
      <c r="G1557" s="96"/>
      <c r="H1557" s="64"/>
      <c r="I1557" s="64"/>
      <c r="J1557" s="64"/>
      <c r="K1557" s="64"/>
      <c r="L1557" s="64"/>
    </row>
    <row r="1558" ht="16.5" customHeight="1">
      <c r="A1558" s="64"/>
      <c r="B1558" s="80" t="s">
        <v>18249</v>
      </c>
      <c r="C1558" s="81" t="str">
        <f>IFERROR(__xludf.DUMMYFUNCTION("""COMPUTED_VALUE"""),"fxstreetnewsid")</f>
        <v>fxstreetnewsid</v>
      </c>
      <c r="D1558" s="75">
        <f>IFERROR(__xludf.DUMMYFUNCTION("""COMPUTED_VALUE"""),0.0)</f>
        <v>0</v>
      </c>
      <c r="E1558" s="64"/>
      <c r="F1558" s="95"/>
      <c r="G1558" s="96"/>
      <c r="H1558" s="64"/>
      <c r="I1558" s="64"/>
      <c r="J1558" s="64"/>
      <c r="K1558" s="64"/>
      <c r="L1558" s="64"/>
    </row>
    <row r="1559" ht="16.5" customHeight="1">
      <c r="A1559" s="64"/>
      <c r="B1559" s="80" t="s">
        <v>18249</v>
      </c>
      <c r="C1559" s="81" t="str">
        <f>IFERROR(__xludf.DUMMYFUNCTION("""COMPUTED_VALUE"""),"fy_teigr")</f>
        <v>fy_teigr</v>
      </c>
      <c r="D1559" s="75">
        <f>IFERROR(__xludf.DUMMYFUNCTION("""COMPUTED_VALUE"""),0.0)</f>
        <v>0</v>
      </c>
      <c r="E1559" s="64"/>
      <c r="F1559" s="95"/>
      <c r="G1559" s="96"/>
      <c r="H1559" s="64"/>
      <c r="I1559" s="64"/>
      <c r="J1559" s="64"/>
      <c r="K1559" s="64"/>
      <c r="L1559" s="64"/>
    </row>
    <row r="1560" ht="16.5" customHeight="1">
      <c r="A1560" s="64"/>
      <c r="B1560" s="80" t="s">
        <v>18249</v>
      </c>
      <c r="C1560" s="81" t="str">
        <f>IFERROR(__xludf.DUMMYFUNCTION("""COMPUTED_VALUE"""),"ga_richardson")</f>
        <v>ga_richardson</v>
      </c>
      <c r="D1560" s="75">
        <f>IFERROR(__xludf.DUMMYFUNCTION("""COMPUTED_VALUE"""),0.0)</f>
        <v>0</v>
      </c>
      <c r="E1560" s="64"/>
      <c r="F1560" s="95"/>
      <c r="G1560" s="96"/>
      <c r="H1560" s="64"/>
      <c r="I1560" s="64"/>
      <c r="J1560" s="64"/>
      <c r="K1560" s="64"/>
      <c r="L1560" s="64"/>
    </row>
    <row r="1561" ht="16.5" customHeight="1">
      <c r="A1561" s="64"/>
      <c r="B1561" s="80" t="s">
        <v>18249</v>
      </c>
      <c r="C1561" s="81" t="str">
        <f>IFERROR(__xludf.DUMMYFUNCTION("""COMPUTED_VALUE"""),"gallop_gill")</f>
        <v>gallop_gill</v>
      </c>
      <c r="D1561" s="75">
        <f>IFERROR(__xludf.DUMMYFUNCTION("""COMPUTED_VALUE"""),0.0)</f>
        <v>0</v>
      </c>
      <c r="E1561" s="64"/>
      <c r="F1561" s="95"/>
      <c r="G1561" s="96"/>
      <c r="H1561" s="64"/>
      <c r="I1561" s="64"/>
      <c r="J1561" s="64"/>
      <c r="K1561" s="64"/>
      <c r="L1561" s="64"/>
    </row>
    <row r="1562" ht="16.5" customHeight="1">
      <c r="A1562" s="64"/>
      <c r="B1562" s="80" t="s">
        <v>18249</v>
      </c>
      <c r="C1562" s="81" t="str">
        <f>IFERROR(__xludf.DUMMYFUNCTION("""COMPUTED_VALUE"""),"gandoflam")</f>
        <v>gandoflam</v>
      </c>
      <c r="D1562" s="75">
        <f>IFERROR(__xludf.DUMMYFUNCTION("""COMPUTED_VALUE"""),0.0)</f>
        <v>0</v>
      </c>
      <c r="E1562" s="64"/>
      <c r="F1562" s="95"/>
      <c r="G1562" s="96"/>
      <c r="H1562" s="64"/>
      <c r="I1562" s="64"/>
      <c r="J1562" s="64"/>
      <c r="K1562" s="64"/>
      <c r="L1562" s="64"/>
    </row>
    <row r="1563" ht="16.5" customHeight="1">
      <c r="A1563" s="64"/>
      <c r="B1563" s="80" t="s">
        <v>18249</v>
      </c>
      <c r="C1563" s="81" t="str">
        <f>IFERROR(__xludf.DUMMYFUNCTION("""COMPUTED_VALUE"""),"garside_geoff")</f>
        <v>garside_geoff</v>
      </c>
      <c r="D1563" s="75">
        <f>IFERROR(__xludf.DUMMYFUNCTION("""COMPUTED_VALUE"""),0.0)</f>
        <v>0</v>
      </c>
      <c r="E1563" s="64"/>
      <c r="F1563" s="95"/>
      <c r="G1563" s="96"/>
      <c r="H1563" s="64"/>
      <c r="I1563" s="64"/>
      <c r="J1563" s="64"/>
      <c r="K1563" s="64"/>
      <c r="L1563" s="64"/>
    </row>
    <row r="1564" ht="16.5" customHeight="1">
      <c r="A1564" s="64"/>
      <c r="B1564" s="80" t="s">
        <v>18249</v>
      </c>
      <c r="C1564" s="81" t="str">
        <f>IFERROR(__xludf.DUMMYFUNCTION("""COMPUTED_VALUE"""),"garyj71")</f>
        <v>garyj71</v>
      </c>
      <c r="D1564" s="75">
        <f>IFERROR(__xludf.DUMMYFUNCTION("""COMPUTED_VALUE"""),0.0)</f>
        <v>0</v>
      </c>
      <c r="E1564" s="64"/>
      <c r="F1564" s="95"/>
      <c r="G1564" s="96"/>
      <c r="H1564" s="64"/>
      <c r="I1564" s="64"/>
      <c r="J1564" s="64"/>
      <c r="K1564" s="64"/>
      <c r="L1564" s="64"/>
    </row>
    <row r="1565" ht="16.5" customHeight="1">
      <c r="A1565" s="64"/>
      <c r="B1565" s="80" t="s">
        <v>18249</v>
      </c>
      <c r="C1565" s="81" t="str">
        <f>IFERROR(__xludf.DUMMYFUNCTION("""COMPUTED_VALUE"""),"gas2green")</f>
        <v>gas2green</v>
      </c>
      <c r="D1565" s="75">
        <f>IFERROR(__xludf.DUMMYFUNCTION("""COMPUTED_VALUE"""),0.0)</f>
        <v>0</v>
      </c>
      <c r="E1565" s="64"/>
      <c r="F1565" s="95"/>
      <c r="G1565" s="96"/>
      <c r="H1565" s="64"/>
      <c r="I1565" s="64"/>
      <c r="J1565" s="64"/>
      <c r="K1565" s="64"/>
      <c r="L1565" s="64"/>
    </row>
    <row r="1566" ht="16.5" customHeight="1">
      <c r="A1566" s="64"/>
      <c r="B1566" s="80" t="s">
        <v>18249</v>
      </c>
      <c r="C1566" s="81" t="str">
        <f>IFERROR(__xludf.DUMMYFUNCTION("""COMPUTED_VALUE"""),"gawbul")</f>
        <v>gawbul</v>
      </c>
      <c r="D1566" s="75">
        <f>IFERROR(__xludf.DUMMYFUNCTION("""COMPUTED_VALUE"""),0.0)</f>
        <v>0</v>
      </c>
      <c r="E1566" s="64"/>
      <c r="F1566" s="95"/>
      <c r="G1566" s="96"/>
      <c r="H1566" s="64"/>
      <c r="I1566" s="64"/>
      <c r="J1566" s="64"/>
      <c r="K1566" s="64"/>
      <c r="L1566" s="64"/>
    </row>
    <row r="1567" ht="16.5" customHeight="1">
      <c r="A1567" s="64"/>
      <c r="B1567" s="80" t="s">
        <v>18249</v>
      </c>
      <c r="C1567" s="81" t="str">
        <f>IFERROR(__xludf.DUMMYFUNCTION("""COMPUTED_VALUE"""),"gazfinch83")</f>
        <v>gazfinch83</v>
      </c>
      <c r="D1567" s="75">
        <f>IFERROR(__xludf.DUMMYFUNCTION("""COMPUTED_VALUE"""),0.0)</f>
        <v>0</v>
      </c>
      <c r="E1567" s="64"/>
      <c r="F1567" s="95"/>
      <c r="G1567" s="96"/>
      <c r="H1567" s="64"/>
      <c r="I1567" s="64"/>
      <c r="J1567" s="64"/>
      <c r="K1567" s="64"/>
      <c r="L1567" s="64"/>
    </row>
    <row r="1568" ht="16.5" customHeight="1">
      <c r="A1568" s="64"/>
      <c r="B1568" s="80" t="s">
        <v>18249</v>
      </c>
      <c r="C1568" s="81" t="str">
        <f>IFERROR(__xludf.DUMMYFUNCTION("""COMPUTED_VALUE"""),"gellilyfdy")</f>
        <v>gellilyfdy</v>
      </c>
      <c r="D1568" s="75">
        <f>IFERROR(__xludf.DUMMYFUNCTION("""COMPUTED_VALUE"""),0.0)</f>
        <v>0</v>
      </c>
      <c r="E1568" s="64"/>
      <c r="F1568" s="95"/>
      <c r="G1568" s="96"/>
      <c r="H1568" s="64"/>
      <c r="I1568" s="64"/>
      <c r="J1568" s="64"/>
      <c r="K1568" s="64"/>
      <c r="L1568" s="64"/>
    </row>
    <row r="1569" ht="16.5" customHeight="1">
      <c r="A1569" s="64"/>
      <c r="B1569" s="80" t="s">
        <v>18249</v>
      </c>
      <c r="C1569" s="81" t="str">
        <f>IFERROR(__xludf.DUMMYFUNCTION("""COMPUTED_VALUE"""),"geoffh33")</f>
        <v>geoffh33</v>
      </c>
      <c r="D1569" s="75">
        <f>IFERROR(__xludf.DUMMYFUNCTION("""COMPUTED_VALUE"""),0.0)</f>
        <v>0</v>
      </c>
      <c r="E1569" s="64"/>
      <c r="F1569" s="95"/>
      <c r="G1569" s="96"/>
      <c r="H1569" s="64"/>
      <c r="I1569" s="64"/>
      <c r="J1569" s="64"/>
      <c r="K1569" s="64"/>
      <c r="L1569" s="64"/>
    </row>
    <row r="1570" ht="16.5" customHeight="1">
      <c r="A1570" s="64"/>
      <c r="B1570" s="80" t="s">
        <v>18249</v>
      </c>
      <c r="C1570" s="81" t="str">
        <f>IFERROR(__xludf.DUMMYFUNCTION("""COMPUTED_VALUE"""),"geographyjazz")</f>
        <v>geographyjazz</v>
      </c>
      <c r="D1570" s="75">
        <f>IFERROR(__xludf.DUMMYFUNCTION("""COMPUTED_VALUE"""),0.0)</f>
        <v>0</v>
      </c>
      <c r="E1570" s="64"/>
      <c r="F1570" s="95"/>
      <c r="G1570" s="96"/>
      <c r="H1570" s="64"/>
      <c r="I1570" s="64"/>
      <c r="J1570" s="64"/>
      <c r="K1570" s="64"/>
      <c r="L1570" s="64"/>
    </row>
    <row r="1571" ht="16.5" customHeight="1">
      <c r="A1571" s="64"/>
      <c r="B1571" s="80" t="s">
        <v>18249</v>
      </c>
      <c r="C1571" s="81" t="str">
        <f>IFERROR(__xludf.DUMMYFUNCTION("""COMPUTED_VALUE"""),"georgebernhard")</f>
        <v>georgebernhard</v>
      </c>
      <c r="D1571" s="75">
        <f>IFERROR(__xludf.DUMMYFUNCTION("""COMPUTED_VALUE"""),0.0)</f>
        <v>0</v>
      </c>
      <c r="E1571" s="64"/>
      <c r="F1571" s="95"/>
      <c r="G1571" s="96"/>
      <c r="H1571" s="64"/>
      <c r="I1571" s="64"/>
      <c r="J1571" s="64"/>
      <c r="K1571" s="64"/>
      <c r="L1571" s="64"/>
    </row>
    <row r="1572" ht="16.5" customHeight="1">
      <c r="A1572" s="64"/>
      <c r="B1572" s="80" t="s">
        <v>18249</v>
      </c>
      <c r="C1572" s="81" t="str">
        <f>IFERROR(__xludf.DUMMYFUNCTION("""COMPUTED_VALUE"""),"gibbsy66")</f>
        <v>gibbsy66</v>
      </c>
      <c r="D1572" s="75">
        <f>IFERROR(__xludf.DUMMYFUNCTION("""COMPUTED_VALUE"""),0.0)</f>
        <v>0</v>
      </c>
      <c r="E1572" s="64"/>
      <c r="F1572" s="95"/>
      <c r="G1572" s="96"/>
      <c r="H1572" s="64"/>
      <c r="I1572" s="64"/>
      <c r="J1572" s="64"/>
      <c r="K1572" s="64"/>
      <c r="L1572" s="64"/>
    </row>
    <row r="1573" ht="16.5" customHeight="1">
      <c r="A1573" s="64"/>
      <c r="B1573" s="80" t="s">
        <v>18249</v>
      </c>
      <c r="C1573" s="81" t="str">
        <f>IFERROR(__xludf.DUMMYFUNCTION("""COMPUTED_VALUE"""),"gill_othen")</f>
        <v>gill_othen</v>
      </c>
      <c r="D1573" s="75">
        <f>IFERROR(__xludf.DUMMYFUNCTION("""COMPUTED_VALUE"""),0.0)</f>
        <v>0</v>
      </c>
      <c r="E1573" s="64"/>
      <c r="F1573" s="95"/>
      <c r="G1573" s="96"/>
      <c r="H1573" s="64"/>
      <c r="I1573" s="64"/>
      <c r="J1573" s="64"/>
      <c r="K1573" s="64"/>
      <c r="L1573" s="64"/>
    </row>
    <row r="1574" ht="16.5" customHeight="1">
      <c r="A1574" s="64"/>
      <c r="B1574" s="80" t="s">
        <v>18249</v>
      </c>
      <c r="C1574" s="81" t="str">
        <f>IFERROR(__xludf.DUMMYFUNCTION("""COMPUTED_VALUE"""),"gillditch55")</f>
        <v>gillditch55</v>
      </c>
      <c r="D1574" s="75">
        <f>IFERROR(__xludf.DUMMYFUNCTION("""COMPUTED_VALUE"""),0.0)</f>
        <v>0</v>
      </c>
      <c r="E1574" s="64"/>
      <c r="F1574" s="95"/>
      <c r="G1574" s="96"/>
      <c r="H1574" s="64"/>
      <c r="I1574" s="64"/>
      <c r="J1574" s="64"/>
      <c r="K1574" s="64"/>
      <c r="L1574" s="64"/>
    </row>
    <row r="1575" ht="16.5" customHeight="1">
      <c r="A1575" s="64"/>
      <c r="B1575" s="80" t="s">
        <v>18249</v>
      </c>
      <c r="C1575" s="81" t="str">
        <f>IFERROR(__xludf.DUMMYFUNCTION("""COMPUTED_VALUE"""),"gilliecriosd")</f>
        <v>gilliecriosd</v>
      </c>
      <c r="D1575" s="75">
        <f>IFERROR(__xludf.DUMMYFUNCTION("""COMPUTED_VALUE"""),0.0)</f>
        <v>0</v>
      </c>
      <c r="E1575" s="64"/>
      <c r="F1575" s="95"/>
      <c r="G1575" s="96"/>
      <c r="H1575" s="64"/>
      <c r="I1575" s="64"/>
      <c r="J1575" s="64"/>
      <c r="K1575" s="64"/>
      <c r="L1575" s="64"/>
    </row>
    <row r="1576" ht="16.5" customHeight="1">
      <c r="A1576" s="64"/>
      <c r="B1576" s="80" t="s">
        <v>18249</v>
      </c>
      <c r="C1576" s="81" t="str">
        <f>IFERROR(__xludf.DUMMYFUNCTION("""COMPUTED_VALUE"""),"gingerbred79")</f>
        <v>gingerbred79</v>
      </c>
      <c r="D1576" s="75">
        <f>IFERROR(__xludf.DUMMYFUNCTION("""COMPUTED_VALUE"""),0.0)</f>
        <v>0</v>
      </c>
      <c r="E1576" s="64"/>
      <c r="F1576" s="95"/>
      <c r="G1576" s="96"/>
      <c r="H1576" s="64"/>
      <c r="I1576" s="64"/>
      <c r="J1576" s="64"/>
      <c r="K1576" s="64"/>
      <c r="L1576" s="64"/>
    </row>
    <row r="1577" ht="16.5" customHeight="1">
      <c r="A1577" s="64"/>
      <c r="B1577" s="80" t="s">
        <v>18249</v>
      </c>
      <c r="C1577" s="81" t="str">
        <f>IFERROR(__xludf.DUMMYFUNCTION("""COMPUTED_VALUE"""),"girlyswotspider")</f>
        <v>girlyswotspider</v>
      </c>
      <c r="D1577" s="75">
        <f>IFERROR(__xludf.DUMMYFUNCTION("""COMPUTED_VALUE"""),0.0)</f>
        <v>0</v>
      </c>
      <c r="E1577" s="64"/>
      <c r="F1577" s="95"/>
      <c r="G1577" s="96"/>
      <c r="H1577" s="64"/>
      <c r="I1577" s="64"/>
      <c r="J1577" s="64"/>
      <c r="K1577" s="64"/>
      <c r="L1577" s="64"/>
    </row>
    <row r="1578" ht="16.5" customHeight="1">
      <c r="A1578" s="64"/>
      <c r="B1578" s="80" t="s">
        <v>18249</v>
      </c>
      <c r="C1578" s="81" t="str">
        <f>IFERROR(__xludf.DUMMYFUNCTION("""COMPUTED_VALUE"""),"giselle97")</f>
        <v>giselle97</v>
      </c>
      <c r="D1578" s="75">
        <f>IFERROR(__xludf.DUMMYFUNCTION("""COMPUTED_VALUE"""),0.0)</f>
        <v>0</v>
      </c>
      <c r="E1578" s="64"/>
      <c r="F1578" s="95"/>
      <c r="G1578" s="96"/>
      <c r="H1578" s="64"/>
      <c r="I1578" s="64"/>
      <c r="J1578" s="64"/>
      <c r="K1578" s="64"/>
      <c r="L1578" s="64"/>
    </row>
    <row r="1579" ht="16.5" customHeight="1">
      <c r="A1579" s="64"/>
      <c r="B1579" s="80" t="s">
        <v>18249</v>
      </c>
      <c r="C1579" s="81" t="str">
        <f>IFERROR(__xludf.DUMMYFUNCTION("""COMPUTED_VALUE"""),"gkp107")</f>
        <v>gkp107</v>
      </c>
      <c r="D1579" s="75">
        <f>IFERROR(__xludf.DUMMYFUNCTION("""COMPUTED_VALUE"""),0.0)</f>
        <v>0</v>
      </c>
      <c r="E1579" s="64"/>
      <c r="F1579" s="95"/>
      <c r="G1579" s="96"/>
      <c r="H1579" s="64"/>
      <c r="I1579" s="64"/>
      <c r="J1579" s="64"/>
      <c r="K1579" s="64"/>
      <c r="L1579" s="64"/>
    </row>
    <row r="1580" ht="16.5" customHeight="1">
      <c r="A1580" s="64"/>
      <c r="B1580" s="80" t="s">
        <v>18249</v>
      </c>
      <c r="C1580" s="81" t="str">
        <f>IFERROR(__xludf.DUMMYFUNCTION("""COMPUTED_VALUE"""),"glospunkgirl")</f>
        <v>glospunkgirl</v>
      </c>
      <c r="D1580" s="75">
        <f>IFERROR(__xludf.DUMMYFUNCTION("""COMPUTED_VALUE"""),0.0)</f>
        <v>0</v>
      </c>
      <c r="E1580" s="64"/>
      <c r="F1580" s="95"/>
      <c r="G1580" s="96"/>
      <c r="H1580" s="64"/>
      <c r="I1580" s="64"/>
      <c r="J1580" s="64"/>
      <c r="K1580" s="64"/>
      <c r="L1580" s="64"/>
    </row>
    <row r="1581" ht="16.5" customHeight="1">
      <c r="A1581" s="64"/>
      <c r="B1581" s="80" t="s">
        <v>18249</v>
      </c>
      <c r="C1581" s="81" t="str">
        <f>IFERROR(__xludf.DUMMYFUNCTION("""COMPUTED_VALUE"""),"goalonthedole")</f>
        <v>goalonthedole</v>
      </c>
      <c r="D1581" s="75">
        <f>IFERROR(__xludf.DUMMYFUNCTION("""COMPUTED_VALUE"""),0.0)</f>
        <v>0</v>
      </c>
      <c r="E1581" s="64"/>
      <c r="F1581" s="95"/>
      <c r="G1581" s="96"/>
      <c r="H1581" s="64"/>
      <c r="I1581" s="64"/>
      <c r="J1581" s="64"/>
      <c r="K1581" s="64"/>
      <c r="L1581" s="64"/>
    </row>
    <row r="1582" ht="16.5" customHeight="1">
      <c r="A1582" s="64"/>
      <c r="B1582" s="80" t="s">
        <v>18249</v>
      </c>
      <c r="C1582" s="81" t="str">
        <f>IFERROR(__xludf.DUMMYFUNCTION("""COMPUTED_VALUE"""),"goanabootbiddy")</f>
        <v>goanabootbiddy</v>
      </c>
      <c r="D1582" s="75">
        <f>IFERROR(__xludf.DUMMYFUNCTION("""COMPUTED_VALUE"""),0.0)</f>
        <v>0</v>
      </c>
      <c r="E1582" s="64"/>
      <c r="F1582" s="95"/>
      <c r="G1582" s="96"/>
      <c r="H1582" s="64"/>
      <c r="I1582" s="64"/>
      <c r="J1582" s="64"/>
      <c r="K1582" s="64"/>
      <c r="L1582" s="64"/>
    </row>
    <row r="1583" ht="16.5" customHeight="1">
      <c r="A1583" s="64"/>
      <c r="B1583" s="80" t="s">
        <v>18249</v>
      </c>
      <c r="C1583" s="81" t="str">
        <f>IFERROR(__xludf.DUMMYFUNCTION("""COMPUTED_VALUE"""),"gooduseofbad")</f>
        <v>gooduseofbad</v>
      </c>
      <c r="D1583" s="75">
        <f>IFERROR(__xludf.DUMMYFUNCTION("""COMPUTED_VALUE"""),0.0)</f>
        <v>0</v>
      </c>
      <c r="E1583" s="64"/>
      <c r="F1583" s="95"/>
      <c r="G1583" s="96"/>
      <c r="H1583" s="64"/>
      <c r="I1583" s="64"/>
      <c r="J1583" s="64"/>
      <c r="K1583" s="64"/>
      <c r="L1583" s="64"/>
    </row>
    <row r="1584" ht="16.5" customHeight="1">
      <c r="A1584" s="64"/>
      <c r="B1584" s="80" t="s">
        <v>18249</v>
      </c>
      <c r="C1584" s="81" t="str">
        <f>IFERROR(__xludf.DUMMYFUNCTION("""COMPUTED_VALUE"""),"goringjogger57")</f>
        <v>goringjogger57</v>
      </c>
      <c r="D1584" s="75">
        <f>IFERROR(__xludf.DUMMYFUNCTION("""COMPUTED_VALUE"""),0.0)</f>
        <v>0</v>
      </c>
      <c r="E1584" s="64"/>
      <c r="F1584" s="95"/>
      <c r="G1584" s="96"/>
      <c r="H1584" s="64"/>
      <c r="I1584" s="64"/>
      <c r="J1584" s="64"/>
      <c r="K1584" s="64"/>
      <c r="L1584" s="64"/>
    </row>
    <row r="1585" ht="16.5" customHeight="1">
      <c r="A1585" s="64"/>
      <c r="B1585" s="80" t="s">
        <v>18249</v>
      </c>
      <c r="C1585" s="81" t="str">
        <f>IFERROR(__xludf.DUMMYFUNCTION("""COMPUTED_VALUE"""),"graemelesaux14")</f>
        <v>graemelesaux14</v>
      </c>
      <c r="D1585" s="75">
        <f>IFERROR(__xludf.DUMMYFUNCTION("""COMPUTED_VALUE"""),0.0)</f>
        <v>0</v>
      </c>
      <c r="E1585" s="64"/>
      <c r="F1585" s="95"/>
      <c r="G1585" s="96"/>
      <c r="H1585" s="64"/>
      <c r="I1585" s="64"/>
      <c r="J1585" s="64"/>
      <c r="K1585" s="64"/>
      <c r="L1585" s="64"/>
    </row>
    <row r="1586" ht="16.5" customHeight="1">
      <c r="A1586" s="64"/>
      <c r="B1586" s="80" t="s">
        <v>18249</v>
      </c>
      <c r="C1586" s="81" t="str">
        <f>IFERROR(__xludf.DUMMYFUNCTION("""COMPUTED_VALUE"""),"graham669")</f>
        <v>graham669</v>
      </c>
      <c r="D1586" s="75">
        <f>IFERROR(__xludf.DUMMYFUNCTION("""COMPUTED_VALUE"""),0.0)</f>
        <v>0</v>
      </c>
      <c r="E1586" s="64"/>
      <c r="F1586" s="95"/>
      <c r="G1586" s="96"/>
      <c r="H1586" s="64"/>
      <c r="I1586" s="64"/>
      <c r="J1586" s="64"/>
      <c r="K1586" s="64"/>
      <c r="L1586" s="64"/>
    </row>
    <row r="1587" ht="16.5" customHeight="1">
      <c r="A1587" s="64"/>
      <c r="B1587" s="80" t="s">
        <v>18249</v>
      </c>
      <c r="C1587" s="81" t="str">
        <f>IFERROR(__xludf.DUMMYFUNCTION("""COMPUTED_VALUE"""),"grahamnaylor")</f>
        <v>grahamnaylor</v>
      </c>
      <c r="D1587" s="75">
        <f>IFERROR(__xludf.DUMMYFUNCTION("""COMPUTED_VALUE"""),0.0)</f>
        <v>0</v>
      </c>
      <c r="E1587" s="64"/>
      <c r="F1587" s="95"/>
      <c r="G1587" s="96"/>
      <c r="H1587" s="64"/>
      <c r="I1587" s="64"/>
      <c r="J1587" s="64"/>
      <c r="K1587" s="64"/>
      <c r="L1587" s="64"/>
    </row>
    <row r="1588" ht="16.5" customHeight="1">
      <c r="A1588" s="64"/>
      <c r="B1588" s="80" t="s">
        <v>18249</v>
      </c>
      <c r="C1588" s="81" t="str">
        <f>IFERROR(__xludf.DUMMYFUNCTION("""COMPUTED_VALUE"""),"grahamwwaters")</f>
        <v>grahamwwaters</v>
      </c>
      <c r="D1588" s="75">
        <f>IFERROR(__xludf.DUMMYFUNCTION("""COMPUTED_VALUE"""),0.0)</f>
        <v>0</v>
      </c>
      <c r="E1588" s="64"/>
      <c r="F1588" s="95"/>
      <c r="G1588" s="96"/>
      <c r="H1588" s="64"/>
      <c r="I1588" s="64"/>
      <c r="J1588" s="64"/>
      <c r="K1588" s="64"/>
      <c r="L1588" s="64"/>
    </row>
    <row r="1589" ht="16.5" customHeight="1">
      <c r="A1589" s="64"/>
      <c r="B1589" s="80" t="s">
        <v>18249</v>
      </c>
      <c r="C1589" s="81" t="str">
        <f>IFERROR(__xludf.DUMMYFUNCTION("""COMPUTED_VALUE"""),"gramt_g")</f>
        <v>gramt_g</v>
      </c>
      <c r="D1589" s="75">
        <f>IFERROR(__xludf.DUMMYFUNCTION("""COMPUTED_VALUE"""),0.0)</f>
        <v>0</v>
      </c>
      <c r="E1589" s="64"/>
      <c r="F1589" s="95"/>
      <c r="G1589" s="96"/>
      <c r="H1589" s="64"/>
      <c r="I1589" s="64"/>
      <c r="J1589" s="64"/>
      <c r="K1589" s="64"/>
      <c r="L1589" s="64"/>
    </row>
    <row r="1590" ht="16.5" customHeight="1">
      <c r="A1590" s="64"/>
      <c r="B1590" s="80" t="s">
        <v>18249</v>
      </c>
      <c r="C1590" s="81" t="str">
        <f>IFERROR(__xludf.DUMMYFUNCTION("""COMPUTED_VALUE"""),"graydominic4")</f>
        <v>graydominic4</v>
      </c>
      <c r="D1590" s="75">
        <f>IFERROR(__xludf.DUMMYFUNCTION("""COMPUTED_VALUE"""),0.0)</f>
        <v>0</v>
      </c>
      <c r="E1590" s="64"/>
      <c r="F1590" s="95"/>
      <c r="G1590" s="96"/>
      <c r="H1590" s="64"/>
      <c r="I1590" s="64"/>
      <c r="J1590" s="64"/>
      <c r="K1590" s="64"/>
      <c r="L1590" s="64"/>
    </row>
    <row r="1591" ht="16.5" customHeight="1">
      <c r="A1591" s="64"/>
      <c r="B1591" s="80" t="s">
        <v>18249</v>
      </c>
      <c r="C1591" s="81" t="str">
        <f>IFERROR(__xludf.DUMMYFUNCTION("""COMPUTED_VALUE"""),"greatorexbt")</f>
        <v>greatorexbt</v>
      </c>
      <c r="D1591" s="75">
        <f>IFERROR(__xludf.DUMMYFUNCTION("""COMPUTED_VALUE"""),0.0)</f>
        <v>0</v>
      </c>
      <c r="E1591" s="64"/>
      <c r="F1591" s="95"/>
      <c r="G1591" s="96"/>
      <c r="H1591" s="64"/>
      <c r="I1591" s="64"/>
      <c r="J1591" s="64"/>
      <c r="K1591" s="64"/>
      <c r="L1591" s="64"/>
    </row>
    <row r="1592" ht="16.5" customHeight="1">
      <c r="A1592" s="64"/>
      <c r="B1592" s="80" t="s">
        <v>18249</v>
      </c>
      <c r="C1592" s="81" t="str">
        <f>IFERROR(__xludf.DUMMYFUNCTION("""COMPUTED_VALUE"""),"greenpdem")</f>
        <v>greenpdem</v>
      </c>
      <c r="D1592" s="75">
        <f>IFERROR(__xludf.DUMMYFUNCTION("""COMPUTED_VALUE"""),0.0)</f>
        <v>0</v>
      </c>
      <c r="E1592" s="64"/>
      <c r="F1592" s="95"/>
      <c r="G1592" s="96"/>
      <c r="H1592" s="64"/>
      <c r="I1592" s="64"/>
      <c r="J1592" s="64"/>
      <c r="K1592" s="64"/>
      <c r="L1592" s="64"/>
    </row>
    <row r="1593" ht="16.5" customHeight="1">
      <c r="A1593" s="64"/>
      <c r="B1593" s="80" t="s">
        <v>18249</v>
      </c>
      <c r="C1593" s="81" t="str">
        <f>IFERROR(__xludf.DUMMYFUNCTION("""COMPUTED_VALUE"""),"grifffinsu")</f>
        <v>grifffinsu</v>
      </c>
      <c r="D1593" s="75">
        <f>IFERROR(__xludf.DUMMYFUNCTION("""COMPUTED_VALUE"""),0.0)</f>
        <v>0</v>
      </c>
      <c r="E1593" s="64"/>
      <c r="F1593" s="95"/>
      <c r="G1593" s="96"/>
      <c r="H1593" s="64"/>
      <c r="I1593" s="64"/>
      <c r="J1593" s="64"/>
      <c r="K1593" s="64"/>
      <c r="L1593" s="64"/>
    </row>
    <row r="1594" ht="16.5" customHeight="1">
      <c r="A1594" s="64"/>
      <c r="B1594" s="80" t="s">
        <v>18249</v>
      </c>
      <c r="C1594" s="81" t="str">
        <f>IFERROR(__xludf.DUMMYFUNCTION("""COMPUTED_VALUE"""),"grim_up_north1")</f>
        <v>grim_up_north1</v>
      </c>
      <c r="D1594" s="75">
        <f>IFERROR(__xludf.DUMMYFUNCTION("""COMPUTED_VALUE"""),0.0)</f>
        <v>0</v>
      </c>
      <c r="E1594" s="64"/>
      <c r="F1594" s="95"/>
      <c r="G1594" s="96"/>
      <c r="H1594" s="64"/>
      <c r="I1594" s="64"/>
      <c r="J1594" s="64"/>
      <c r="K1594" s="64"/>
      <c r="L1594" s="64"/>
    </row>
    <row r="1595" ht="16.5" customHeight="1">
      <c r="A1595" s="64"/>
      <c r="B1595" s="80" t="s">
        <v>18249</v>
      </c>
      <c r="C1595" s="81" t="str">
        <f>IFERROR(__xludf.DUMMYFUNCTION("""COMPUTED_VALUE"""),"griseldamussett")</f>
        <v>griseldamussett</v>
      </c>
      <c r="D1595" s="75">
        <f>IFERROR(__xludf.DUMMYFUNCTION("""COMPUTED_VALUE"""),0.0)</f>
        <v>0</v>
      </c>
      <c r="E1595" s="64"/>
      <c r="F1595" s="95"/>
      <c r="G1595" s="96"/>
      <c r="H1595" s="64"/>
      <c r="I1595" s="64"/>
      <c r="J1595" s="64"/>
      <c r="K1595" s="64"/>
      <c r="L1595" s="64"/>
    </row>
    <row r="1596" ht="16.5" customHeight="1">
      <c r="A1596" s="64"/>
      <c r="B1596" s="80" t="s">
        <v>18249</v>
      </c>
      <c r="C1596" s="81" t="str">
        <f>IFERROR(__xludf.DUMMYFUNCTION("""COMPUTED_VALUE"""),"gushingtide")</f>
        <v>gushingtide</v>
      </c>
      <c r="D1596" s="75">
        <f>IFERROR(__xludf.DUMMYFUNCTION("""COMPUTED_VALUE"""),0.0)</f>
        <v>0</v>
      </c>
      <c r="E1596" s="64"/>
      <c r="F1596" s="95"/>
      <c r="G1596" s="96"/>
      <c r="H1596" s="64"/>
      <c r="I1596" s="64"/>
      <c r="J1596" s="64"/>
      <c r="K1596" s="64"/>
      <c r="L1596" s="64"/>
    </row>
    <row r="1597" ht="16.5" customHeight="1">
      <c r="A1597" s="64"/>
      <c r="B1597" s="80" t="s">
        <v>18249</v>
      </c>
      <c r="C1597" s="81" t="str">
        <f>IFERROR(__xludf.DUMMYFUNCTION("""COMPUTED_VALUE"""),"guyson_7")</f>
        <v>guyson_7</v>
      </c>
      <c r="D1597" s="75">
        <f>IFERROR(__xludf.DUMMYFUNCTION("""COMPUTED_VALUE"""),0.0)</f>
        <v>0</v>
      </c>
      <c r="E1597" s="64"/>
      <c r="F1597" s="95"/>
      <c r="G1597" s="96"/>
      <c r="H1597" s="64"/>
      <c r="I1597" s="64"/>
      <c r="J1597" s="64"/>
      <c r="K1597" s="64"/>
      <c r="L1597" s="64"/>
    </row>
    <row r="1598" ht="16.5" customHeight="1">
      <c r="A1598" s="64"/>
      <c r="B1598" s="80" t="s">
        <v>18249</v>
      </c>
      <c r="C1598" s="81" t="str">
        <f>IFERROR(__xludf.DUMMYFUNCTION("""COMPUTED_VALUE"""),"gw_emily")</f>
        <v>gw_emily</v>
      </c>
      <c r="D1598" s="75">
        <f>IFERROR(__xludf.DUMMYFUNCTION("""COMPUTED_VALUE"""),0.0)</f>
        <v>0</v>
      </c>
      <c r="E1598" s="64"/>
      <c r="F1598" s="95"/>
      <c r="G1598" s="96"/>
      <c r="H1598" s="64"/>
      <c r="I1598" s="64"/>
      <c r="J1598" s="64"/>
      <c r="K1598" s="64"/>
      <c r="L1598" s="64"/>
    </row>
    <row r="1599" ht="16.5" customHeight="1">
      <c r="A1599" s="64"/>
      <c r="B1599" s="80" t="s">
        <v>18249</v>
      </c>
      <c r="C1599" s="81" t="str">
        <f>IFERROR(__xludf.DUMMYFUNCTION("""COMPUTED_VALUE"""),"gwstenby")</f>
        <v>gwstenby</v>
      </c>
      <c r="D1599" s="75">
        <f>IFERROR(__xludf.DUMMYFUNCTION("""COMPUTED_VALUE"""),0.0)</f>
        <v>0</v>
      </c>
      <c r="E1599" s="64"/>
      <c r="F1599" s="95"/>
      <c r="G1599" s="96"/>
      <c r="H1599" s="64"/>
      <c r="I1599" s="64"/>
      <c r="J1599" s="64"/>
      <c r="K1599" s="64"/>
      <c r="L1599" s="64"/>
    </row>
    <row r="1600" ht="16.5" customHeight="1">
      <c r="A1600" s="64"/>
      <c r="B1600" s="80" t="s">
        <v>18249</v>
      </c>
      <c r="C1600" s="81" t="str">
        <f>IFERROR(__xludf.DUMMYFUNCTION("""COMPUTED_VALUE"""),"h1llbillies")</f>
        <v>h1llbillies</v>
      </c>
      <c r="D1600" s="75">
        <f>IFERROR(__xludf.DUMMYFUNCTION("""COMPUTED_VALUE"""),0.0)</f>
        <v>0</v>
      </c>
      <c r="E1600" s="64"/>
      <c r="F1600" s="95"/>
      <c r="G1600" s="96"/>
      <c r="H1600" s="64"/>
      <c r="I1600" s="64"/>
      <c r="J1600" s="64"/>
      <c r="K1600" s="64"/>
      <c r="L1600" s="64"/>
    </row>
    <row r="1601" ht="16.5" customHeight="1">
      <c r="A1601" s="64"/>
      <c r="B1601" s="80" t="s">
        <v>18249</v>
      </c>
      <c r="C1601" s="81" t="str">
        <f>IFERROR(__xludf.DUMMYFUNCTION("""COMPUTED_VALUE"""),"h48052341")</f>
        <v>h48052341</v>
      </c>
      <c r="D1601" s="75">
        <f>IFERROR(__xludf.DUMMYFUNCTION("""COMPUTED_VALUE"""),0.0)</f>
        <v>0</v>
      </c>
      <c r="E1601" s="64"/>
      <c r="F1601" s="95"/>
      <c r="G1601" s="96"/>
      <c r="H1601" s="64"/>
      <c r="I1601" s="64"/>
      <c r="J1601" s="64"/>
      <c r="K1601" s="64"/>
      <c r="L1601" s="64"/>
    </row>
    <row r="1602" ht="16.5" customHeight="1">
      <c r="A1602" s="64"/>
      <c r="B1602" s="80" t="s">
        <v>18249</v>
      </c>
      <c r="C1602" s="81" t="str">
        <f>IFERROR(__xludf.DUMMYFUNCTION("""COMPUTED_VALUE"""),"handymelon")</f>
        <v>handymelon</v>
      </c>
      <c r="D1602" s="75">
        <f>IFERROR(__xludf.DUMMYFUNCTION("""COMPUTED_VALUE"""),0.0)</f>
        <v>0</v>
      </c>
      <c r="E1602" s="64"/>
      <c r="F1602" s="95"/>
      <c r="G1602" s="96"/>
      <c r="H1602" s="64"/>
      <c r="I1602" s="64"/>
      <c r="J1602" s="64"/>
      <c r="K1602" s="64"/>
      <c r="L1602" s="64"/>
    </row>
    <row r="1603" ht="16.5" customHeight="1">
      <c r="A1603" s="64"/>
      <c r="B1603" s="80" t="s">
        <v>18249</v>
      </c>
      <c r="C1603" s="81" t="str">
        <f>IFERROR(__xludf.DUMMYFUNCTION("""COMPUTED_VALUE"""),"harding0764")</f>
        <v>harding0764</v>
      </c>
      <c r="D1603" s="75">
        <f>IFERROR(__xludf.DUMMYFUNCTION("""COMPUTED_VALUE"""),0.0)</f>
        <v>0</v>
      </c>
      <c r="E1603" s="64"/>
      <c r="F1603" s="95"/>
      <c r="G1603" s="96"/>
      <c r="H1603" s="64"/>
      <c r="I1603" s="64"/>
      <c r="J1603" s="64"/>
      <c r="K1603" s="64"/>
      <c r="L1603" s="64"/>
    </row>
    <row r="1604" ht="16.5" customHeight="1">
      <c r="A1604" s="64"/>
      <c r="B1604" s="80" t="s">
        <v>18249</v>
      </c>
      <c r="C1604" s="81" t="str">
        <f>IFERROR(__xludf.DUMMYFUNCTION("""COMPUTED_VALUE"""),"harstf")</f>
        <v>harstf</v>
      </c>
      <c r="D1604" s="75">
        <f>IFERROR(__xludf.DUMMYFUNCTION("""COMPUTED_VALUE"""),0.0)</f>
        <v>0</v>
      </c>
      <c r="E1604" s="64"/>
      <c r="F1604" s="95"/>
      <c r="G1604" s="96"/>
      <c r="H1604" s="64"/>
      <c r="I1604" s="64"/>
      <c r="J1604" s="64"/>
      <c r="K1604" s="64"/>
      <c r="L1604" s="64"/>
    </row>
    <row r="1605" ht="16.5" customHeight="1">
      <c r="A1605" s="64"/>
      <c r="B1605" s="80" t="s">
        <v>18249</v>
      </c>
      <c r="C1605" s="81" t="str">
        <f>IFERROR(__xludf.DUMMYFUNCTION("""COMPUTED_VALUE"""),"hartsfleurs")</f>
        <v>hartsfleurs</v>
      </c>
      <c r="D1605" s="75">
        <f>IFERROR(__xludf.DUMMYFUNCTION("""COMPUTED_VALUE"""),0.0)</f>
        <v>0</v>
      </c>
      <c r="E1605" s="64"/>
      <c r="F1605" s="95"/>
      <c r="G1605" s="96"/>
      <c r="H1605" s="64"/>
      <c r="I1605" s="64"/>
      <c r="J1605" s="64"/>
      <c r="K1605" s="64"/>
      <c r="L1605" s="64"/>
    </row>
    <row r="1606" ht="16.5" customHeight="1">
      <c r="A1606" s="64"/>
      <c r="B1606" s="80" t="s">
        <v>18249</v>
      </c>
      <c r="C1606" s="81" t="str">
        <f>IFERROR(__xludf.DUMMYFUNCTION("""COMPUTED_VALUE"""),"hassanrh")</f>
        <v>hassanrh</v>
      </c>
      <c r="D1606" s="75">
        <f>IFERROR(__xludf.DUMMYFUNCTION("""COMPUTED_VALUE"""),0.0)</f>
        <v>0</v>
      </c>
      <c r="E1606" s="64"/>
      <c r="F1606" s="95"/>
      <c r="G1606" s="96"/>
      <c r="H1606" s="64"/>
      <c r="I1606" s="64"/>
      <c r="J1606" s="64"/>
      <c r="K1606" s="64"/>
      <c r="L1606" s="64"/>
    </row>
    <row r="1607" ht="16.5" customHeight="1">
      <c r="A1607" s="64"/>
      <c r="B1607" s="80" t="s">
        <v>18249</v>
      </c>
      <c r="C1607" s="81" t="str">
        <f>IFERROR(__xludf.DUMMYFUNCTION("""COMPUTED_VALUE"""),"hazelbagend")</f>
        <v>hazelbagend</v>
      </c>
      <c r="D1607" s="75">
        <f>IFERROR(__xludf.DUMMYFUNCTION("""COMPUTED_VALUE"""),0.0)</f>
        <v>0</v>
      </c>
      <c r="E1607" s="64"/>
      <c r="F1607" s="95"/>
      <c r="G1607" s="96"/>
      <c r="H1607" s="64"/>
      <c r="I1607" s="64"/>
      <c r="J1607" s="64"/>
      <c r="K1607" s="64"/>
      <c r="L1607" s="64"/>
    </row>
    <row r="1608" ht="16.5" customHeight="1">
      <c r="A1608" s="64"/>
      <c r="B1608" s="80" t="s">
        <v>18249</v>
      </c>
      <c r="C1608" s="81" t="str">
        <f>IFERROR(__xludf.DUMMYFUNCTION("""COMPUTED_VALUE"""),"healthyopinion")</f>
        <v>healthyopinion</v>
      </c>
      <c r="D1608" s="75">
        <f>IFERROR(__xludf.DUMMYFUNCTION("""COMPUTED_VALUE"""),0.0)</f>
        <v>0</v>
      </c>
      <c r="E1608" s="64"/>
      <c r="F1608" s="95"/>
      <c r="G1608" s="96"/>
      <c r="H1608" s="64"/>
      <c r="I1608" s="64"/>
      <c r="J1608" s="64"/>
      <c r="K1608" s="64"/>
      <c r="L1608" s="64"/>
    </row>
    <row r="1609" ht="16.5" customHeight="1">
      <c r="A1609" s="64"/>
      <c r="B1609" s="80" t="s">
        <v>18249</v>
      </c>
      <c r="C1609" s="81" t="str">
        <f>IFERROR(__xludf.DUMMYFUNCTION("""COMPUTED_VALUE"""),"heather63262308")</f>
        <v>heather63262308</v>
      </c>
      <c r="D1609" s="75">
        <f>IFERROR(__xludf.DUMMYFUNCTION("""COMPUTED_VALUE"""),0.0)</f>
        <v>0</v>
      </c>
      <c r="E1609" s="64"/>
      <c r="F1609" s="95"/>
      <c r="G1609" s="96"/>
      <c r="H1609" s="64"/>
      <c r="I1609" s="64"/>
      <c r="J1609" s="64"/>
      <c r="K1609" s="64"/>
      <c r="L1609" s="64"/>
    </row>
    <row r="1610" ht="16.5" customHeight="1">
      <c r="A1610" s="64"/>
      <c r="B1610" s="80" t="s">
        <v>18249</v>
      </c>
      <c r="C1610" s="81" t="str">
        <f>IFERROR(__xludf.DUMMYFUNCTION("""COMPUTED_VALUE"""),"helenamayb")</f>
        <v>helenamayb</v>
      </c>
      <c r="D1610" s="75">
        <f>IFERROR(__xludf.DUMMYFUNCTION("""COMPUTED_VALUE"""),0.0)</f>
        <v>0</v>
      </c>
      <c r="E1610" s="64"/>
      <c r="F1610" s="95"/>
      <c r="G1610" s="96"/>
      <c r="H1610" s="64"/>
      <c r="I1610" s="64"/>
      <c r="J1610" s="64"/>
      <c r="K1610" s="64"/>
      <c r="L1610" s="64"/>
    </row>
    <row r="1611" ht="16.5" customHeight="1">
      <c r="A1611" s="64"/>
      <c r="B1611" s="80" t="s">
        <v>18249</v>
      </c>
      <c r="C1611" s="81" t="str">
        <f>IFERROR(__xludf.DUMMYFUNCTION("""COMPUTED_VALUE"""),"helkala")</f>
        <v>helkala</v>
      </c>
      <c r="D1611" s="75">
        <f>IFERROR(__xludf.DUMMYFUNCTION("""COMPUTED_VALUE"""),0.0)</f>
        <v>0</v>
      </c>
      <c r="E1611" s="64"/>
      <c r="F1611" s="95"/>
      <c r="G1611" s="96"/>
      <c r="H1611" s="64"/>
      <c r="I1611" s="64"/>
      <c r="J1611" s="64"/>
      <c r="K1611" s="64"/>
      <c r="L1611" s="64"/>
    </row>
    <row r="1612" ht="16.5" customHeight="1">
      <c r="A1612" s="64"/>
      <c r="B1612" s="80" t="s">
        <v>18249</v>
      </c>
      <c r="C1612" s="81" t="str">
        <f>IFERROR(__xludf.DUMMYFUNCTION("""COMPUTED_VALUE"""),"hettiewagtail")</f>
        <v>hettiewagtail</v>
      </c>
      <c r="D1612" s="75">
        <f>IFERROR(__xludf.DUMMYFUNCTION("""COMPUTED_VALUE"""),0.0)</f>
        <v>0</v>
      </c>
      <c r="E1612" s="64"/>
      <c r="F1612" s="95"/>
      <c r="G1612" s="96"/>
      <c r="H1612" s="64"/>
      <c r="I1612" s="64"/>
      <c r="J1612" s="64"/>
      <c r="K1612" s="64"/>
      <c r="L1612" s="64"/>
    </row>
    <row r="1613" ht="16.5" customHeight="1">
      <c r="A1613" s="64"/>
      <c r="B1613" s="80" t="s">
        <v>18249</v>
      </c>
      <c r="C1613" s="81" t="str">
        <f>IFERROR(__xludf.DUMMYFUNCTION("""COMPUTED_VALUE"""),"hexenbeest")</f>
        <v>hexenbeest</v>
      </c>
      <c r="D1613" s="75">
        <f>IFERROR(__xludf.DUMMYFUNCTION("""COMPUTED_VALUE"""),0.0)</f>
        <v>0</v>
      </c>
      <c r="E1613" s="64"/>
      <c r="F1613" s="95"/>
      <c r="G1613" s="96"/>
      <c r="H1613" s="64"/>
      <c r="I1613" s="64"/>
      <c r="J1613" s="64"/>
      <c r="K1613" s="64"/>
      <c r="L1613" s="64"/>
    </row>
    <row r="1614" ht="16.5" customHeight="1">
      <c r="A1614" s="64"/>
      <c r="B1614" s="80" t="s">
        <v>18249</v>
      </c>
      <c r="C1614" s="81" t="str">
        <f>IFERROR(__xludf.DUMMYFUNCTION("""COMPUTED_VALUE"""),"hexham4pa")</f>
        <v>hexham4pa</v>
      </c>
      <c r="D1614" s="75">
        <f>IFERROR(__xludf.DUMMYFUNCTION("""COMPUTED_VALUE"""),0.0)</f>
        <v>0</v>
      </c>
      <c r="E1614" s="64"/>
      <c r="F1614" s="95"/>
      <c r="G1614" s="96"/>
      <c r="H1614" s="64"/>
      <c r="I1614" s="64"/>
      <c r="J1614" s="64"/>
      <c r="K1614" s="64"/>
      <c r="L1614" s="64"/>
    </row>
    <row r="1615" ht="16.5" customHeight="1">
      <c r="A1615" s="64"/>
      <c r="B1615" s="80" t="s">
        <v>18249</v>
      </c>
      <c r="C1615" s="81" t="str">
        <f>IFERROR(__xludf.DUMMYFUNCTION("""COMPUTED_VALUE"""),"hic334")</f>
        <v>hic334</v>
      </c>
      <c r="D1615" s="75">
        <f>IFERROR(__xludf.DUMMYFUNCTION("""COMPUTED_VALUE"""),0.0)</f>
        <v>0</v>
      </c>
      <c r="E1615" s="64"/>
      <c r="F1615" s="95"/>
      <c r="G1615" s="96"/>
      <c r="H1615" s="64"/>
      <c r="I1615" s="64"/>
      <c r="J1615" s="64"/>
      <c r="K1615" s="64"/>
      <c r="L1615" s="64"/>
    </row>
    <row r="1616" ht="16.5" customHeight="1">
      <c r="A1616" s="64"/>
      <c r="B1616" s="80" t="s">
        <v>18249</v>
      </c>
      <c r="C1616" s="81" t="str">
        <f>IFERROR(__xludf.DUMMYFUNCTION("""COMPUTED_VALUE"""),"highcixiety")</f>
        <v>highcixiety</v>
      </c>
      <c r="D1616" s="75">
        <f>IFERROR(__xludf.DUMMYFUNCTION("""COMPUTED_VALUE"""),0.0)</f>
        <v>0</v>
      </c>
      <c r="E1616" s="64"/>
      <c r="F1616" s="95"/>
      <c r="G1616" s="96"/>
      <c r="H1616" s="64"/>
      <c r="I1616" s="64"/>
      <c r="J1616" s="64"/>
      <c r="K1616" s="64"/>
      <c r="L1616" s="64"/>
    </row>
    <row r="1617" ht="16.5" customHeight="1">
      <c r="A1617" s="64"/>
      <c r="B1617" s="80" t="s">
        <v>18249</v>
      </c>
      <c r="C1617" s="81" t="str">
        <f>IFERROR(__xludf.DUMMYFUNCTION("""COMPUTED_VALUE"""),"hillier_mandy")</f>
        <v>hillier_mandy</v>
      </c>
      <c r="D1617" s="75">
        <f>IFERROR(__xludf.DUMMYFUNCTION("""COMPUTED_VALUE"""),0.0)</f>
        <v>0</v>
      </c>
      <c r="E1617" s="64"/>
      <c r="F1617" s="95"/>
      <c r="G1617" s="96"/>
      <c r="H1617" s="64"/>
      <c r="I1617" s="64"/>
      <c r="J1617" s="64"/>
      <c r="K1617" s="64"/>
      <c r="L1617" s="64"/>
    </row>
    <row r="1618" ht="16.5" customHeight="1">
      <c r="A1618" s="64"/>
      <c r="B1618" s="80" t="s">
        <v>18249</v>
      </c>
      <c r="C1618" s="81" t="str">
        <f>IFERROR(__xludf.DUMMYFUNCTION("""COMPUTED_VALUE"""),"hilton_philip")</f>
        <v>hilton_philip</v>
      </c>
      <c r="D1618" s="75">
        <f>IFERROR(__xludf.DUMMYFUNCTION("""COMPUTED_VALUE"""),0.0)</f>
        <v>0</v>
      </c>
      <c r="E1618" s="64"/>
      <c r="F1618" s="95"/>
      <c r="G1618" s="96"/>
      <c r="H1618" s="64"/>
      <c r="I1618" s="64"/>
      <c r="J1618" s="64"/>
      <c r="K1618" s="64"/>
      <c r="L1618" s="64"/>
    </row>
    <row r="1619" ht="16.5" customHeight="1">
      <c r="A1619" s="64"/>
      <c r="B1619" s="80" t="s">
        <v>18249</v>
      </c>
      <c r="C1619" s="81" t="str">
        <f>IFERROR(__xludf.DUMMYFUNCTION("""COMPUTED_VALUE"""),"hitchfan1")</f>
        <v>hitchfan1</v>
      </c>
      <c r="D1619" s="75">
        <f>IFERROR(__xludf.DUMMYFUNCTION("""COMPUTED_VALUE"""),0.0)</f>
        <v>0</v>
      </c>
      <c r="E1619" s="64"/>
      <c r="F1619" s="95"/>
      <c r="G1619" s="96"/>
      <c r="H1619" s="64"/>
      <c r="I1619" s="64"/>
      <c r="J1619" s="64"/>
      <c r="K1619" s="64"/>
      <c r="L1619" s="64"/>
    </row>
    <row r="1620" ht="16.5" customHeight="1">
      <c r="A1620" s="64"/>
      <c r="B1620" s="80" t="s">
        <v>18249</v>
      </c>
      <c r="C1620" s="81" t="str">
        <f>IFERROR(__xludf.DUMMYFUNCTION("""COMPUTED_VALUE"""),"holle_fraulein")</f>
        <v>holle_fraulein</v>
      </c>
      <c r="D1620" s="75">
        <f>IFERROR(__xludf.DUMMYFUNCTION("""COMPUTED_VALUE"""),0.0)</f>
        <v>0</v>
      </c>
      <c r="E1620" s="64"/>
      <c r="F1620" s="95"/>
      <c r="G1620" s="96"/>
      <c r="H1620" s="64"/>
      <c r="I1620" s="64"/>
      <c r="J1620" s="64"/>
      <c r="K1620" s="64"/>
      <c r="L1620" s="64"/>
    </row>
    <row r="1621" ht="16.5" customHeight="1">
      <c r="A1621" s="64"/>
      <c r="B1621" s="80" t="s">
        <v>18249</v>
      </c>
      <c r="C1621" s="81" t="str">
        <f>IFERROR(__xludf.DUMMYFUNCTION("""COMPUTED_VALUE"""),"hooshymally")</f>
        <v>hooshymally</v>
      </c>
      <c r="D1621" s="75">
        <f>IFERROR(__xludf.DUMMYFUNCTION("""COMPUTED_VALUE"""),0.0)</f>
        <v>0</v>
      </c>
      <c r="E1621" s="64"/>
      <c r="F1621" s="95"/>
      <c r="G1621" s="96"/>
      <c r="H1621" s="64"/>
      <c r="I1621" s="64"/>
      <c r="J1621" s="64"/>
      <c r="K1621" s="64"/>
      <c r="L1621" s="64"/>
    </row>
    <row r="1622" ht="16.5" customHeight="1">
      <c r="A1622" s="64"/>
      <c r="B1622" s="80" t="s">
        <v>18249</v>
      </c>
      <c r="C1622" s="81" t="str">
        <f>IFERROR(__xludf.DUMMYFUNCTION("""COMPUTED_VALUE"""),"hope99915")</f>
        <v>hope99915</v>
      </c>
      <c r="D1622" s="75">
        <f>IFERROR(__xludf.DUMMYFUNCTION("""COMPUTED_VALUE"""),0.0)</f>
        <v>0</v>
      </c>
      <c r="E1622" s="64"/>
      <c r="F1622" s="95"/>
      <c r="G1622" s="96"/>
      <c r="H1622" s="64"/>
      <c r="I1622" s="64"/>
      <c r="J1622" s="64"/>
      <c r="K1622" s="64"/>
      <c r="L1622" s="64"/>
    </row>
    <row r="1623" ht="16.5" customHeight="1">
      <c r="A1623" s="64"/>
      <c r="B1623" s="80" t="s">
        <v>18249</v>
      </c>
      <c r="C1623" s="81" t="str">
        <f>IFERROR(__xludf.DUMMYFUNCTION("""COMPUTED_VALUE"""),"hotmoklet")</f>
        <v>hotmoklet</v>
      </c>
      <c r="D1623" s="75">
        <f>IFERROR(__xludf.DUMMYFUNCTION("""COMPUTED_VALUE"""),0.0)</f>
        <v>0</v>
      </c>
      <c r="E1623" s="64"/>
      <c r="F1623" s="95"/>
      <c r="G1623" s="96"/>
      <c r="H1623" s="64"/>
      <c r="I1623" s="64"/>
      <c r="J1623" s="64"/>
      <c r="K1623" s="64"/>
      <c r="L1623" s="64"/>
    </row>
    <row r="1624" ht="16.5" customHeight="1">
      <c r="A1624" s="64"/>
      <c r="B1624" s="80" t="s">
        <v>18249</v>
      </c>
      <c r="C1624" s="81" t="str">
        <f>IFERROR(__xludf.DUMMYFUNCTION("""COMPUTED_VALUE"""),"howell_karen")</f>
        <v>howell_karen</v>
      </c>
      <c r="D1624" s="75">
        <f>IFERROR(__xludf.DUMMYFUNCTION("""COMPUTED_VALUE"""),0.0)</f>
        <v>0</v>
      </c>
      <c r="E1624" s="64"/>
      <c r="F1624" s="95"/>
      <c r="G1624" s="96"/>
      <c r="H1624" s="64"/>
      <c r="I1624" s="64"/>
      <c r="J1624" s="64"/>
      <c r="K1624" s="64"/>
      <c r="L1624" s="64"/>
    </row>
    <row r="1625" ht="16.5" customHeight="1">
      <c r="A1625" s="64"/>
      <c r="B1625" s="80" t="s">
        <v>18249</v>
      </c>
      <c r="C1625" s="81" t="str">
        <f>IFERROR(__xludf.DUMMYFUNCTION("""COMPUTED_VALUE"""),"hugefoodlover")</f>
        <v>hugefoodlover</v>
      </c>
      <c r="D1625" s="75">
        <f>IFERROR(__xludf.DUMMYFUNCTION("""COMPUTED_VALUE"""),0.0)</f>
        <v>0</v>
      </c>
      <c r="E1625" s="64"/>
      <c r="F1625" s="95"/>
      <c r="G1625" s="96"/>
      <c r="H1625" s="64"/>
      <c r="I1625" s="64"/>
      <c r="J1625" s="64"/>
      <c r="K1625" s="64"/>
      <c r="L1625" s="64"/>
    </row>
    <row r="1626" ht="16.5" customHeight="1">
      <c r="A1626" s="64"/>
      <c r="B1626" s="80" t="s">
        <v>18249</v>
      </c>
      <c r="C1626" s="81" t="str">
        <f>IFERROR(__xludf.DUMMYFUNCTION("""COMPUTED_VALUE"""),"hugs_p")</f>
        <v>hugs_p</v>
      </c>
      <c r="D1626" s="75">
        <f>IFERROR(__xludf.DUMMYFUNCTION("""COMPUTED_VALUE"""),0.0)</f>
        <v>0</v>
      </c>
      <c r="E1626" s="64"/>
      <c r="F1626" s="95"/>
      <c r="G1626" s="96"/>
      <c r="H1626" s="64"/>
      <c r="I1626" s="64"/>
      <c r="J1626" s="64"/>
      <c r="K1626" s="64"/>
      <c r="L1626" s="64"/>
    </row>
    <row r="1627" ht="16.5" customHeight="1">
      <c r="A1627" s="64"/>
      <c r="B1627" s="80" t="s">
        <v>18249</v>
      </c>
      <c r="C1627" s="81" t="str">
        <f>IFERROR(__xludf.DUMMYFUNCTION("""COMPUTED_VALUE"""),"hullfair")</f>
        <v>hullfair</v>
      </c>
      <c r="D1627" s="75">
        <f>IFERROR(__xludf.DUMMYFUNCTION("""COMPUTED_VALUE"""),0.0)</f>
        <v>0</v>
      </c>
      <c r="E1627" s="64"/>
      <c r="F1627" s="95"/>
      <c r="G1627" s="96"/>
      <c r="H1627" s="64"/>
      <c r="I1627" s="64"/>
      <c r="J1627" s="64"/>
      <c r="K1627" s="64"/>
      <c r="L1627" s="64"/>
    </row>
    <row r="1628" ht="16.5" customHeight="1">
      <c r="A1628" s="64"/>
      <c r="B1628" s="80" t="s">
        <v>18249</v>
      </c>
      <c r="C1628" s="81" t="str">
        <f>IFERROR(__xludf.DUMMYFUNCTION("""COMPUTED_VALUE"""),"hundredknots")</f>
        <v>hundredknots</v>
      </c>
      <c r="D1628" s="75">
        <f>IFERROR(__xludf.DUMMYFUNCTION("""COMPUTED_VALUE"""),0.0)</f>
        <v>0</v>
      </c>
      <c r="E1628" s="64"/>
      <c r="F1628" s="95"/>
      <c r="G1628" s="96"/>
      <c r="H1628" s="64"/>
      <c r="I1628" s="64"/>
      <c r="J1628" s="64"/>
      <c r="K1628" s="64"/>
      <c r="L1628" s="64"/>
    </row>
    <row r="1629" ht="16.5" customHeight="1">
      <c r="A1629" s="64"/>
      <c r="B1629" s="80" t="s">
        <v>18249</v>
      </c>
      <c r="C1629" s="81" t="str">
        <f>IFERROR(__xludf.DUMMYFUNCTION("""COMPUTED_VALUE"""),"huxleyisland")</f>
        <v>huxleyisland</v>
      </c>
      <c r="D1629" s="75">
        <f>IFERROR(__xludf.DUMMYFUNCTION("""COMPUTED_VALUE"""),0.0)</f>
        <v>0</v>
      </c>
      <c r="E1629" s="64"/>
      <c r="F1629" s="95"/>
      <c r="G1629" s="96"/>
      <c r="H1629" s="64"/>
      <c r="I1629" s="64"/>
      <c r="J1629" s="64"/>
      <c r="K1629" s="64"/>
      <c r="L1629" s="64"/>
    </row>
    <row r="1630" ht="16.5" customHeight="1">
      <c r="A1630" s="64"/>
      <c r="B1630" s="80" t="s">
        <v>18249</v>
      </c>
      <c r="C1630" s="81" t="str">
        <f>IFERROR(__xludf.DUMMYFUNCTION("""COMPUTED_VALUE"""),"iAntsaoir")</f>
        <v>iAntsaoir</v>
      </c>
      <c r="D1630" s="75">
        <f>IFERROR(__xludf.DUMMYFUNCTION("""COMPUTED_VALUE"""),0.0)</f>
        <v>0</v>
      </c>
      <c r="E1630" s="64"/>
      <c r="F1630" s="95"/>
      <c r="G1630" s="96"/>
      <c r="H1630" s="64"/>
      <c r="I1630" s="64"/>
      <c r="J1630" s="64"/>
      <c r="K1630" s="64"/>
      <c r="L1630" s="64"/>
    </row>
    <row r="1631" ht="16.5" customHeight="1">
      <c r="A1631" s="64"/>
      <c r="B1631" s="80" t="s">
        <v>18249</v>
      </c>
      <c r="C1631" s="81" t="str">
        <f>IFERROR(__xludf.DUMMYFUNCTION("""COMPUTED_VALUE"""),"i_pinkwolfie")</f>
        <v>i_pinkwolfie</v>
      </c>
      <c r="D1631" s="75">
        <f>IFERROR(__xludf.DUMMYFUNCTION("""COMPUTED_VALUE"""),0.0)</f>
        <v>0</v>
      </c>
      <c r="E1631" s="64"/>
      <c r="F1631" s="95"/>
      <c r="G1631" s="96"/>
      <c r="H1631" s="64"/>
      <c r="I1631" s="64"/>
      <c r="J1631" s="64"/>
      <c r="K1631" s="64"/>
      <c r="L1631" s="64"/>
    </row>
    <row r="1632" ht="16.5" customHeight="1">
      <c r="A1632" s="64"/>
      <c r="B1632" s="80" t="s">
        <v>18249</v>
      </c>
      <c r="C1632" s="81" t="str">
        <f>IFERROR(__xludf.DUMMYFUNCTION("""COMPUTED_VALUE"""),"iaeon")</f>
        <v>iaeon</v>
      </c>
      <c r="D1632" s="75">
        <f>IFERROR(__xludf.DUMMYFUNCTION("""COMPUTED_VALUE"""),0.0)</f>
        <v>0</v>
      </c>
      <c r="E1632" s="64"/>
      <c r="F1632" s="95"/>
      <c r="G1632" s="96"/>
      <c r="H1632" s="64"/>
      <c r="I1632" s="64"/>
      <c r="J1632" s="64"/>
      <c r="K1632" s="64"/>
      <c r="L1632" s="64"/>
    </row>
    <row r="1633" ht="16.5" customHeight="1">
      <c r="A1633" s="64"/>
      <c r="B1633" s="80" t="s">
        <v>18249</v>
      </c>
      <c r="C1633" s="81" t="str">
        <f>IFERROR(__xludf.DUMMYFUNCTION("""COMPUTED_VALUE"""),"iain4europe")</f>
        <v>iain4europe</v>
      </c>
      <c r="D1633" s="75">
        <f>IFERROR(__xludf.DUMMYFUNCTION("""COMPUTED_VALUE"""),0.0)</f>
        <v>0</v>
      </c>
      <c r="E1633" s="64"/>
      <c r="F1633" s="95"/>
      <c r="G1633" s="96"/>
      <c r="H1633" s="64"/>
      <c r="I1633" s="64"/>
      <c r="J1633" s="64"/>
      <c r="K1633" s="64"/>
      <c r="L1633" s="64"/>
    </row>
    <row r="1634" ht="16.5" customHeight="1">
      <c r="A1634" s="64"/>
      <c r="B1634" s="80" t="s">
        <v>18249</v>
      </c>
      <c r="C1634" s="81" t="str">
        <f>IFERROR(__xludf.DUMMYFUNCTION("""COMPUTED_VALUE"""),"ianbirrell")</f>
        <v>ianbirrell</v>
      </c>
      <c r="D1634" s="75">
        <f>IFERROR(__xludf.DUMMYFUNCTION("""COMPUTED_VALUE"""),0.0)</f>
        <v>0</v>
      </c>
      <c r="E1634" s="64"/>
      <c r="F1634" s="95"/>
      <c r="G1634" s="96"/>
      <c r="H1634" s="64"/>
      <c r="I1634" s="64"/>
      <c r="J1634" s="64"/>
      <c r="K1634" s="64"/>
      <c r="L1634" s="64"/>
    </row>
    <row r="1635" ht="16.5" customHeight="1">
      <c r="A1635" s="64"/>
      <c r="B1635" s="80" t="s">
        <v>18249</v>
      </c>
      <c r="C1635" s="81" t="str">
        <f>IFERROR(__xludf.DUMMYFUNCTION("""COMPUTED_VALUE"""),"ianpwriter")</f>
        <v>ianpwriter</v>
      </c>
      <c r="D1635" s="75">
        <f>IFERROR(__xludf.DUMMYFUNCTION("""COMPUTED_VALUE"""),0.0)</f>
        <v>0</v>
      </c>
      <c r="E1635" s="64"/>
      <c r="F1635" s="95"/>
      <c r="G1635" s="96"/>
      <c r="H1635" s="64"/>
      <c r="I1635" s="64"/>
      <c r="J1635" s="64"/>
      <c r="K1635" s="64"/>
      <c r="L1635" s="64"/>
    </row>
    <row r="1636" ht="16.5" customHeight="1">
      <c r="A1636" s="64"/>
      <c r="B1636" s="80" t="s">
        <v>18249</v>
      </c>
      <c r="C1636" s="81" t="str">
        <f>IFERROR(__xludf.DUMMYFUNCTION("""COMPUTED_VALUE"""),"ianvward")</f>
        <v>ianvward</v>
      </c>
      <c r="D1636" s="75">
        <f>IFERROR(__xludf.DUMMYFUNCTION("""COMPUTED_VALUE"""),0.0)</f>
        <v>0</v>
      </c>
      <c r="E1636" s="64"/>
      <c r="F1636" s="95"/>
      <c r="G1636" s="96"/>
      <c r="H1636" s="64"/>
      <c r="I1636" s="64"/>
      <c r="J1636" s="64"/>
      <c r="K1636" s="64"/>
      <c r="L1636" s="64"/>
    </row>
    <row r="1637" ht="16.5" customHeight="1">
      <c r="A1637" s="64"/>
      <c r="B1637" s="80" t="s">
        <v>18249</v>
      </c>
      <c r="C1637" s="81" t="str">
        <f>IFERROR(__xludf.DUMMYFUNCTION("""COMPUTED_VALUE"""),"ianwshaw")</f>
        <v>ianwshaw</v>
      </c>
      <c r="D1637" s="75">
        <f>IFERROR(__xludf.DUMMYFUNCTION("""COMPUTED_VALUE"""),0.0)</f>
        <v>0</v>
      </c>
      <c r="E1637" s="64"/>
      <c r="F1637" s="95"/>
      <c r="G1637" s="96"/>
      <c r="H1637" s="64"/>
      <c r="I1637" s="64"/>
      <c r="J1637" s="64"/>
      <c r="K1637" s="64"/>
      <c r="L1637" s="64"/>
    </row>
    <row r="1638" ht="16.5" customHeight="1">
      <c r="A1638" s="64"/>
      <c r="B1638" s="80" t="s">
        <v>18249</v>
      </c>
      <c r="C1638" s="81" t="str">
        <f>IFERROR(__xludf.DUMMYFUNCTION("""COMPUTED_VALUE"""),"icallen1")</f>
        <v>icallen1</v>
      </c>
      <c r="D1638" s="75">
        <f>IFERROR(__xludf.DUMMYFUNCTION("""COMPUTED_VALUE"""),0.0)</f>
        <v>0</v>
      </c>
      <c r="E1638" s="64"/>
      <c r="F1638" s="95"/>
      <c r="G1638" s="96"/>
      <c r="H1638" s="64"/>
      <c r="I1638" s="64"/>
      <c r="J1638" s="64"/>
      <c r="K1638" s="64"/>
      <c r="L1638" s="64"/>
    </row>
    <row r="1639" ht="16.5" customHeight="1">
      <c r="A1639" s="64"/>
      <c r="B1639" s="80" t="s">
        <v>18249</v>
      </c>
      <c r="C1639" s="81" t="str">
        <f>IFERROR(__xludf.DUMMYFUNCTION("""COMPUTED_VALUE"""),"idlersj")</f>
        <v>idlersj</v>
      </c>
      <c r="D1639" s="75">
        <f>IFERROR(__xludf.DUMMYFUNCTION("""COMPUTED_VALUE"""),0.0)</f>
        <v>0</v>
      </c>
      <c r="E1639" s="64"/>
      <c r="F1639" s="95"/>
      <c r="G1639" s="96"/>
      <c r="H1639" s="64"/>
      <c r="I1639" s="64"/>
      <c r="J1639" s="64"/>
      <c r="K1639" s="64"/>
      <c r="L1639" s="64"/>
    </row>
    <row r="1640" ht="16.5" customHeight="1">
      <c r="A1640" s="64"/>
      <c r="B1640" s="80" t="s">
        <v>18249</v>
      </c>
      <c r="C1640" s="81" t="str">
        <f>IFERROR(__xludf.DUMMYFUNCTION("""COMPUTED_VALUE"""),"ifg007")</f>
        <v>ifg007</v>
      </c>
      <c r="D1640" s="75">
        <f>IFERROR(__xludf.DUMMYFUNCTION("""COMPUTED_VALUE"""),0.0)</f>
        <v>0</v>
      </c>
      <c r="E1640" s="64"/>
      <c r="F1640" s="95"/>
      <c r="G1640" s="96"/>
      <c r="H1640" s="64"/>
      <c r="I1640" s="64"/>
      <c r="J1640" s="64"/>
      <c r="K1640" s="64"/>
      <c r="L1640" s="64"/>
    </row>
    <row r="1641" ht="16.5" customHeight="1">
      <c r="A1641" s="64"/>
      <c r="B1641" s="80" t="s">
        <v>18249</v>
      </c>
      <c r="C1641" s="81" t="str">
        <f>IFERROR(__xludf.DUMMYFUNCTION("""COMPUTED_VALUE"""),"ifsbutsnmaybes")</f>
        <v>ifsbutsnmaybes</v>
      </c>
      <c r="D1641" s="75">
        <f>IFERROR(__xludf.DUMMYFUNCTION("""COMPUTED_VALUE"""),0.0)</f>
        <v>0</v>
      </c>
      <c r="E1641" s="64"/>
      <c r="F1641" s="95"/>
      <c r="G1641" s="96"/>
      <c r="H1641" s="64"/>
      <c r="I1641" s="64"/>
      <c r="J1641" s="64"/>
      <c r="K1641" s="64"/>
      <c r="L1641" s="64"/>
    </row>
    <row r="1642" ht="16.5" customHeight="1">
      <c r="A1642" s="64"/>
      <c r="B1642" s="80" t="s">
        <v>18249</v>
      </c>
      <c r="C1642" s="81" t="str">
        <f>IFERROR(__xludf.DUMMYFUNCTION("""COMPUTED_VALUE"""),"iii_turk")</f>
        <v>iii_turk</v>
      </c>
      <c r="D1642" s="75">
        <f>IFERROR(__xludf.DUMMYFUNCTION("""COMPUTED_VALUE"""),0.0)</f>
        <v>0</v>
      </c>
      <c r="E1642" s="64"/>
      <c r="F1642" s="95"/>
      <c r="G1642" s="96"/>
      <c r="H1642" s="64"/>
      <c r="I1642" s="64"/>
      <c r="J1642" s="64"/>
      <c r="K1642" s="64"/>
      <c r="L1642" s="64"/>
    </row>
    <row r="1643" ht="16.5" customHeight="1">
      <c r="A1643" s="64"/>
      <c r="B1643" s="80" t="s">
        <v>18249</v>
      </c>
      <c r="C1643" s="81" t="str">
        <f>IFERROR(__xludf.DUMMYFUNCTION("""COMPUTED_VALUE"""),"ilmomento")</f>
        <v>ilmomento</v>
      </c>
      <c r="D1643" s="75">
        <f>IFERROR(__xludf.DUMMYFUNCTION("""COMPUTED_VALUE"""),0.0)</f>
        <v>0</v>
      </c>
      <c r="E1643" s="64"/>
      <c r="F1643" s="95"/>
      <c r="G1643" s="96"/>
      <c r="H1643" s="64"/>
      <c r="I1643" s="64"/>
      <c r="J1643" s="64"/>
      <c r="K1643" s="64"/>
      <c r="L1643" s="64"/>
    </row>
    <row r="1644" ht="16.5" customHeight="1">
      <c r="A1644" s="64"/>
      <c r="B1644" s="80" t="s">
        <v>18249</v>
      </c>
      <c r="C1644" s="81" t="str">
        <f>IFERROR(__xludf.DUMMYFUNCTION("""COMPUTED_VALUE"""),"imagesconcept")</f>
        <v>imagesconcept</v>
      </c>
      <c r="D1644" s="75">
        <f>IFERROR(__xludf.DUMMYFUNCTION("""COMPUTED_VALUE"""),0.0)</f>
        <v>0</v>
      </c>
      <c r="E1644" s="64"/>
      <c r="F1644" s="95"/>
      <c r="G1644" s="96"/>
      <c r="H1644" s="64"/>
      <c r="I1644" s="64"/>
      <c r="J1644" s="64"/>
      <c r="K1644" s="64"/>
      <c r="L1644" s="64"/>
    </row>
    <row r="1645" ht="16.5" customHeight="1">
      <c r="A1645" s="64"/>
      <c r="B1645" s="80" t="s">
        <v>18249</v>
      </c>
      <c r="C1645" s="81" t="str">
        <f>IFERROR(__xludf.DUMMYFUNCTION("""COMPUTED_VALUE"""),"inabster")</f>
        <v>inabster</v>
      </c>
      <c r="D1645" s="75">
        <f>IFERROR(__xludf.DUMMYFUNCTION("""COMPUTED_VALUE"""),0.0)</f>
        <v>0</v>
      </c>
      <c r="E1645" s="64"/>
      <c r="F1645" s="95"/>
      <c r="G1645" s="96"/>
      <c r="H1645" s="64"/>
      <c r="I1645" s="64"/>
      <c r="J1645" s="64"/>
      <c r="K1645" s="64"/>
      <c r="L1645" s="64"/>
    </row>
    <row r="1646" ht="16.5" customHeight="1">
      <c r="A1646" s="64"/>
      <c r="B1646" s="80" t="s">
        <v>18249</v>
      </c>
      <c r="C1646" s="81" t="str">
        <f>IFERROR(__xludf.DUMMYFUNCTION("""COMPUTED_VALUE"""),"infamousgrouser")</f>
        <v>infamousgrouser</v>
      </c>
      <c r="D1646" s="75">
        <f>IFERROR(__xludf.DUMMYFUNCTION("""COMPUTED_VALUE"""),0.0)</f>
        <v>0</v>
      </c>
      <c r="E1646" s="64"/>
      <c r="F1646" s="95"/>
      <c r="G1646" s="96"/>
      <c r="H1646" s="64"/>
      <c r="I1646" s="64"/>
      <c r="J1646" s="64"/>
      <c r="K1646" s="64"/>
      <c r="L1646" s="64"/>
    </row>
    <row r="1647" ht="16.5" customHeight="1">
      <c r="A1647" s="64"/>
      <c r="B1647" s="80" t="s">
        <v>18249</v>
      </c>
      <c r="C1647" s="81" t="str">
        <f>IFERROR(__xludf.DUMMYFUNCTION("""COMPUTED_VALUE"""),"infobancaetica")</f>
        <v>infobancaetica</v>
      </c>
      <c r="D1647" s="75">
        <f>IFERROR(__xludf.DUMMYFUNCTION("""COMPUTED_VALUE"""),0.0)</f>
        <v>0</v>
      </c>
      <c r="E1647" s="64"/>
      <c r="F1647" s="95"/>
      <c r="G1647" s="96"/>
      <c r="H1647" s="64"/>
      <c r="I1647" s="64"/>
      <c r="J1647" s="64"/>
      <c r="K1647" s="64"/>
      <c r="L1647" s="64"/>
    </row>
    <row r="1648" ht="16.5" customHeight="1">
      <c r="A1648" s="64"/>
      <c r="B1648" s="80" t="s">
        <v>18249</v>
      </c>
      <c r="C1648" s="81" t="str">
        <f>IFERROR(__xludf.DUMMYFUNCTION("""COMPUTED_VALUE"""),"irelandseye")</f>
        <v>irelandseye</v>
      </c>
      <c r="D1648" s="75">
        <f>IFERROR(__xludf.DUMMYFUNCTION("""COMPUTED_VALUE"""),0.0)</f>
        <v>0</v>
      </c>
      <c r="E1648" s="64"/>
      <c r="F1648" s="95"/>
      <c r="G1648" s="96"/>
      <c r="H1648" s="64"/>
      <c r="I1648" s="64"/>
      <c r="J1648" s="64"/>
      <c r="K1648" s="64"/>
      <c r="L1648" s="64"/>
    </row>
    <row r="1649" ht="16.5" customHeight="1">
      <c r="A1649" s="64"/>
      <c r="B1649" s="80" t="s">
        <v>18249</v>
      </c>
      <c r="C1649" s="81" t="str">
        <f>IFERROR(__xludf.DUMMYFUNCTION("""COMPUTED_VALUE"""),"irishelt")</f>
        <v>irishelt</v>
      </c>
      <c r="D1649" s="75">
        <f>IFERROR(__xludf.DUMMYFUNCTION("""COMPUTED_VALUE"""),0.0)</f>
        <v>0</v>
      </c>
      <c r="E1649" s="64"/>
      <c r="F1649" s="95"/>
      <c r="G1649" s="96"/>
      <c r="H1649" s="64"/>
      <c r="I1649" s="64"/>
      <c r="J1649" s="64"/>
      <c r="K1649" s="64"/>
      <c r="L1649" s="64"/>
    </row>
    <row r="1650" ht="16.5" customHeight="1">
      <c r="A1650" s="64"/>
      <c r="B1650" s="80" t="s">
        <v>18249</v>
      </c>
      <c r="C1650" s="81" t="str">
        <f>IFERROR(__xludf.DUMMYFUNCTION("""COMPUTED_VALUE"""),"ironknee61")</f>
        <v>ironknee61</v>
      </c>
      <c r="D1650" s="75">
        <f>IFERROR(__xludf.DUMMYFUNCTION("""COMPUTED_VALUE"""),0.0)</f>
        <v>0</v>
      </c>
      <c r="E1650" s="64"/>
      <c r="F1650" s="95"/>
      <c r="G1650" s="96"/>
      <c r="H1650" s="64"/>
      <c r="I1650" s="64"/>
      <c r="J1650" s="64"/>
      <c r="K1650" s="64"/>
      <c r="L1650" s="64"/>
    </row>
    <row r="1651" ht="16.5" customHeight="1">
      <c r="A1651" s="64"/>
      <c r="B1651" s="80" t="s">
        <v>18249</v>
      </c>
      <c r="C1651" s="81" t="str">
        <f>IFERROR(__xludf.DUMMYFUNCTION("""COMPUTED_VALUE"""),"isofarro")</f>
        <v>isofarro</v>
      </c>
      <c r="D1651" s="75">
        <f>IFERROR(__xludf.DUMMYFUNCTION("""COMPUTED_VALUE"""),0.0)</f>
        <v>0</v>
      </c>
      <c r="E1651" s="64"/>
      <c r="F1651" s="95"/>
      <c r="G1651" s="96"/>
      <c r="H1651" s="64"/>
      <c r="I1651" s="64"/>
      <c r="J1651" s="64"/>
      <c r="K1651" s="64"/>
      <c r="L1651" s="64"/>
    </row>
    <row r="1652" ht="16.5" customHeight="1">
      <c r="A1652" s="64"/>
      <c r="B1652" s="80" t="s">
        <v>18249</v>
      </c>
      <c r="C1652" s="81" t="str">
        <f>IFERROR(__xludf.DUMMYFUNCTION("""COMPUTED_VALUE"""),"isolawilde306")</f>
        <v>isolawilde306</v>
      </c>
      <c r="D1652" s="75">
        <f>IFERROR(__xludf.DUMMYFUNCTION("""COMPUTED_VALUE"""),0.0)</f>
        <v>0</v>
      </c>
      <c r="E1652" s="64"/>
      <c r="F1652" s="95"/>
      <c r="G1652" s="96"/>
      <c r="H1652" s="64"/>
      <c r="I1652" s="64"/>
      <c r="J1652" s="64"/>
      <c r="K1652" s="64"/>
      <c r="L1652" s="64"/>
    </row>
    <row r="1653" ht="16.5" customHeight="1">
      <c r="A1653" s="64"/>
      <c r="B1653" s="80" t="s">
        <v>18249</v>
      </c>
      <c r="C1653" s="81" t="str">
        <f>IFERROR(__xludf.DUMMYFUNCTION("""COMPUTED_VALUE"""),"isthisab0t")</f>
        <v>isthisab0t</v>
      </c>
      <c r="D1653" s="75">
        <f>IFERROR(__xludf.DUMMYFUNCTION("""COMPUTED_VALUE"""),0.0)</f>
        <v>0</v>
      </c>
      <c r="E1653" s="64"/>
      <c r="F1653" s="95"/>
      <c r="G1653" s="96"/>
      <c r="H1653" s="64"/>
      <c r="I1653" s="64"/>
      <c r="J1653" s="64"/>
      <c r="K1653" s="64"/>
      <c r="L1653" s="64"/>
    </row>
    <row r="1654" ht="16.5" customHeight="1">
      <c r="A1654" s="64"/>
      <c r="B1654" s="80" t="s">
        <v>18249</v>
      </c>
      <c r="C1654" s="81" t="str">
        <f>IFERROR(__xludf.DUMMYFUNCTION("""COMPUTED_VALUE"""),"itchingseason")</f>
        <v>itchingseason</v>
      </c>
      <c r="D1654" s="75">
        <f>IFERROR(__xludf.DUMMYFUNCTION("""COMPUTED_VALUE"""),0.0)</f>
        <v>0</v>
      </c>
      <c r="E1654" s="64"/>
      <c r="F1654" s="95"/>
      <c r="G1654" s="96"/>
      <c r="H1654" s="64"/>
      <c r="I1654" s="64"/>
      <c r="J1654" s="64"/>
      <c r="K1654" s="64"/>
      <c r="L1654" s="64"/>
    </row>
    <row r="1655" ht="16.5" customHeight="1">
      <c r="A1655" s="64"/>
      <c r="B1655" s="80" t="s">
        <v>18249</v>
      </c>
      <c r="C1655" s="81" t="str">
        <f>IFERROR(__xludf.DUMMYFUNCTION("""COMPUTED_VALUE"""),"its4me23")</f>
        <v>its4me23</v>
      </c>
      <c r="D1655" s="75">
        <f>IFERROR(__xludf.DUMMYFUNCTION("""COMPUTED_VALUE"""),0.0)</f>
        <v>0</v>
      </c>
      <c r="E1655" s="64"/>
      <c r="F1655" s="95"/>
      <c r="G1655" s="96"/>
      <c r="H1655" s="64"/>
      <c r="I1655" s="64"/>
      <c r="J1655" s="64"/>
      <c r="K1655" s="64"/>
      <c r="L1655" s="64"/>
    </row>
    <row r="1656" ht="16.5" customHeight="1">
      <c r="A1656" s="64"/>
      <c r="B1656" s="80" t="s">
        <v>18249</v>
      </c>
      <c r="C1656" s="81" t="str">
        <f>IFERROR(__xludf.DUMMYFUNCTION("""COMPUTED_VALUE"""),"itsFrankBoff")</f>
        <v>itsFrankBoff</v>
      </c>
      <c r="D1656" s="75">
        <f>IFERROR(__xludf.DUMMYFUNCTION("""COMPUTED_VALUE"""),0.0)</f>
        <v>0</v>
      </c>
      <c r="E1656" s="64"/>
      <c r="F1656" s="95"/>
      <c r="G1656" s="96"/>
      <c r="H1656" s="64"/>
      <c r="I1656" s="64"/>
      <c r="J1656" s="64"/>
      <c r="K1656" s="64"/>
      <c r="L1656" s="64"/>
    </row>
    <row r="1657" ht="16.5" customHeight="1">
      <c r="A1657" s="64"/>
      <c r="B1657" s="80" t="s">
        <v>18249</v>
      </c>
      <c r="C1657" s="81" t="str">
        <f>IFERROR(__xludf.DUMMYFUNCTION("""COMPUTED_VALUE"""),"ivoesdelbe")</f>
        <v>ivoesdelbe</v>
      </c>
      <c r="D1657" s="75">
        <f>IFERROR(__xludf.DUMMYFUNCTION("""COMPUTED_VALUE"""),0.0)</f>
        <v>0</v>
      </c>
      <c r="E1657" s="64"/>
      <c r="F1657" s="95"/>
      <c r="G1657" s="96"/>
      <c r="H1657" s="64"/>
      <c r="I1657" s="64"/>
      <c r="J1657" s="64"/>
      <c r="K1657" s="64"/>
      <c r="L1657" s="64"/>
    </row>
    <row r="1658" ht="16.5" customHeight="1">
      <c r="A1658" s="64"/>
      <c r="B1658" s="80" t="s">
        <v>18249</v>
      </c>
      <c r="C1658" s="81" t="str">
        <f>IFERROR(__xludf.DUMMYFUNCTION("""COMPUTED_VALUE"""),"j_consilio")</f>
        <v>j_consilio</v>
      </c>
      <c r="D1658" s="75">
        <f>IFERROR(__xludf.DUMMYFUNCTION("""COMPUTED_VALUE"""),0.0)</f>
        <v>0</v>
      </c>
      <c r="E1658" s="64"/>
      <c r="F1658" s="95"/>
      <c r="G1658" s="96"/>
      <c r="H1658" s="64"/>
      <c r="I1658" s="64"/>
      <c r="J1658" s="64"/>
      <c r="K1658" s="64"/>
      <c r="L1658" s="64"/>
    </row>
    <row r="1659" ht="16.5" customHeight="1">
      <c r="A1659" s="64"/>
      <c r="B1659" s="80" t="s">
        <v>18249</v>
      </c>
      <c r="C1659" s="81" t="str">
        <f>IFERROR(__xludf.DUMMYFUNCTION("""COMPUTED_VALUE"""),"jackalsbynight")</f>
        <v>jackalsbynight</v>
      </c>
      <c r="D1659" s="75">
        <f>IFERROR(__xludf.DUMMYFUNCTION("""COMPUTED_VALUE"""),0.0)</f>
        <v>0</v>
      </c>
      <c r="E1659" s="64"/>
      <c r="F1659" s="95"/>
      <c r="G1659" s="96"/>
      <c r="H1659" s="64"/>
      <c r="I1659" s="64"/>
      <c r="J1659" s="64"/>
      <c r="K1659" s="64"/>
      <c r="L1659" s="64"/>
    </row>
    <row r="1660" ht="16.5" customHeight="1">
      <c r="A1660" s="64"/>
      <c r="B1660" s="80" t="s">
        <v>18249</v>
      </c>
      <c r="C1660" s="81" t="str">
        <f>IFERROR(__xludf.DUMMYFUNCTION("""COMPUTED_VALUE"""),"jackmahoney1810")</f>
        <v>jackmahoney1810</v>
      </c>
      <c r="D1660" s="75">
        <f>IFERROR(__xludf.DUMMYFUNCTION("""COMPUTED_VALUE"""),0.0)</f>
        <v>0</v>
      </c>
      <c r="E1660" s="64"/>
      <c r="F1660" s="95"/>
      <c r="G1660" s="96"/>
      <c r="H1660" s="64"/>
      <c r="I1660" s="64"/>
      <c r="J1660" s="64"/>
      <c r="K1660" s="64"/>
      <c r="L1660" s="64"/>
    </row>
    <row r="1661" ht="16.5" customHeight="1">
      <c r="A1661" s="64"/>
      <c r="B1661" s="80" t="s">
        <v>18249</v>
      </c>
      <c r="C1661" s="81" t="str">
        <f>IFERROR(__xludf.DUMMYFUNCTION("""COMPUTED_VALUE"""),"jagxjr40")</f>
        <v>jagxjr40</v>
      </c>
      <c r="D1661" s="75">
        <f>IFERROR(__xludf.DUMMYFUNCTION("""COMPUTED_VALUE"""),0.0)</f>
        <v>0</v>
      </c>
      <c r="E1661" s="64"/>
      <c r="F1661" s="95"/>
      <c r="G1661" s="96"/>
      <c r="H1661" s="64"/>
      <c r="I1661" s="64"/>
      <c r="J1661" s="64"/>
      <c r="K1661" s="64"/>
      <c r="L1661" s="64"/>
    </row>
    <row r="1662" ht="16.5" customHeight="1">
      <c r="A1662" s="64"/>
      <c r="B1662" s="80" t="s">
        <v>18249</v>
      </c>
      <c r="C1662" s="81" t="str">
        <f>IFERROR(__xludf.DUMMYFUNCTION("""COMPUTED_VALUE"""),"jamdodger4")</f>
        <v>jamdodger4</v>
      </c>
      <c r="D1662" s="75">
        <f>IFERROR(__xludf.DUMMYFUNCTION("""COMPUTED_VALUE"""),0.0)</f>
        <v>0</v>
      </c>
      <c r="E1662" s="64"/>
      <c r="F1662" s="95"/>
      <c r="G1662" s="96"/>
      <c r="H1662" s="64"/>
      <c r="I1662" s="64"/>
      <c r="J1662" s="64"/>
      <c r="K1662" s="64"/>
      <c r="L1662" s="64"/>
    </row>
    <row r="1663" ht="16.5" customHeight="1">
      <c r="A1663" s="64"/>
      <c r="B1663" s="80" t="s">
        <v>18249</v>
      </c>
      <c r="C1663" s="81" t="str">
        <f>IFERROR(__xludf.DUMMYFUNCTION("""COMPUTED_VALUE"""),"james__eu")</f>
        <v>james__eu</v>
      </c>
      <c r="D1663" s="75">
        <f>IFERROR(__xludf.DUMMYFUNCTION("""COMPUTED_VALUE"""),0.0)</f>
        <v>0</v>
      </c>
      <c r="E1663" s="64"/>
      <c r="F1663" s="95"/>
      <c r="G1663" s="96"/>
      <c r="H1663" s="64"/>
      <c r="I1663" s="64"/>
      <c r="J1663" s="64"/>
      <c r="K1663" s="64"/>
      <c r="L1663" s="64"/>
    </row>
    <row r="1664" ht="16.5" customHeight="1">
      <c r="A1664" s="64"/>
      <c r="B1664" s="80" t="s">
        <v>18249</v>
      </c>
      <c r="C1664" s="81" t="str">
        <f>IFERROR(__xludf.DUMMYFUNCTION("""COMPUTED_VALUE"""),"jamesmb")</f>
        <v>jamesmb</v>
      </c>
      <c r="D1664" s="75">
        <f>IFERROR(__xludf.DUMMYFUNCTION("""COMPUTED_VALUE"""),0.0)</f>
        <v>0</v>
      </c>
      <c r="E1664" s="64"/>
      <c r="F1664" s="95"/>
      <c r="G1664" s="96"/>
      <c r="H1664" s="64"/>
      <c r="I1664" s="64"/>
      <c r="J1664" s="64"/>
      <c r="K1664" s="64"/>
      <c r="L1664" s="64"/>
    </row>
    <row r="1665" ht="16.5" customHeight="1">
      <c r="A1665" s="64"/>
      <c r="B1665" s="80" t="s">
        <v>18249</v>
      </c>
      <c r="C1665" s="81" t="str">
        <f>IFERROR(__xludf.DUMMYFUNCTION("""COMPUTED_VALUE"""),"jamespfeffer")</f>
        <v>jamespfeffer</v>
      </c>
      <c r="D1665" s="75">
        <f>IFERROR(__xludf.DUMMYFUNCTION("""COMPUTED_VALUE"""),0.0)</f>
        <v>0</v>
      </c>
      <c r="E1665" s="64"/>
      <c r="F1665" s="95"/>
      <c r="G1665" s="96"/>
      <c r="H1665" s="64"/>
      <c r="I1665" s="64"/>
      <c r="J1665" s="64"/>
      <c r="K1665" s="64"/>
      <c r="L1665" s="64"/>
    </row>
    <row r="1666" ht="16.5" customHeight="1">
      <c r="A1666" s="64"/>
      <c r="B1666" s="80" t="s">
        <v>18249</v>
      </c>
      <c r="C1666" s="81" t="str">
        <f>IFERROR(__xludf.DUMMYFUNCTION("""COMPUTED_VALUE"""),"jamessmyth17")</f>
        <v>jamessmyth17</v>
      </c>
      <c r="D1666" s="75">
        <f>IFERROR(__xludf.DUMMYFUNCTION("""COMPUTED_VALUE"""),0.0)</f>
        <v>0</v>
      </c>
      <c r="E1666" s="64"/>
      <c r="F1666" s="95"/>
      <c r="G1666" s="96"/>
      <c r="H1666" s="64"/>
      <c r="I1666" s="64"/>
      <c r="J1666" s="64"/>
      <c r="K1666" s="64"/>
      <c r="L1666" s="64"/>
    </row>
    <row r="1667" ht="16.5" customHeight="1">
      <c r="A1667" s="64"/>
      <c r="B1667" s="80" t="s">
        <v>18249</v>
      </c>
      <c r="C1667" s="81" t="str">
        <f>IFERROR(__xludf.DUMMYFUNCTION("""COMPUTED_VALUE"""),"jamie_saris")</f>
        <v>jamie_saris</v>
      </c>
      <c r="D1667" s="75">
        <f>IFERROR(__xludf.DUMMYFUNCTION("""COMPUTED_VALUE"""),0.0)</f>
        <v>0</v>
      </c>
      <c r="E1667" s="64"/>
      <c r="F1667" s="95"/>
      <c r="G1667" s="96"/>
      <c r="H1667" s="64"/>
      <c r="I1667" s="64"/>
      <c r="J1667" s="64"/>
      <c r="K1667" s="64"/>
      <c r="L1667" s="64"/>
    </row>
    <row r="1668" ht="16.5" customHeight="1">
      <c r="A1668" s="64"/>
      <c r="B1668" s="80" t="s">
        <v>18249</v>
      </c>
      <c r="C1668" s="81" t="str">
        <f>IFERROR(__xludf.DUMMYFUNCTION("""COMPUTED_VALUE"""),"jan1mal")</f>
        <v>jan1mal</v>
      </c>
      <c r="D1668" s="75">
        <f>IFERROR(__xludf.DUMMYFUNCTION("""COMPUTED_VALUE"""),0.0)</f>
        <v>0</v>
      </c>
      <c r="E1668" s="64"/>
      <c r="F1668" s="95"/>
      <c r="G1668" s="96"/>
      <c r="H1668" s="64"/>
      <c r="I1668" s="64"/>
      <c r="J1668" s="64"/>
      <c r="K1668" s="64"/>
      <c r="L1668" s="64"/>
    </row>
    <row r="1669" ht="16.5" customHeight="1">
      <c r="A1669" s="64"/>
      <c r="B1669" s="80" t="s">
        <v>18249</v>
      </c>
      <c r="C1669" s="81" t="str">
        <f>IFERROR(__xludf.DUMMYFUNCTION("""COMPUTED_VALUE"""),"jane63c")</f>
        <v>jane63c</v>
      </c>
      <c r="D1669" s="75">
        <f>IFERROR(__xludf.DUMMYFUNCTION("""COMPUTED_VALUE"""),0.0)</f>
        <v>0</v>
      </c>
      <c r="E1669" s="64"/>
      <c r="F1669" s="95"/>
      <c r="G1669" s="96"/>
      <c r="H1669" s="64"/>
      <c r="I1669" s="64"/>
      <c r="J1669" s="64"/>
      <c r="K1669" s="64"/>
      <c r="L1669" s="64"/>
    </row>
    <row r="1670" ht="16.5" customHeight="1">
      <c r="A1670" s="64"/>
      <c r="B1670" s="80" t="s">
        <v>18249</v>
      </c>
      <c r="C1670" s="81" t="str">
        <f>IFERROR(__xludf.DUMMYFUNCTION("""COMPUTED_VALUE"""),"janetm50723412")</f>
        <v>janetm50723412</v>
      </c>
      <c r="D1670" s="75">
        <f>IFERROR(__xludf.DUMMYFUNCTION("""COMPUTED_VALUE"""),0.0)</f>
        <v>0</v>
      </c>
      <c r="E1670" s="64"/>
      <c r="F1670" s="95"/>
      <c r="G1670" s="96"/>
      <c r="H1670" s="64"/>
      <c r="I1670" s="64"/>
      <c r="J1670" s="64"/>
      <c r="K1670" s="64"/>
      <c r="L1670" s="64"/>
    </row>
    <row r="1671" ht="16.5" customHeight="1">
      <c r="A1671" s="64"/>
      <c r="B1671" s="80" t="s">
        <v>18249</v>
      </c>
      <c r="C1671" s="81" t="str">
        <f>IFERROR(__xludf.DUMMYFUNCTION("""COMPUTED_VALUE"""),"janfeghia")</f>
        <v>janfeghia</v>
      </c>
      <c r="D1671" s="75">
        <f>IFERROR(__xludf.DUMMYFUNCTION("""COMPUTED_VALUE"""),0.0)</f>
        <v>0</v>
      </c>
      <c r="E1671" s="64"/>
      <c r="F1671" s="95"/>
      <c r="G1671" s="96"/>
      <c r="H1671" s="64"/>
      <c r="I1671" s="64"/>
      <c r="J1671" s="64"/>
      <c r="K1671" s="64"/>
      <c r="L1671" s="64"/>
    </row>
    <row r="1672" ht="16.5" customHeight="1">
      <c r="A1672" s="64"/>
      <c r="B1672" s="80" t="s">
        <v>18249</v>
      </c>
      <c r="C1672" s="81" t="str">
        <f>IFERROR(__xludf.DUMMYFUNCTION("""COMPUTED_VALUE"""),"jantesays")</f>
        <v>jantesays</v>
      </c>
      <c r="D1672" s="75">
        <f>IFERROR(__xludf.DUMMYFUNCTION("""COMPUTED_VALUE"""),0.0)</f>
        <v>0</v>
      </c>
      <c r="E1672" s="64"/>
      <c r="F1672" s="95"/>
      <c r="G1672" s="96"/>
      <c r="H1672" s="64"/>
      <c r="I1672" s="64"/>
      <c r="J1672" s="64"/>
      <c r="K1672" s="64"/>
      <c r="L1672" s="64"/>
    </row>
    <row r="1673" ht="16.5" customHeight="1">
      <c r="A1673" s="64"/>
      <c r="B1673" s="80" t="s">
        <v>18249</v>
      </c>
      <c r="C1673" s="81" t="str">
        <f>IFERROR(__xludf.DUMMYFUNCTION("""COMPUTED_VALUE"""),"jasongdal2009")</f>
        <v>jasongdal2009</v>
      </c>
      <c r="D1673" s="75">
        <f>IFERROR(__xludf.DUMMYFUNCTION("""COMPUTED_VALUE"""),0.0)</f>
        <v>0</v>
      </c>
      <c r="E1673" s="64"/>
      <c r="F1673" s="95"/>
      <c r="G1673" s="96"/>
      <c r="H1673" s="64"/>
      <c r="I1673" s="64"/>
      <c r="J1673" s="64"/>
      <c r="K1673" s="64"/>
      <c r="L1673" s="64"/>
    </row>
    <row r="1674" ht="16.5" customHeight="1">
      <c r="A1674" s="64"/>
      <c r="B1674" s="80" t="s">
        <v>18249</v>
      </c>
      <c r="C1674" s="81" t="str">
        <f>IFERROR(__xludf.DUMMYFUNCTION("""COMPUTED_VALUE"""),"jaynehannahx")</f>
        <v>jaynehannahx</v>
      </c>
      <c r="D1674" s="75">
        <f>IFERROR(__xludf.DUMMYFUNCTION("""COMPUTED_VALUE"""),0.0)</f>
        <v>0</v>
      </c>
      <c r="E1674" s="64"/>
      <c r="F1674" s="95"/>
      <c r="G1674" s="96"/>
      <c r="H1674" s="64"/>
      <c r="I1674" s="64"/>
      <c r="J1674" s="64"/>
      <c r="K1674" s="64"/>
      <c r="L1674" s="64"/>
    </row>
    <row r="1675" ht="16.5" customHeight="1">
      <c r="A1675" s="64"/>
      <c r="B1675" s="80" t="s">
        <v>18249</v>
      </c>
      <c r="C1675" s="81" t="str">
        <f>IFERROR(__xludf.DUMMYFUNCTION("""COMPUTED_VALUE"""),"jayneinspain")</f>
        <v>jayneinspain</v>
      </c>
      <c r="D1675" s="75">
        <f>IFERROR(__xludf.DUMMYFUNCTION("""COMPUTED_VALUE"""),0.0)</f>
        <v>0</v>
      </c>
      <c r="E1675" s="64"/>
      <c r="F1675" s="95"/>
      <c r="G1675" s="96"/>
      <c r="H1675" s="64"/>
      <c r="I1675" s="64"/>
      <c r="J1675" s="64"/>
      <c r="K1675" s="64"/>
      <c r="L1675" s="64"/>
    </row>
    <row r="1676" ht="16.5" customHeight="1">
      <c r="A1676" s="64"/>
      <c r="B1676" s="80" t="s">
        <v>18249</v>
      </c>
      <c r="C1676" s="81" t="str">
        <f>IFERROR(__xludf.DUMMYFUNCTION("""COMPUTED_VALUE"""),"jaypwright")</f>
        <v>jaypwright</v>
      </c>
      <c r="D1676" s="75">
        <f>IFERROR(__xludf.DUMMYFUNCTION("""COMPUTED_VALUE"""),0.0)</f>
        <v>0</v>
      </c>
      <c r="E1676" s="64"/>
      <c r="F1676" s="95"/>
      <c r="G1676" s="96"/>
      <c r="H1676" s="64"/>
      <c r="I1676" s="64"/>
      <c r="J1676" s="64"/>
      <c r="K1676" s="64"/>
      <c r="L1676" s="64"/>
    </row>
    <row r="1677" ht="16.5" customHeight="1">
      <c r="A1677" s="64"/>
      <c r="B1677" s="80" t="s">
        <v>18249</v>
      </c>
      <c r="C1677" s="81" t="str">
        <f>IFERROR(__xludf.DUMMYFUNCTION("""COMPUTED_VALUE"""),"jccharnock")</f>
        <v>jccharnock</v>
      </c>
      <c r="D1677" s="75">
        <f>IFERROR(__xludf.DUMMYFUNCTION("""COMPUTED_VALUE"""),0.0)</f>
        <v>0</v>
      </c>
      <c r="E1677" s="64"/>
      <c r="F1677" s="95"/>
      <c r="G1677" s="96"/>
      <c r="H1677" s="64"/>
      <c r="I1677" s="64"/>
      <c r="J1677" s="64"/>
      <c r="K1677" s="64"/>
      <c r="L1677" s="64"/>
    </row>
    <row r="1678" ht="16.5" customHeight="1">
      <c r="A1678" s="64"/>
      <c r="B1678" s="80" t="s">
        <v>18249</v>
      </c>
      <c r="C1678" s="81" t="str">
        <f>IFERROR(__xludf.DUMMYFUNCTION("""COMPUTED_VALUE"""),"jcjumble")</f>
        <v>jcjumble</v>
      </c>
      <c r="D1678" s="75">
        <f>IFERROR(__xludf.DUMMYFUNCTION("""COMPUTED_VALUE"""),0.0)</f>
        <v>0</v>
      </c>
      <c r="E1678" s="64"/>
      <c r="F1678" s="95"/>
      <c r="G1678" s="96"/>
      <c r="H1678" s="64"/>
      <c r="I1678" s="64"/>
      <c r="J1678" s="64"/>
      <c r="K1678" s="64"/>
      <c r="L1678" s="64"/>
    </row>
    <row r="1679" ht="16.5" customHeight="1">
      <c r="A1679" s="64"/>
      <c r="B1679" s="80" t="s">
        <v>18249</v>
      </c>
      <c r="C1679" s="81" t="str">
        <f>IFERROR(__xludf.DUMMYFUNCTION("""COMPUTED_VALUE"""),"jdportes")</f>
        <v>jdportes</v>
      </c>
      <c r="D1679" s="75">
        <f>IFERROR(__xludf.DUMMYFUNCTION("""COMPUTED_VALUE"""),0.0)</f>
        <v>0</v>
      </c>
      <c r="E1679" s="64"/>
      <c r="F1679" s="95"/>
      <c r="G1679" s="96"/>
      <c r="H1679" s="64"/>
      <c r="I1679" s="64"/>
      <c r="J1679" s="64"/>
      <c r="K1679" s="64"/>
      <c r="L1679" s="64"/>
    </row>
    <row r="1680" ht="16.5" customHeight="1">
      <c r="A1680" s="64"/>
      <c r="B1680" s="80" t="s">
        <v>18249</v>
      </c>
      <c r="C1680" s="81" t="str">
        <f>IFERROR(__xludf.DUMMYFUNCTION("""COMPUTED_VALUE"""),"jdutchman")</f>
        <v>jdutchman</v>
      </c>
      <c r="D1680" s="75">
        <f>IFERROR(__xludf.DUMMYFUNCTION("""COMPUTED_VALUE"""),0.0)</f>
        <v>0</v>
      </c>
      <c r="E1680" s="64"/>
      <c r="F1680" s="95"/>
      <c r="G1680" s="96"/>
      <c r="H1680" s="64"/>
      <c r="I1680" s="64"/>
      <c r="J1680" s="64"/>
      <c r="K1680" s="64"/>
      <c r="L1680" s="64"/>
    </row>
    <row r="1681" ht="16.5" customHeight="1">
      <c r="A1681" s="64"/>
      <c r="B1681" s="80" t="s">
        <v>18249</v>
      </c>
      <c r="C1681" s="81" t="str">
        <f>IFERROR(__xludf.DUMMYFUNCTION("""COMPUTED_VALUE"""),"jeanmedavis")</f>
        <v>jeanmedavis</v>
      </c>
      <c r="D1681" s="75">
        <f>IFERROR(__xludf.DUMMYFUNCTION("""COMPUTED_VALUE"""),0.0)</f>
        <v>0</v>
      </c>
      <c r="E1681" s="64"/>
      <c r="F1681" s="95"/>
      <c r="G1681" s="96"/>
      <c r="H1681" s="64"/>
      <c r="I1681" s="64"/>
      <c r="J1681" s="64"/>
      <c r="K1681" s="64"/>
      <c r="L1681" s="64"/>
    </row>
    <row r="1682" ht="16.5" customHeight="1">
      <c r="A1682" s="64"/>
      <c r="B1682" s="80" t="s">
        <v>18249</v>
      </c>
      <c r="C1682" s="81" t="str">
        <f>IFERROR(__xludf.DUMMYFUNCTION("""COMPUTED_VALUE"""),"jenjeffiner")</f>
        <v>jenjeffiner</v>
      </c>
      <c r="D1682" s="75">
        <f>IFERROR(__xludf.DUMMYFUNCTION("""COMPUTED_VALUE"""),0.0)</f>
        <v>0</v>
      </c>
      <c r="E1682" s="64"/>
      <c r="F1682" s="95"/>
      <c r="G1682" s="96"/>
      <c r="H1682" s="64"/>
      <c r="I1682" s="64"/>
      <c r="J1682" s="64"/>
      <c r="K1682" s="64"/>
      <c r="L1682" s="64"/>
    </row>
    <row r="1683" ht="16.5" customHeight="1">
      <c r="A1683" s="64"/>
      <c r="B1683" s="80" t="s">
        <v>18249</v>
      </c>
      <c r="C1683" s="81" t="str">
        <f>IFERROR(__xludf.DUMMYFUNCTION("""COMPUTED_VALUE"""),"jenkinskeith9")</f>
        <v>jenkinskeith9</v>
      </c>
      <c r="D1683" s="75">
        <f>IFERROR(__xludf.DUMMYFUNCTION("""COMPUTED_VALUE"""),0.0)</f>
        <v>0</v>
      </c>
      <c r="E1683" s="64"/>
      <c r="F1683" s="95"/>
      <c r="G1683" s="96"/>
      <c r="H1683" s="64"/>
      <c r="I1683" s="64"/>
      <c r="J1683" s="64"/>
      <c r="K1683" s="64"/>
      <c r="L1683" s="64"/>
    </row>
    <row r="1684" ht="16.5" customHeight="1">
      <c r="A1684" s="64"/>
      <c r="B1684" s="80" t="s">
        <v>18249</v>
      </c>
      <c r="C1684" s="81" t="str">
        <f>IFERROR(__xludf.DUMMYFUNCTION("""COMPUTED_VALUE"""),"jenkt1")</f>
        <v>jenkt1</v>
      </c>
      <c r="D1684" s="75">
        <f>IFERROR(__xludf.DUMMYFUNCTION("""COMPUTED_VALUE"""),0.0)</f>
        <v>0</v>
      </c>
      <c r="E1684" s="64"/>
      <c r="F1684" s="95"/>
      <c r="G1684" s="96"/>
      <c r="H1684" s="64"/>
      <c r="I1684" s="64"/>
      <c r="J1684" s="64"/>
      <c r="K1684" s="64"/>
      <c r="L1684" s="64"/>
    </row>
    <row r="1685" ht="16.5" customHeight="1">
      <c r="A1685" s="64"/>
      <c r="B1685" s="80" t="s">
        <v>18249</v>
      </c>
      <c r="C1685" s="81" t="str">
        <f>IFERROR(__xludf.DUMMYFUNCTION("""COMPUTED_VALUE"""),"jennynorthern21")</f>
        <v>jennynorthern21</v>
      </c>
      <c r="D1685" s="75">
        <f>IFERROR(__xludf.DUMMYFUNCTION("""COMPUTED_VALUE"""),0.0)</f>
        <v>0</v>
      </c>
      <c r="E1685" s="64"/>
      <c r="F1685" s="95"/>
      <c r="G1685" s="96"/>
      <c r="H1685" s="64"/>
      <c r="I1685" s="64"/>
      <c r="J1685" s="64"/>
      <c r="K1685" s="64"/>
      <c r="L1685" s="64"/>
    </row>
    <row r="1686" ht="16.5" customHeight="1">
      <c r="A1686" s="64"/>
      <c r="B1686" s="80" t="s">
        <v>18249</v>
      </c>
      <c r="C1686" s="81" t="str">
        <f>IFERROR(__xludf.DUMMYFUNCTION("""COMPUTED_VALUE"""),"jennyranderson")</f>
        <v>jennyranderson</v>
      </c>
      <c r="D1686" s="75">
        <f>IFERROR(__xludf.DUMMYFUNCTION("""COMPUTED_VALUE"""),0.0)</f>
        <v>0</v>
      </c>
      <c r="E1686" s="64"/>
      <c r="F1686" s="95"/>
      <c r="G1686" s="96"/>
      <c r="H1686" s="64"/>
      <c r="I1686" s="64"/>
      <c r="J1686" s="64"/>
      <c r="K1686" s="64"/>
      <c r="L1686" s="64"/>
    </row>
    <row r="1687" ht="16.5" customHeight="1">
      <c r="A1687" s="64"/>
      <c r="B1687" s="80" t="s">
        <v>18249</v>
      </c>
      <c r="C1687" s="81" t="str">
        <f>IFERROR(__xludf.DUMMYFUNCTION("""COMPUTED_VALUE"""),"jennystew63")</f>
        <v>jennystew63</v>
      </c>
      <c r="D1687" s="75">
        <f>IFERROR(__xludf.DUMMYFUNCTION("""COMPUTED_VALUE"""),0.0)</f>
        <v>0</v>
      </c>
      <c r="E1687" s="64"/>
      <c r="F1687" s="95"/>
      <c r="G1687" s="96"/>
      <c r="H1687" s="64"/>
      <c r="I1687" s="64"/>
      <c r="J1687" s="64"/>
      <c r="K1687" s="64"/>
      <c r="L1687" s="64"/>
    </row>
    <row r="1688" ht="16.5" customHeight="1">
      <c r="A1688" s="64"/>
      <c r="B1688" s="80" t="s">
        <v>18249</v>
      </c>
      <c r="C1688" s="81" t="str">
        <f>IFERROR(__xludf.DUMMYFUNCTION("""COMPUTED_VALUE"""),"jeremysmith98")</f>
        <v>jeremysmith98</v>
      </c>
      <c r="D1688" s="75">
        <f>IFERROR(__xludf.DUMMYFUNCTION("""COMPUTED_VALUE"""),0.0)</f>
        <v>0</v>
      </c>
      <c r="E1688" s="64"/>
      <c r="F1688" s="95"/>
      <c r="G1688" s="96"/>
      <c r="H1688" s="64"/>
      <c r="I1688" s="64"/>
      <c r="J1688" s="64"/>
      <c r="K1688" s="64"/>
      <c r="L1688" s="64"/>
    </row>
    <row r="1689" ht="16.5" customHeight="1">
      <c r="A1689" s="64"/>
      <c r="B1689" s="80" t="s">
        <v>18249</v>
      </c>
      <c r="C1689" s="81" t="str">
        <f>IFERROR(__xludf.DUMMYFUNCTION("""COMPUTED_VALUE"""),"jet9341")</f>
        <v>jet9341</v>
      </c>
      <c r="D1689" s="75">
        <f>IFERROR(__xludf.DUMMYFUNCTION("""COMPUTED_VALUE"""),0.0)</f>
        <v>0</v>
      </c>
      <c r="E1689" s="64"/>
      <c r="F1689" s="95"/>
      <c r="G1689" s="96"/>
      <c r="H1689" s="64"/>
      <c r="I1689" s="64"/>
      <c r="J1689" s="64"/>
      <c r="K1689" s="64"/>
      <c r="L1689" s="64"/>
    </row>
    <row r="1690" ht="16.5" customHeight="1">
      <c r="A1690" s="64"/>
      <c r="B1690" s="80" t="s">
        <v>18249</v>
      </c>
      <c r="C1690" s="81" t="str">
        <f>IFERROR(__xludf.DUMMYFUNCTION("""COMPUTED_VALUE"""),"jezobrien")</f>
        <v>jezobrien</v>
      </c>
      <c r="D1690" s="75">
        <f>IFERROR(__xludf.DUMMYFUNCTION("""COMPUTED_VALUE"""),0.0)</f>
        <v>0</v>
      </c>
      <c r="E1690" s="64"/>
      <c r="F1690" s="95"/>
      <c r="G1690" s="96"/>
      <c r="H1690" s="64"/>
      <c r="I1690" s="64"/>
      <c r="J1690" s="64"/>
      <c r="K1690" s="64"/>
      <c r="L1690" s="64"/>
    </row>
    <row r="1691" ht="16.5" customHeight="1">
      <c r="A1691" s="64"/>
      <c r="B1691" s="80" t="s">
        <v>18249</v>
      </c>
      <c r="C1691" s="81" t="str">
        <f>IFERROR(__xludf.DUMMYFUNCTION("""COMPUTED_VALUE"""),"jezrandall")</f>
        <v>jezrandall</v>
      </c>
      <c r="D1691" s="75">
        <f>IFERROR(__xludf.DUMMYFUNCTION("""COMPUTED_VALUE"""),0.0)</f>
        <v>0</v>
      </c>
      <c r="E1691" s="64"/>
      <c r="F1691" s="95"/>
      <c r="G1691" s="96"/>
      <c r="H1691" s="64"/>
      <c r="I1691" s="64"/>
      <c r="J1691" s="64"/>
      <c r="K1691" s="64"/>
      <c r="L1691" s="64"/>
    </row>
    <row r="1692" ht="16.5" customHeight="1">
      <c r="A1692" s="64"/>
      <c r="B1692" s="80" t="s">
        <v>18249</v>
      </c>
      <c r="C1692" s="81" t="str">
        <f>IFERROR(__xludf.DUMMYFUNCTION("""COMPUTED_VALUE"""),"jfporchez")</f>
        <v>jfporchez</v>
      </c>
      <c r="D1692" s="75">
        <f>IFERROR(__xludf.DUMMYFUNCTION("""COMPUTED_VALUE"""),0.0)</f>
        <v>0</v>
      </c>
      <c r="E1692" s="64"/>
      <c r="F1692" s="95"/>
      <c r="G1692" s="96"/>
      <c r="H1692" s="64"/>
      <c r="I1692" s="64"/>
      <c r="J1692" s="64"/>
      <c r="K1692" s="64"/>
      <c r="L1692" s="64"/>
    </row>
    <row r="1693" ht="16.5" customHeight="1">
      <c r="A1693" s="64"/>
      <c r="B1693" s="80" t="s">
        <v>18249</v>
      </c>
      <c r="C1693" s="81" t="str">
        <f>IFERROR(__xludf.DUMMYFUNCTION("""COMPUTED_VALUE"""),"jillbed")</f>
        <v>jillbed</v>
      </c>
      <c r="D1693" s="75">
        <f>IFERROR(__xludf.DUMMYFUNCTION("""COMPUTED_VALUE"""),0.0)</f>
        <v>0</v>
      </c>
      <c r="E1693" s="64"/>
      <c r="F1693" s="95"/>
      <c r="G1693" s="96"/>
      <c r="H1693" s="64"/>
      <c r="I1693" s="64"/>
      <c r="J1693" s="64"/>
      <c r="K1693" s="64"/>
      <c r="L1693" s="64"/>
    </row>
    <row r="1694" ht="16.5" customHeight="1">
      <c r="A1694" s="64"/>
      <c r="B1694" s="80" t="s">
        <v>18249</v>
      </c>
      <c r="C1694" s="81" t="str">
        <f>IFERROR(__xludf.DUMMYFUNCTION("""COMPUTED_VALUE"""),"jillybwrafter")</f>
        <v>jillybwrafter</v>
      </c>
      <c r="D1694" s="75">
        <f>IFERROR(__xludf.DUMMYFUNCTION("""COMPUTED_VALUE"""),0.0)</f>
        <v>0</v>
      </c>
      <c r="E1694" s="64"/>
      <c r="F1694" s="95"/>
      <c r="G1694" s="96"/>
      <c r="H1694" s="64"/>
      <c r="I1694" s="64"/>
      <c r="J1694" s="64"/>
      <c r="K1694" s="64"/>
      <c r="L1694" s="64"/>
    </row>
    <row r="1695" ht="16.5" customHeight="1">
      <c r="A1695" s="64"/>
      <c r="B1695" s="80" t="s">
        <v>18249</v>
      </c>
      <c r="C1695" s="81" t="str">
        <f>IFERROR(__xludf.DUMMYFUNCTION("""COMPUTED_VALUE"""),"jimmyvilla1961")</f>
        <v>jimmyvilla1961</v>
      </c>
      <c r="D1695" s="75">
        <f>IFERROR(__xludf.DUMMYFUNCTION("""COMPUTED_VALUE"""),0.0)</f>
        <v>0</v>
      </c>
      <c r="E1695" s="64"/>
      <c r="F1695" s="95"/>
      <c r="G1695" s="96"/>
      <c r="H1695" s="64"/>
      <c r="I1695" s="64"/>
      <c r="J1695" s="64"/>
      <c r="K1695" s="64"/>
      <c r="L1695" s="64"/>
    </row>
    <row r="1696" ht="16.5" customHeight="1">
      <c r="A1696" s="64"/>
      <c r="B1696" s="80" t="s">
        <v>18249</v>
      </c>
      <c r="C1696" s="81" t="str">
        <f>IFERROR(__xludf.DUMMYFUNCTION("""COMPUTED_VALUE"""),"jimryan68")</f>
        <v>jimryan68</v>
      </c>
      <c r="D1696" s="75">
        <f>IFERROR(__xludf.DUMMYFUNCTION("""COMPUTED_VALUE"""),0.0)</f>
        <v>0</v>
      </c>
      <c r="E1696" s="64"/>
      <c r="F1696" s="95"/>
      <c r="G1696" s="96"/>
      <c r="H1696" s="64"/>
      <c r="I1696" s="64"/>
      <c r="J1696" s="64"/>
      <c r="K1696" s="64"/>
      <c r="L1696" s="64"/>
    </row>
    <row r="1697" ht="16.5" customHeight="1">
      <c r="A1697" s="64"/>
      <c r="B1697" s="80" t="s">
        <v>18249</v>
      </c>
      <c r="C1697" s="81" t="str">
        <f>IFERROR(__xludf.DUMMYFUNCTION("""COMPUTED_VALUE"""),"jj_sal")</f>
        <v>jj_sal</v>
      </c>
      <c r="D1697" s="75">
        <f>IFERROR(__xludf.DUMMYFUNCTION("""COMPUTED_VALUE"""),0.0)</f>
        <v>0</v>
      </c>
      <c r="E1697" s="64"/>
      <c r="F1697" s="95"/>
      <c r="G1697" s="96"/>
      <c r="H1697" s="64"/>
      <c r="I1697" s="64"/>
      <c r="J1697" s="64"/>
      <c r="K1697" s="64"/>
      <c r="L1697" s="64"/>
    </row>
    <row r="1698" ht="16.5" customHeight="1">
      <c r="A1698" s="64"/>
      <c r="B1698" s="80" t="s">
        <v>18249</v>
      </c>
      <c r="C1698" s="81" t="str">
        <f>IFERROR(__xludf.DUMMYFUNCTION("""COMPUTED_VALUE"""),"jmkorhonen")</f>
        <v>jmkorhonen</v>
      </c>
      <c r="D1698" s="75">
        <f>IFERROR(__xludf.DUMMYFUNCTION("""COMPUTED_VALUE"""),0.0)</f>
        <v>0</v>
      </c>
      <c r="E1698" s="64"/>
      <c r="F1698" s="95"/>
      <c r="G1698" s="96"/>
      <c r="H1698" s="64"/>
      <c r="I1698" s="64"/>
      <c r="J1698" s="64"/>
      <c r="K1698" s="64"/>
      <c r="L1698" s="64"/>
    </row>
    <row r="1699" ht="16.5" customHeight="1">
      <c r="A1699" s="64"/>
      <c r="B1699" s="80" t="s">
        <v>18249</v>
      </c>
      <c r="C1699" s="81" t="str">
        <f>IFERROR(__xludf.DUMMYFUNCTION("""COMPUTED_VALUE"""),"jngraphs")</f>
        <v>jngraphs</v>
      </c>
      <c r="D1699" s="75">
        <f>IFERROR(__xludf.DUMMYFUNCTION("""COMPUTED_VALUE"""),0.0)</f>
        <v>0</v>
      </c>
      <c r="E1699" s="64"/>
      <c r="F1699" s="95"/>
      <c r="G1699" s="96"/>
      <c r="H1699" s="64"/>
      <c r="I1699" s="64"/>
      <c r="J1699" s="64"/>
      <c r="K1699" s="64"/>
      <c r="L1699" s="64"/>
    </row>
    <row r="1700" ht="16.5" customHeight="1">
      <c r="A1700" s="64"/>
      <c r="B1700" s="80" t="s">
        <v>18249</v>
      </c>
      <c r="C1700" s="81" t="str">
        <f>IFERROR(__xludf.DUMMYFUNCTION("""COMPUTED_VALUE"""),"joanna_nicolson")</f>
        <v>joanna_nicolson</v>
      </c>
      <c r="D1700" s="75">
        <f>IFERROR(__xludf.DUMMYFUNCTION("""COMPUTED_VALUE"""),0.0)</f>
        <v>0</v>
      </c>
      <c r="E1700" s="64"/>
      <c r="F1700" s="95"/>
      <c r="G1700" s="96"/>
      <c r="H1700" s="64"/>
      <c r="I1700" s="64"/>
      <c r="J1700" s="64"/>
      <c r="K1700" s="64"/>
      <c r="L1700" s="64"/>
    </row>
    <row r="1701" ht="16.5" customHeight="1">
      <c r="A1701" s="64"/>
      <c r="B1701" s="80" t="s">
        <v>18249</v>
      </c>
      <c r="C1701" s="81" t="str">
        <f>IFERROR(__xludf.DUMMYFUNCTION("""COMPUTED_VALUE"""),"joannekarma")</f>
        <v>joannekarma</v>
      </c>
      <c r="D1701" s="75">
        <f>IFERROR(__xludf.DUMMYFUNCTION("""COMPUTED_VALUE"""),0.0)</f>
        <v>0</v>
      </c>
      <c r="E1701" s="64"/>
      <c r="F1701" s="95"/>
      <c r="G1701" s="96"/>
      <c r="H1701" s="64"/>
      <c r="I1701" s="64"/>
      <c r="J1701" s="64"/>
      <c r="K1701" s="64"/>
      <c r="L1701" s="64"/>
    </row>
    <row r="1702" ht="16.5" customHeight="1">
      <c r="A1702" s="64"/>
      <c r="B1702" s="80" t="s">
        <v>18249</v>
      </c>
      <c r="C1702" s="81" t="str">
        <f>IFERROR(__xludf.DUMMYFUNCTION("""COMPUTED_VALUE"""),"joao_kay")</f>
        <v>joao_kay</v>
      </c>
      <c r="D1702" s="75">
        <f>IFERROR(__xludf.DUMMYFUNCTION("""COMPUTED_VALUE"""),0.0)</f>
        <v>0</v>
      </c>
      <c r="E1702" s="64"/>
      <c r="F1702" s="95"/>
      <c r="G1702" s="96"/>
      <c r="H1702" s="64"/>
      <c r="I1702" s="64"/>
      <c r="J1702" s="64"/>
      <c r="K1702" s="64"/>
      <c r="L1702" s="64"/>
    </row>
    <row r="1703" ht="16.5" customHeight="1">
      <c r="A1703" s="64"/>
      <c r="B1703" s="80" t="s">
        <v>18249</v>
      </c>
      <c r="C1703" s="81" t="str">
        <f>IFERROR(__xludf.DUMMYFUNCTION("""COMPUTED_VALUE"""),"joe_conere")</f>
        <v>joe_conere</v>
      </c>
      <c r="D1703" s="75">
        <f>IFERROR(__xludf.DUMMYFUNCTION("""COMPUTED_VALUE"""),0.0)</f>
        <v>0</v>
      </c>
      <c r="E1703" s="64"/>
      <c r="F1703" s="95"/>
      <c r="G1703" s="96"/>
      <c r="H1703" s="64"/>
      <c r="I1703" s="64"/>
      <c r="J1703" s="64"/>
      <c r="K1703" s="64"/>
      <c r="L1703" s="64"/>
    </row>
    <row r="1704" ht="16.5" customHeight="1">
      <c r="A1704" s="64"/>
      <c r="B1704" s="80" t="s">
        <v>18249</v>
      </c>
      <c r="C1704" s="81" t="str">
        <f>IFERROR(__xludf.DUMMYFUNCTION("""COMPUTED_VALUE"""),"john79moran")</f>
        <v>john79moran</v>
      </c>
      <c r="D1704" s="75">
        <f>IFERROR(__xludf.DUMMYFUNCTION("""COMPUTED_VALUE"""),0.0)</f>
        <v>0</v>
      </c>
      <c r="E1704" s="64"/>
      <c r="F1704" s="95"/>
      <c r="G1704" s="96"/>
      <c r="H1704" s="64"/>
      <c r="I1704" s="64"/>
      <c r="J1704" s="64"/>
      <c r="K1704" s="64"/>
      <c r="L1704" s="64"/>
    </row>
    <row r="1705" ht="16.5" customHeight="1">
      <c r="A1705" s="64"/>
      <c r="B1705" s="80" t="s">
        <v>18249</v>
      </c>
      <c r="C1705" s="81" t="str">
        <f>IFERROR(__xludf.DUMMYFUNCTION("""COMPUTED_VALUE"""),"johnandi")</f>
        <v>johnandi</v>
      </c>
      <c r="D1705" s="75">
        <f>IFERROR(__xludf.DUMMYFUNCTION("""COMPUTED_VALUE"""),0.0)</f>
        <v>0</v>
      </c>
      <c r="E1705" s="64"/>
      <c r="F1705" s="95"/>
      <c r="G1705" s="96"/>
      <c r="H1705" s="64"/>
      <c r="I1705" s="64"/>
      <c r="J1705" s="64"/>
      <c r="K1705" s="64"/>
      <c r="L1705" s="64"/>
    </row>
    <row r="1706" ht="16.5" customHeight="1">
      <c r="A1706" s="64"/>
      <c r="B1706" s="80" t="s">
        <v>18249</v>
      </c>
      <c r="C1706" s="81" t="str">
        <f>IFERROR(__xludf.DUMMYFUNCTION("""COMPUTED_VALUE"""),"johngreenemusic")</f>
        <v>johngreenemusic</v>
      </c>
      <c r="D1706" s="75">
        <f>IFERROR(__xludf.DUMMYFUNCTION("""COMPUTED_VALUE"""),0.0)</f>
        <v>0</v>
      </c>
      <c r="E1706" s="64"/>
      <c r="F1706" s="95"/>
      <c r="G1706" s="96"/>
      <c r="H1706" s="64"/>
      <c r="I1706" s="64"/>
      <c r="J1706" s="64"/>
      <c r="K1706" s="64"/>
      <c r="L1706" s="64"/>
    </row>
    <row r="1707" ht="16.5" customHeight="1">
      <c r="A1707" s="64"/>
      <c r="B1707" s="80" t="s">
        <v>18249</v>
      </c>
      <c r="C1707" s="81" t="str">
        <f>IFERROR(__xludf.DUMMYFUNCTION("""COMPUTED_VALUE"""),"johnrallan")</f>
        <v>johnrallan</v>
      </c>
      <c r="D1707" s="75">
        <f>IFERROR(__xludf.DUMMYFUNCTION("""COMPUTED_VALUE"""),0.0)</f>
        <v>0</v>
      </c>
      <c r="E1707" s="64"/>
      <c r="F1707" s="95"/>
      <c r="G1707" s="96"/>
      <c r="H1707" s="64"/>
      <c r="I1707" s="64"/>
      <c r="J1707" s="64"/>
      <c r="K1707" s="64"/>
      <c r="L1707" s="64"/>
    </row>
    <row r="1708" ht="16.5" customHeight="1">
      <c r="A1708" s="64"/>
      <c r="B1708" s="80" t="s">
        <v>18249</v>
      </c>
      <c r="C1708" s="81" t="str">
        <f>IFERROR(__xludf.DUMMYFUNCTION("""COMPUTED_VALUE"""),"johnrobertforde")</f>
        <v>johnrobertforde</v>
      </c>
      <c r="D1708" s="75">
        <f>IFERROR(__xludf.DUMMYFUNCTION("""COMPUTED_VALUE"""),0.0)</f>
        <v>0</v>
      </c>
      <c r="E1708" s="64"/>
      <c r="F1708" s="95"/>
      <c r="G1708" s="96"/>
      <c r="H1708" s="64"/>
      <c r="I1708" s="64"/>
      <c r="J1708" s="64"/>
      <c r="K1708" s="64"/>
      <c r="L1708" s="64"/>
    </row>
    <row r="1709" ht="16.5" customHeight="1">
      <c r="A1709" s="64"/>
      <c r="B1709" s="80" t="s">
        <v>18249</v>
      </c>
      <c r="C1709" s="81" t="str">
        <f>IFERROR(__xludf.DUMMYFUNCTION("""COMPUTED_VALUE"""),"jonathansnorman")</f>
        <v>jonathansnorman</v>
      </c>
      <c r="D1709" s="75">
        <f>IFERROR(__xludf.DUMMYFUNCTION("""COMPUTED_VALUE"""),0.0)</f>
        <v>0</v>
      </c>
      <c r="E1709" s="64"/>
      <c r="F1709" s="95"/>
      <c r="G1709" s="96"/>
      <c r="H1709" s="64"/>
      <c r="I1709" s="64"/>
      <c r="J1709" s="64"/>
      <c r="K1709" s="64"/>
      <c r="L1709" s="64"/>
    </row>
    <row r="1710" ht="16.5" customHeight="1">
      <c r="A1710" s="64"/>
      <c r="B1710" s="80" t="s">
        <v>18249</v>
      </c>
      <c r="C1710" s="81" t="str">
        <f>IFERROR(__xludf.DUMMYFUNCTION("""COMPUTED_VALUE"""),"jones_pj")</f>
        <v>jones_pj</v>
      </c>
      <c r="D1710" s="75">
        <f>IFERROR(__xludf.DUMMYFUNCTION("""COMPUTED_VALUE"""),0.0)</f>
        <v>0</v>
      </c>
      <c r="E1710" s="64"/>
      <c r="F1710" s="95"/>
      <c r="G1710" s="96"/>
      <c r="H1710" s="64"/>
      <c r="I1710" s="64"/>
      <c r="J1710" s="64"/>
      <c r="K1710" s="64"/>
      <c r="L1710" s="64"/>
    </row>
    <row r="1711" ht="16.5" customHeight="1">
      <c r="A1711" s="64"/>
      <c r="B1711" s="80" t="s">
        <v>18249</v>
      </c>
      <c r="C1711" s="81" t="str">
        <f>IFERROR(__xludf.DUMMYFUNCTION("""COMPUTED_VALUE"""),"jorgeop27")</f>
        <v>jorgeop27</v>
      </c>
      <c r="D1711" s="75">
        <f>IFERROR(__xludf.DUMMYFUNCTION("""COMPUTED_VALUE"""),0.0)</f>
        <v>0</v>
      </c>
      <c r="E1711" s="64"/>
      <c r="F1711" s="95"/>
      <c r="G1711" s="96"/>
      <c r="H1711" s="64"/>
      <c r="I1711" s="64"/>
      <c r="J1711" s="64"/>
      <c r="K1711" s="64"/>
      <c r="L1711" s="64"/>
    </row>
    <row r="1712" ht="16.5" customHeight="1">
      <c r="A1712" s="64"/>
      <c r="B1712" s="80" t="s">
        <v>18249</v>
      </c>
      <c r="C1712" s="81" t="str">
        <f>IFERROR(__xludf.DUMMYFUNCTION("""COMPUTED_VALUE"""),"jpiana1")</f>
        <v>jpiana1</v>
      </c>
      <c r="D1712" s="75">
        <f>IFERROR(__xludf.DUMMYFUNCTION("""COMPUTED_VALUE"""),0.0)</f>
        <v>0</v>
      </c>
      <c r="E1712" s="64"/>
      <c r="F1712" s="95"/>
      <c r="G1712" s="96"/>
      <c r="H1712" s="64"/>
      <c r="I1712" s="64"/>
      <c r="J1712" s="64"/>
      <c r="K1712" s="64"/>
      <c r="L1712" s="64"/>
    </row>
    <row r="1713" ht="16.5" customHeight="1">
      <c r="A1713" s="64"/>
      <c r="B1713" s="80" t="s">
        <v>18249</v>
      </c>
      <c r="C1713" s="81" t="str">
        <f>IFERROR(__xludf.DUMMYFUNCTION("""COMPUTED_VALUE"""),"jplunky")</f>
        <v>jplunky</v>
      </c>
      <c r="D1713" s="75">
        <f>IFERROR(__xludf.DUMMYFUNCTION("""COMPUTED_VALUE"""),0.0)</f>
        <v>0</v>
      </c>
      <c r="E1713" s="64"/>
      <c r="F1713" s="95"/>
      <c r="G1713" s="96"/>
      <c r="H1713" s="64"/>
      <c r="I1713" s="64"/>
      <c r="J1713" s="64"/>
      <c r="K1713" s="64"/>
      <c r="L1713" s="64"/>
    </row>
    <row r="1714" ht="16.5" customHeight="1">
      <c r="A1714" s="64"/>
      <c r="B1714" s="80" t="s">
        <v>18249</v>
      </c>
      <c r="C1714" s="81" t="str">
        <f>IFERROR(__xludf.DUMMYFUNCTION("""COMPUTED_VALUE"""),"js_editor")</f>
        <v>js_editor</v>
      </c>
      <c r="D1714" s="75">
        <f>IFERROR(__xludf.DUMMYFUNCTION("""COMPUTED_VALUE"""),0.0)</f>
        <v>0</v>
      </c>
      <c r="E1714" s="64"/>
      <c r="F1714" s="95"/>
      <c r="G1714" s="96"/>
      <c r="H1714" s="64"/>
      <c r="I1714" s="64"/>
      <c r="J1714" s="64"/>
      <c r="K1714" s="64"/>
      <c r="L1714" s="64"/>
    </row>
    <row r="1715" ht="16.5" customHeight="1">
      <c r="A1715" s="64"/>
      <c r="B1715" s="80" t="s">
        <v>18249</v>
      </c>
      <c r="C1715" s="81" t="str">
        <f>IFERROR(__xludf.DUMMYFUNCTION("""COMPUTED_VALUE"""),"judd_author")</f>
        <v>judd_author</v>
      </c>
      <c r="D1715" s="75">
        <f>IFERROR(__xludf.DUMMYFUNCTION("""COMPUTED_VALUE"""),0.0)</f>
        <v>0</v>
      </c>
      <c r="E1715" s="64"/>
      <c r="F1715" s="95"/>
      <c r="G1715" s="96"/>
      <c r="H1715" s="64"/>
      <c r="I1715" s="64"/>
      <c r="J1715" s="64"/>
      <c r="K1715" s="64"/>
      <c r="L1715" s="64"/>
    </row>
    <row r="1716" ht="16.5" customHeight="1">
      <c r="A1716" s="64"/>
      <c r="B1716" s="80" t="s">
        <v>18249</v>
      </c>
      <c r="C1716" s="81" t="str">
        <f>IFERROR(__xludf.DUMMYFUNCTION("""COMPUTED_VALUE"""),"judecambridge")</f>
        <v>judecambridge</v>
      </c>
      <c r="D1716" s="75">
        <f>IFERROR(__xludf.DUMMYFUNCTION("""COMPUTED_VALUE"""),0.0)</f>
        <v>0</v>
      </c>
      <c r="E1716" s="64"/>
      <c r="F1716" s="95"/>
      <c r="G1716" s="96"/>
      <c r="H1716" s="64"/>
      <c r="I1716" s="64"/>
      <c r="J1716" s="64"/>
      <c r="K1716" s="64"/>
      <c r="L1716" s="64"/>
    </row>
    <row r="1717" ht="16.5" customHeight="1">
      <c r="A1717" s="64"/>
      <c r="B1717" s="80" t="s">
        <v>18249</v>
      </c>
      <c r="C1717" s="81" t="str">
        <f>IFERROR(__xludf.DUMMYFUNCTION("""COMPUTED_VALUE"""),"judecook_")</f>
        <v>judecook_</v>
      </c>
      <c r="D1717" s="75">
        <f>IFERROR(__xludf.DUMMYFUNCTION("""COMPUTED_VALUE"""),0.0)</f>
        <v>0</v>
      </c>
      <c r="E1717" s="64"/>
      <c r="F1717" s="95"/>
      <c r="G1717" s="96"/>
      <c r="H1717" s="64"/>
      <c r="I1717" s="64"/>
      <c r="J1717" s="64"/>
      <c r="K1717" s="64"/>
      <c r="L1717" s="64"/>
    </row>
    <row r="1718" ht="16.5" customHeight="1">
      <c r="A1718" s="64"/>
      <c r="B1718" s="80" t="s">
        <v>18249</v>
      </c>
      <c r="C1718" s="81" t="str">
        <f>IFERROR(__xludf.DUMMYFUNCTION("""COMPUTED_VALUE"""),"judith1marshall")</f>
        <v>judith1marshall</v>
      </c>
      <c r="D1718" s="75">
        <f>IFERROR(__xludf.DUMMYFUNCTION("""COMPUTED_VALUE"""),0.0)</f>
        <v>0</v>
      </c>
      <c r="E1718" s="64"/>
      <c r="F1718" s="95"/>
      <c r="G1718" s="96"/>
      <c r="H1718" s="64"/>
      <c r="I1718" s="64"/>
      <c r="J1718" s="64"/>
      <c r="K1718" s="64"/>
      <c r="L1718" s="64"/>
    </row>
    <row r="1719" ht="16.5" customHeight="1">
      <c r="A1719" s="64"/>
      <c r="B1719" s="80" t="s">
        <v>18249</v>
      </c>
      <c r="C1719" s="81" t="str">
        <f>IFERROR(__xludf.DUMMYFUNCTION("""COMPUTED_VALUE"""),"juk5252")</f>
        <v>juk5252</v>
      </c>
      <c r="D1719" s="75">
        <f>IFERROR(__xludf.DUMMYFUNCTION("""COMPUTED_VALUE"""),0.0)</f>
        <v>0</v>
      </c>
      <c r="E1719" s="64"/>
      <c r="F1719" s="95"/>
      <c r="G1719" s="96"/>
      <c r="H1719" s="64"/>
      <c r="I1719" s="64"/>
      <c r="J1719" s="64"/>
      <c r="K1719" s="64"/>
      <c r="L1719" s="64"/>
    </row>
    <row r="1720" ht="16.5" customHeight="1">
      <c r="A1720" s="64"/>
      <c r="B1720" s="80" t="s">
        <v>18249</v>
      </c>
      <c r="C1720" s="81" t="str">
        <f>IFERROR(__xludf.DUMMYFUNCTION("""COMPUTED_VALUE"""),"julesdb9")</f>
        <v>julesdb9</v>
      </c>
      <c r="D1720" s="75">
        <f>IFERROR(__xludf.DUMMYFUNCTION("""COMPUTED_VALUE"""),0.0)</f>
        <v>0</v>
      </c>
      <c r="E1720" s="64"/>
      <c r="F1720" s="95"/>
      <c r="G1720" s="96"/>
      <c r="H1720" s="64"/>
      <c r="I1720" s="64"/>
      <c r="J1720" s="64"/>
      <c r="K1720" s="64"/>
      <c r="L1720" s="64"/>
    </row>
    <row r="1721" ht="16.5" customHeight="1">
      <c r="A1721" s="64"/>
      <c r="B1721" s="80" t="s">
        <v>18249</v>
      </c>
      <c r="C1721" s="81" t="str">
        <f>IFERROR(__xludf.DUMMYFUNCTION("""COMPUTED_VALUE"""),"juliadolan1")</f>
        <v>juliadolan1</v>
      </c>
      <c r="D1721" s="75">
        <f>IFERROR(__xludf.DUMMYFUNCTION("""COMPUTED_VALUE"""),0.0)</f>
        <v>0</v>
      </c>
      <c r="E1721" s="64"/>
      <c r="F1721" s="95"/>
      <c r="G1721" s="96"/>
      <c r="H1721" s="64"/>
      <c r="I1721" s="64"/>
      <c r="J1721" s="64"/>
      <c r="K1721" s="64"/>
      <c r="L1721" s="64"/>
    </row>
    <row r="1722" ht="16.5" customHeight="1">
      <c r="A1722" s="64"/>
      <c r="B1722" s="80" t="s">
        <v>18249</v>
      </c>
      <c r="C1722" s="81" t="str">
        <f>IFERROR(__xludf.DUMMYFUNCTION("""COMPUTED_VALUE"""),"julie4north")</f>
        <v>julie4north</v>
      </c>
      <c r="D1722" s="75">
        <f>IFERROR(__xludf.DUMMYFUNCTION("""COMPUTED_VALUE"""),0.0)</f>
        <v>0</v>
      </c>
      <c r="E1722" s="64"/>
      <c r="F1722" s="95"/>
      <c r="G1722" s="96"/>
      <c r="H1722" s="64"/>
      <c r="I1722" s="64"/>
      <c r="J1722" s="64"/>
      <c r="K1722" s="64"/>
      <c r="L1722" s="64"/>
    </row>
    <row r="1723" ht="16.5" customHeight="1">
      <c r="A1723" s="64"/>
      <c r="B1723" s="80" t="s">
        <v>18249</v>
      </c>
      <c r="C1723" s="81" t="str">
        <f>IFERROR(__xludf.DUMMYFUNCTION("""COMPUTED_VALUE"""),"julie_dutto")</f>
        <v>julie_dutto</v>
      </c>
      <c r="D1723" s="75">
        <f>IFERROR(__xludf.DUMMYFUNCTION("""COMPUTED_VALUE"""),0.0)</f>
        <v>0</v>
      </c>
      <c r="E1723" s="64"/>
      <c r="F1723" s="95"/>
      <c r="G1723" s="96"/>
      <c r="H1723" s="64"/>
      <c r="I1723" s="64"/>
      <c r="J1723" s="64"/>
      <c r="K1723" s="64"/>
      <c r="L1723" s="64"/>
    </row>
    <row r="1724" ht="16.5" customHeight="1">
      <c r="A1724" s="64"/>
      <c r="B1724" s="80" t="s">
        <v>18249</v>
      </c>
      <c r="C1724" s="81" t="str">
        <f>IFERROR(__xludf.DUMMYFUNCTION("""COMPUTED_VALUE"""),"jungofunk")</f>
        <v>jungofunk</v>
      </c>
      <c r="D1724" s="75">
        <f>IFERROR(__xludf.DUMMYFUNCTION("""COMPUTED_VALUE"""),0.0)</f>
        <v>0</v>
      </c>
      <c r="E1724" s="64"/>
      <c r="F1724" s="95"/>
      <c r="G1724" s="96"/>
      <c r="H1724" s="64"/>
      <c r="I1724" s="64"/>
      <c r="J1724" s="64"/>
      <c r="K1724" s="64"/>
      <c r="L1724" s="64"/>
    </row>
    <row r="1725" ht="16.5" customHeight="1">
      <c r="A1725" s="64"/>
      <c r="B1725" s="80" t="s">
        <v>18249</v>
      </c>
      <c r="C1725" s="81" t="str">
        <f>IFERROR(__xludf.DUMMYFUNCTION("""COMPUTED_VALUE"""),"just_slipper")</f>
        <v>just_slipper</v>
      </c>
      <c r="D1725" s="75">
        <f>IFERROR(__xludf.DUMMYFUNCTION("""COMPUTED_VALUE"""),0.0)</f>
        <v>0</v>
      </c>
      <c r="E1725" s="64"/>
      <c r="F1725" s="95"/>
      <c r="G1725" s="96"/>
      <c r="H1725" s="64"/>
      <c r="I1725" s="64"/>
      <c r="J1725" s="64"/>
      <c r="K1725" s="64"/>
      <c r="L1725" s="64"/>
    </row>
    <row r="1726" ht="16.5" customHeight="1">
      <c r="A1726" s="64"/>
      <c r="B1726" s="80" t="s">
        <v>18249</v>
      </c>
      <c r="C1726" s="81" t="str">
        <f>IFERROR(__xludf.DUMMYFUNCTION("""COMPUTED_VALUE"""),"justinionn")</f>
        <v>justinionn</v>
      </c>
      <c r="D1726" s="75">
        <f>IFERROR(__xludf.DUMMYFUNCTION("""COMPUTED_VALUE"""),0.0)</f>
        <v>0</v>
      </c>
      <c r="E1726" s="64"/>
      <c r="F1726" s="95"/>
      <c r="G1726" s="96"/>
      <c r="H1726" s="64"/>
      <c r="I1726" s="64"/>
      <c r="J1726" s="64"/>
      <c r="K1726" s="64"/>
      <c r="L1726" s="64"/>
    </row>
    <row r="1727" ht="16.5" customHeight="1">
      <c r="A1727" s="64"/>
      <c r="B1727" s="80" t="s">
        <v>18249</v>
      </c>
      <c r="C1727" s="81" t="str">
        <f>IFERROR(__xludf.DUMMYFUNCTION("""COMPUTED_VALUE"""),"jv_uk2011")</f>
        <v>jv_uk2011</v>
      </c>
      <c r="D1727" s="75">
        <f>IFERROR(__xludf.DUMMYFUNCTION("""COMPUTED_VALUE"""),0.0)</f>
        <v>0</v>
      </c>
      <c r="E1727" s="64"/>
      <c r="F1727" s="95"/>
      <c r="G1727" s="96"/>
      <c r="H1727" s="64"/>
      <c r="I1727" s="64"/>
      <c r="J1727" s="64"/>
      <c r="K1727" s="64"/>
      <c r="L1727" s="64"/>
    </row>
    <row r="1728" ht="16.5" customHeight="1">
      <c r="A1728" s="64"/>
      <c r="B1728" s="80" t="s">
        <v>18249</v>
      </c>
      <c r="C1728" s="81" t="str">
        <f>IFERROR(__xludf.DUMMYFUNCTION("""COMPUTED_VALUE"""),"jwahjwah")</f>
        <v>jwahjwah</v>
      </c>
      <c r="D1728" s="75">
        <f>IFERROR(__xludf.DUMMYFUNCTION("""COMPUTED_VALUE"""),0.0)</f>
        <v>0</v>
      </c>
      <c r="E1728" s="64"/>
      <c r="F1728" s="95"/>
      <c r="G1728" s="96"/>
      <c r="H1728" s="64"/>
      <c r="I1728" s="64"/>
      <c r="J1728" s="64"/>
      <c r="K1728" s="64"/>
      <c r="L1728" s="64"/>
    </row>
    <row r="1729" ht="16.5" customHeight="1">
      <c r="A1729" s="64"/>
      <c r="B1729" s="80" t="s">
        <v>18249</v>
      </c>
      <c r="C1729" s="81" t="str">
        <f>IFERROR(__xludf.DUMMYFUNCTION("""COMPUTED_VALUE"""),"kadams0")</f>
        <v>kadams0</v>
      </c>
      <c r="D1729" s="75">
        <f>IFERROR(__xludf.DUMMYFUNCTION("""COMPUTED_VALUE"""),0.0)</f>
        <v>0</v>
      </c>
      <c r="E1729" s="64"/>
      <c r="F1729" s="95"/>
      <c r="G1729" s="96"/>
      <c r="H1729" s="64"/>
      <c r="I1729" s="64"/>
      <c r="J1729" s="64"/>
      <c r="K1729" s="64"/>
      <c r="L1729" s="64"/>
    </row>
    <row r="1730" ht="16.5" customHeight="1">
      <c r="A1730" s="64"/>
      <c r="B1730" s="80" t="s">
        <v>18249</v>
      </c>
      <c r="C1730" s="81" t="str">
        <f>IFERROR(__xludf.DUMMYFUNCTION("""COMPUTED_VALUE"""),"karlmfisher")</f>
        <v>karlmfisher</v>
      </c>
      <c r="D1730" s="75">
        <f>IFERROR(__xludf.DUMMYFUNCTION("""COMPUTED_VALUE"""),0.0)</f>
        <v>0</v>
      </c>
      <c r="E1730" s="64"/>
      <c r="F1730" s="95"/>
      <c r="G1730" s="96"/>
      <c r="H1730" s="64"/>
      <c r="I1730" s="64"/>
      <c r="J1730" s="64"/>
      <c r="K1730" s="64"/>
      <c r="L1730" s="64"/>
    </row>
    <row r="1731" ht="16.5" customHeight="1">
      <c r="A1731" s="64"/>
      <c r="B1731" s="80" t="s">
        <v>18249</v>
      </c>
      <c r="C1731" s="81" t="str">
        <f>IFERROR(__xludf.DUMMYFUNCTION("""COMPUTED_VALUE"""),"katecooper")</f>
        <v>katecooper</v>
      </c>
      <c r="D1731" s="75">
        <f>IFERROR(__xludf.DUMMYFUNCTION("""COMPUTED_VALUE"""),0.0)</f>
        <v>0</v>
      </c>
      <c r="E1731" s="64"/>
      <c r="F1731" s="95"/>
      <c r="G1731" s="96"/>
      <c r="H1731" s="64"/>
      <c r="I1731" s="64"/>
      <c r="J1731" s="64"/>
      <c r="K1731" s="64"/>
      <c r="L1731" s="64"/>
    </row>
    <row r="1732" ht="16.5" customHeight="1">
      <c r="A1732" s="64"/>
      <c r="B1732" s="80" t="s">
        <v>18249</v>
      </c>
      <c r="C1732" s="81" t="str">
        <f>IFERROR(__xludf.DUMMYFUNCTION("""COMPUTED_VALUE"""),"katieB45611594")</f>
        <v>katieB45611594</v>
      </c>
      <c r="D1732" s="75">
        <f>IFERROR(__xludf.DUMMYFUNCTION("""COMPUTED_VALUE"""),0.0)</f>
        <v>0</v>
      </c>
      <c r="E1732" s="64"/>
      <c r="F1732" s="95"/>
      <c r="G1732" s="96"/>
      <c r="H1732" s="64"/>
      <c r="I1732" s="64"/>
      <c r="J1732" s="64"/>
      <c r="K1732" s="64"/>
      <c r="L1732" s="64"/>
    </row>
    <row r="1733" ht="16.5" customHeight="1">
      <c r="A1733" s="64"/>
      <c r="B1733" s="80" t="s">
        <v>18249</v>
      </c>
      <c r="C1733" s="81" t="str">
        <f>IFERROR(__xludf.DUMMYFUNCTION("""COMPUTED_VALUE"""),"keabry77")</f>
        <v>keabry77</v>
      </c>
      <c r="D1733" s="75">
        <f>IFERROR(__xludf.DUMMYFUNCTION("""COMPUTED_VALUE"""),0.0)</f>
        <v>0</v>
      </c>
      <c r="E1733" s="64"/>
      <c r="F1733" s="95"/>
      <c r="G1733" s="96"/>
      <c r="H1733" s="64"/>
      <c r="I1733" s="64"/>
      <c r="J1733" s="64"/>
      <c r="K1733" s="64"/>
      <c r="L1733" s="64"/>
    </row>
    <row r="1734" ht="16.5" customHeight="1">
      <c r="A1734" s="64"/>
      <c r="B1734" s="80" t="s">
        <v>18249</v>
      </c>
      <c r="C1734" s="81" t="str">
        <f>IFERROR(__xludf.DUMMYFUNCTION("""COMPUTED_VALUE"""),"keefyclarke")</f>
        <v>keefyclarke</v>
      </c>
      <c r="D1734" s="75">
        <f>IFERROR(__xludf.DUMMYFUNCTION("""COMPUTED_VALUE"""),0.0)</f>
        <v>0</v>
      </c>
      <c r="E1734" s="64"/>
      <c r="F1734" s="95"/>
      <c r="G1734" s="96"/>
      <c r="H1734" s="64"/>
      <c r="I1734" s="64"/>
      <c r="J1734" s="64"/>
      <c r="K1734" s="64"/>
      <c r="L1734" s="64"/>
    </row>
    <row r="1735" ht="16.5" customHeight="1">
      <c r="A1735" s="64"/>
      <c r="B1735" s="80" t="s">
        <v>18249</v>
      </c>
      <c r="C1735" s="81" t="str">
        <f>IFERROR(__xludf.DUMMYFUNCTION("""COMPUTED_VALUE"""),"kemp_dk")</f>
        <v>kemp_dk</v>
      </c>
      <c r="D1735" s="75">
        <f>IFERROR(__xludf.DUMMYFUNCTION("""COMPUTED_VALUE"""),0.0)</f>
        <v>0</v>
      </c>
      <c r="E1735" s="64"/>
      <c r="F1735" s="95"/>
      <c r="G1735" s="96"/>
      <c r="H1735" s="64"/>
      <c r="I1735" s="64"/>
      <c r="J1735" s="64"/>
      <c r="K1735" s="64"/>
      <c r="L1735" s="64"/>
    </row>
    <row r="1736" ht="16.5" customHeight="1">
      <c r="A1736" s="64"/>
      <c r="B1736" s="80" t="s">
        <v>18249</v>
      </c>
      <c r="C1736" s="81" t="str">
        <f>IFERROR(__xludf.DUMMYFUNCTION("""COMPUTED_VALUE"""),"kercle")</f>
        <v>kercle</v>
      </c>
      <c r="D1736" s="75">
        <f>IFERROR(__xludf.DUMMYFUNCTION("""COMPUTED_VALUE"""),0.0)</f>
        <v>0</v>
      </c>
      <c r="E1736" s="64"/>
      <c r="F1736" s="95"/>
      <c r="G1736" s="96"/>
      <c r="H1736" s="64"/>
      <c r="I1736" s="64"/>
      <c r="J1736" s="64"/>
      <c r="K1736" s="64"/>
      <c r="L1736" s="64"/>
    </row>
    <row r="1737" ht="16.5" customHeight="1">
      <c r="A1737" s="64"/>
      <c r="B1737" s="80" t="s">
        <v>18249</v>
      </c>
      <c r="C1737" s="81" t="str">
        <f>IFERROR(__xludf.DUMMYFUNCTION("""COMPUTED_VALUE"""),"kernowsonofthor")</f>
        <v>kernowsonofthor</v>
      </c>
      <c r="D1737" s="75">
        <f>IFERROR(__xludf.DUMMYFUNCTION("""COMPUTED_VALUE"""),0.0)</f>
        <v>0</v>
      </c>
      <c r="E1737" s="64"/>
      <c r="F1737" s="95"/>
      <c r="G1737" s="96"/>
      <c r="H1737" s="64"/>
      <c r="I1737" s="64"/>
      <c r="J1737" s="64"/>
      <c r="K1737" s="64"/>
      <c r="L1737" s="64"/>
    </row>
    <row r="1738" ht="16.5" customHeight="1">
      <c r="A1738" s="64"/>
      <c r="B1738" s="80" t="s">
        <v>18249</v>
      </c>
      <c r="C1738" s="81" t="str">
        <f>IFERROR(__xludf.DUMMYFUNCTION("""COMPUTED_VALUE"""),"khp_oc94")</f>
        <v>khp_oc94</v>
      </c>
      <c r="D1738" s="75">
        <f>IFERROR(__xludf.DUMMYFUNCTION("""COMPUTED_VALUE"""),0.0)</f>
        <v>0</v>
      </c>
      <c r="E1738" s="64"/>
      <c r="F1738" s="95"/>
      <c r="G1738" s="96"/>
      <c r="H1738" s="64"/>
      <c r="I1738" s="64"/>
      <c r="J1738" s="64"/>
      <c r="K1738" s="64"/>
      <c r="L1738" s="64"/>
    </row>
    <row r="1739" ht="16.5" customHeight="1">
      <c r="A1739" s="64"/>
      <c r="B1739" s="80" t="s">
        <v>18249</v>
      </c>
      <c r="C1739" s="81" t="str">
        <f>IFERROR(__xludf.DUMMYFUNCTION("""COMPUTED_VALUE"""),"kickingeap")</f>
        <v>kickingeap</v>
      </c>
      <c r="D1739" s="75">
        <f>IFERROR(__xludf.DUMMYFUNCTION("""COMPUTED_VALUE"""),0.0)</f>
        <v>0</v>
      </c>
      <c r="E1739" s="64"/>
      <c r="F1739" s="95"/>
      <c r="G1739" s="96"/>
      <c r="H1739" s="64"/>
      <c r="I1739" s="64"/>
      <c r="J1739" s="64"/>
      <c r="K1739" s="64"/>
      <c r="L1739" s="64"/>
    </row>
    <row r="1740" ht="16.5" customHeight="1">
      <c r="A1740" s="64"/>
      <c r="B1740" s="80" t="s">
        <v>18249</v>
      </c>
      <c r="C1740" s="81" t="str">
        <f>IFERROR(__xludf.DUMMYFUNCTION("""COMPUTED_VALUE"""),"kieranhegarty12")</f>
        <v>kieranhegarty12</v>
      </c>
      <c r="D1740" s="75">
        <f>IFERROR(__xludf.DUMMYFUNCTION("""COMPUTED_VALUE"""),0.0)</f>
        <v>0</v>
      </c>
      <c r="E1740" s="64"/>
      <c r="F1740" s="95"/>
      <c r="G1740" s="96"/>
      <c r="H1740" s="64"/>
      <c r="I1740" s="64"/>
      <c r="J1740" s="64"/>
      <c r="K1740" s="64"/>
      <c r="L1740" s="64"/>
    </row>
    <row r="1741" ht="16.5" customHeight="1">
      <c r="A1741" s="64"/>
      <c r="B1741" s="80" t="s">
        <v>18249</v>
      </c>
      <c r="C1741" s="81" t="str">
        <f>IFERROR(__xludf.DUMMYFUNCTION("""COMPUTED_VALUE"""),"kipperc50")</f>
        <v>kipperc50</v>
      </c>
      <c r="D1741" s="75">
        <f>IFERROR(__xludf.DUMMYFUNCTION("""COMPUTED_VALUE"""),0.0)</f>
        <v>0</v>
      </c>
      <c r="E1741" s="64"/>
      <c r="F1741" s="95"/>
      <c r="G1741" s="96"/>
      <c r="H1741" s="64"/>
      <c r="I1741" s="64"/>
      <c r="J1741" s="64"/>
      <c r="K1741" s="64"/>
      <c r="L1741" s="64"/>
    </row>
    <row r="1742" ht="16.5" customHeight="1">
      <c r="A1742" s="64"/>
      <c r="B1742" s="80" t="s">
        <v>18249</v>
      </c>
      <c r="C1742" s="81" t="str">
        <f>IFERROR(__xludf.DUMMYFUNCTION("""COMPUTED_VALUE"""),"kjmarsh")</f>
        <v>kjmarsh</v>
      </c>
      <c r="D1742" s="75">
        <f>IFERROR(__xludf.DUMMYFUNCTION("""COMPUTED_VALUE"""),0.0)</f>
        <v>0</v>
      </c>
      <c r="E1742" s="64"/>
      <c r="F1742" s="95"/>
      <c r="G1742" s="96"/>
      <c r="H1742" s="64"/>
      <c r="I1742" s="64"/>
      <c r="J1742" s="64"/>
      <c r="K1742" s="64"/>
      <c r="L1742" s="64"/>
    </row>
    <row r="1743" ht="16.5" customHeight="1">
      <c r="A1743" s="64"/>
      <c r="B1743" s="80" t="s">
        <v>18249</v>
      </c>
      <c r="C1743" s="81" t="str">
        <f>IFERROR(__xludf.DUMMYFUNCTION("""COMPUTED_VALUE"""),"knight23018419")</f>
        <v>knight23018419</v>
      </c>
      <c r="D1743" s="75">
        <f>IFERROR(__xludf.DUMMYFUNCTION("""COMPUTED_VALUE"""),0.0)</f>
        <v>0</v>
      </c>
      <c r="E1743" s="64"/>
      <c r="F1743" s="95"/>
      <c r="G1743" s="96"/>
      <c r="H1743" s="64"/>
      <c r="I1743" s="64"/>
      <c r="J1743" s="64"/>
      <c r="K1743" s="64"/>
      <c r="L1743" s="64"/>
    </row>
    <row r="1744" ht="16.5" customHeight="1">
      <c r="A1744" s="64"/>
      <c r="B1744" s="80" t="s">
        <v>18249</v>
      </c>
      <c r="C1744" s="81" t="str">
        <f>IFERROR(__xludf.DUMMYFUNCTION("""COMPUTED_VALUE"""),"knut_krohn")</f>
        <v>knut_krohn</v>
      </c>
      <c r="D1744" s="75">
        <f>IFERROR(__xludf.DUMMYFUNCTION("""COMPUTED_VALUE"""),0.0)</f>
        <v>0</v>
      </c>
      <c r="E1744" s="64"/>
      <c r="F1744" s="95"/>
      <c r="G1744" s="96"/>
      <c r="H1744" s="64"/>
      <c r="I1744" s="64"/>
      <c r="J1744" s="64"/>
      <c r="K1744" s="64"/>
      <c r="L1744" s="64"/>
    </row>
    <row r="1745" ht="16.5" customHeight="1">
      <c r="A1745" s="64"/>
      <c r="B1745" s="80" t="s">
        <v>18249</v>
      </c>
      <c r="C1745" s="81" t="str">
        <f>IFERROR(__xludf.DUMMYFUNCTION("""COMPUTED_VALUE"""),"kohenzoller")</f>
        <v>kohenzoller</v>
      </c>
      <c r="D1745" s="75">
        <f>IFERROR(__xludf.DUMMYFUNCTION("""COMPUTED_VALUE"""),0.0)</f>
        <v>0</v>
      </c>
      <c r="E1745" s="64"/>
      <c r="F1745" s="95"/>
      <c r="G1745" s="96"/>
      <c r="H1745" s="64"/>
      <c r="I1745" s="64"/>
      <c r="J1745" s="64"/>
      <c r="K1745" s="64"/>
      <c r="L1745" s="64"/>
    </row>
    <row r="1746" ht="16.5" customHeight="1">
      <c r="A1746" s="64"/>
      <c r="B1746" s="80" t="s">
        <v>18249</v>
      </c>
      <c r="C1746" s="81" t="str">
        <f>IFERROR(__xludf.DUMMYFUNCTION("""COMPUTED_VALUE"""),"kr31133")</f>
        <v>kr31133</v>
      </c>
      <c r="D1746" s="75">
        <f>IFERROR(__xludf.DUMMYFUNCTION("""COMPUTED_VALUE"""),0.0)</f>
        <v>0</v>
      </c>
      <c r="E1746" s="64"/>
      <c r="F1746" s="95"/>
      <c r="G1746" s="96"/>
      <c r="H1746" s="64"/>
      <c r="I1746" s="64"/>
      <c r="J1746" s="64"/>
      <c r="K1746" s="64"/>
      <c r="L1746" s="64"/>
    </row>
    <row r="1747" ht="16.5" customHeight="1">
      <c r="A1747" s="64"/>
      <c r="B1747" s="80" t="s">
        <v>18249</v>
      </c>
      <c r="C1747" s="81" t="str">
        <f>IFERROR(__xludf.DUMMYFUNCTION("""COMPUTED_VALUE"""),"laj1956")</f>
        <v>laj1956</v>
      </c>
      <c r="D1747" s="75">
        <f>IFERROR(__xludf.DUMMYFUNCTION("""COMPUTED_VALUE"""),0.0)</f>
        <v>0</v>
      </c>
      <c r="E1747" s="64"/>
      <c r="F1747" s="95"/>
      <c r="G1747" s="96"/>
      <c r="H1747" s="64"/>
      <c r="I1747" s="64"/>
      <c r="J1747" s="64"/>
      <c r="K1747" s="64"/>
      <c r="L1747" s="64"/>
    </row>
    <row r="1748" ht="16.5" customHeight="1">
      <c r="A1748" s="64"/>
      <c r="B1748" s="80" t="s">
        <v>18249</v>
      </c>
      <c r="C1748" s="81" t="str">
        <f>IFERROR(__xludf.DUMMYFUNCTION("""COMPUTED_VALUE"""),"lalaloopsie74")</f>
        <v>lalaloopsie74</v>
      </c>
      <c r="D1748" s="75">
        <f>IFERROR(__xludf.DUMMYFUNCTION("""COMPUTED_VALUE"""),0.0)</f>
        <v>0</v>
      </c>
      <c r="E1748" s="64"/>
      <c r="F1748" s="95"/>
      <c r="G1748" s="96"/>
      <c r="H1748" s="64"/>
      <c r="I1748" s="64"/>
      <c r="J1748" s="64"/>
      <c r="K1748" s="64"/>
      <c r="L1748" s="64"/>
    </row>
    <row r="1749" ht="16.5" customHeight="1">
      <c r="A1749" s="64"/>
      <c r="B1749" s="80" t="s">
        <v>18249</v>
      </c>
      <c r="C1749" s="81" t="str">
        <f>IFERROR(__xludf.DUMMYFUNCTION("""COMPUTED_VALUE"""),"larrietiernan")</f>
        <v>larrietiernan</v>
      </c>
      <c r="D1749" s="75">
        <f>IFERROR(__xludf.DUMMYFUNCTION("""COMPUTED_VALUE"""),0.0)</f>
        <v>0</v>
      </c>
      <c r="E1749" s="64"/>
      <c r="F1749" s="95"/>
      <c r="G1749" s="96"/>
      <c r="H1749" s="64"/>
      <c r="I1749" s="64"/>
      <c r="J1749" s="64"/>
      <c r="K1749" s="64"/>
      <c r="L1749" s="64"/>
    </row>
    <row r="1750" ht="16.5" customHeight="1">
      <c r="A1750" s="64"/>
      <c r="B1750" s="80" t="s">
        <v>18249</v>
      </c>
      <c r="C1750" s="81" t="str">
        <f>IFERROR(__xludf.DUMMYFUNCTION("""COMPUTED_VALUE"""),"lasteka")</f>
        <v>lasteka</v>
      </c>
      <c r="D1750" s="75">
        <f>IFERROR(__xludf.DUMMYFUNCTION("""COMPUTED_VALUE"""),0.0)</f>
        <v>0</v>
      </c>
      <c r="E1750" s="64"/>
      <c r="F1750" s="95"/>
      <c r="G1750" s="96"/>
      <c r="H1750" s="64"/>
      <c r="I1750" s="64"/>
      <c r="J1750" s="64"/>
      <c r="K1750" s="64"/>
      <c r="L1750" s="64"/>
    </row>
    <row r="1751" ht="16.5" customHeight="1">
      <c r="A1751" s="64"/>
      <c r="B1751" s="80" t="s">
        <v>18249</v>
      </c>
      <c r="C1751" s="81" t="str">
        <f>IFERROR(__xludf.DUMMYFUNCTION("""COMPUTED_VALUE"""),"lawrenceglyn70")</f>
        <v>lawrenceglyn70</v>
      </c>
      <c r="D1751" s="75">
        <f>IFERROR(__xludf.DUMMYFUNCTION("""COMPUTED_VALUE"""),0.0)</f>
        <v>0</v>
      </c>
      <c r="E1751" s="64"/>
      <c r="F1751" s="95"/>
      <c r="G1751" s="96"/>
      <c r="H1751" s="64"/>
      <c r="I1751" s="64"/>
      <c r="J1751" s="64"/>
      <c r="K1751" s="64"/>
      <c r="L1751" s="64"/>
    </row>
    <row r="1752" ht="16.5" customHeight="1">
      <c r="A1752" s="64"/>
      <c r="B1752" s="80" t="s">
        <v>18249</v>
      </c>
      <c r="C1752" s="81" t="str">
        <f>IFERROR(__xludf.DUMMYFUNCTION("""COMPUTED_VALUE"""),"ldrscke")</f>
        <v>ldrscke</v>
      </c>
      <c r="D1752" s="75">
        <f>IFERROR(__xludf.DUMMYFUNCTION("""COMPUTED_VALUE"""),0.0)</f>
        <v>0</v>
      </c>
      <c r="E1752" s="64"/>
      <c r="F1752" s="95"/>
      <c r="G1752" s="96"/>
      <c r="H1752" s="64"/>
      <c r="I1752" s="64"/>
      <c r="J1752" s="64"/>
      <c r="K1752" s="64"/>
      <c r="L1752" s="64"/>
    </row>
    <row r="1753" ht="16.5" customHeight="1">
      <c r="A1753" s="64"/>
      <c r="B1753" s="80" t="s">
        <v>18249</v>
      </c>
      <c r="C1753" s="81" t="str">
        <f>IFERROR(__xludf.DUMMYFUNCTION("""COMPUTED_VALUE"""),"leceleven")</f>
        <v>leceleven</v>
      </c>
      <c r="D1753" s="75">
        <f>IFERROR(__xludf.DUMMYFUNCTION("""COMPUTED_VALUE"""),0.0)</f>
        <v>0</v>
      </c>
      <c r="E1753" s="64"/>
      <c r="F1753" s="95"/>
      <c r="G1753" s="96"/>
      <c r="H1753" s="64"/>
      <c r="I1753" s="64"/>
      <c r="J1753" s="64"/>
      <c r="K1753" s="64"/>
      <c r="L1753" s="64"/>
    </row>
    <row r="1754" ht="16.5" customHeight="1">
      <c r="A1754" s="64"/>
      <c r="B1754" s="80" t="s">
        <v>18249</v>
      </c>
      <c r="C1754" s="81" t="str">
        <f>IFERROR(__xludf.DUMMYFUNCTION("""COMPUTED_VALUE"""),"lee_brookfield")</f>
        <v>lee_brookfield</v>
      </c>
      <c r="D1754" s="75">
        <f>IFERROR(__xludf.DUMMYFUNCTION("""COMPUTED_VALUE"""),0.0)</f>
        <v>0</v>
      </c>
      <c r="E1754" s="64"/>
      <c r="F1754" s="95"/>
      <c r="G1754" s="96"/>
      <c r="H1754" s="64"/>
      <c r="I1754" s="64"/>
      <c r="J1754" s="64"/>
      <c r="K1754" s="64"/>
      <c r="L1754" s="64"/>
    </row>
    <row r="1755" ht="16.5" customHeight="1">
      <c r="A1755" s="64"/>
      <c r="B1755" s="80" t="s">
        <v>18249</v>
      </c>
      <c r="C1755" s="81" t="str">
        <f>IFERROR(__xludf.DUMMYFUNCTION("""COMPUTED_VALUE"""),"leejone46284322")</f>
        <v>leejone46284322</v>
      </c>
      <c r="D1755" s="75">
        <f>IFERROR(__xludf.DUMMYFUNCTION("""COMPUTED_VALUE"""),0.0)</f>
        <v>0</v>
      </c>
      <c r="E1755" s="64"/>
      <c r="F1755" s="95"/>
      <c r="G1755" s="96"/>
      <c r="H1755" s="64"/>
      <c r="I1755" s="64"/>
      <c r="J1755" s="64"/>
      <c r="K1755" s="64"/>
      <c r="L1755" s="64"/>
    </row>
    <row r="1756" ht="16.5" customHeight="1">
      <c r="A1756" s="64"/>
      <c r="B1756" s="80" t="s">
        <v>18249</v>
      </c>
      <c r="C1756" s="81" t="str">
        <f>IFERROR(__xludf.DUMMYFUNCTION("""COMPUTED_VALUE"""),"leftnonfascist")</f>
        <v>leftnonfascist</v>
      </c>
      <c r="D1756" s="75">
        <f>IFERROR(__xludf.DUMMYFUNCTION("""COMPUTED_VALUE"""),0.0)</f>
        <v>0</v>
      </c>
      <c r="E1756" s="64"/>
      <c r="F1756" s="95"/>
      <c r="G1756" s="96"/>
      <c r="H1756" s="64"/>
      <c r="I1756" s="64"/>
      <c r="J1756" s="64"/>
      <c r="K1756" s="64"/>
      <c r="L1756" s="64"/>
    </row>
    <row r="1757" ht="16.5" customHeight="1">
      <c r="A1757" s="64"/>
      <c r="B1757" s="80" t="s">
        <v>18249</v>
      </c>
      <c r="C1757" s="81" t="str">
        <f>IFERROR(__xludf.DUMMYFUNCTION("""COMPUTED_VALUE"""),"lemonwhisper")</f>
        <v>lemonwhisper</v>
      </c>
      <c r="D1757" s="75">
        <f>IFERROR(__xludf.DUMMYFUNCTION("""COMPUTED_VALUE"""),0.0)</f>
        <v>0</v>
      </c>
      <c r="E1757" s="64"/>
      <c r="F1757" s="95"/>
      <c r="G1757" s="96"/>
      <c r="H1757" s="64"/>
      <c r="I1757" s="64"/>
      <c r="J1757" s="64"/>
      <c r="K1757" s="64"/>
      <c r="L1757" s="64"/>
    </row>
    <row r="1758" ht="16.5" customHeight="1">
      <c r="A1758" s="64"/>
      <c r="B1758" s="80" t="s">
        <v>18249</v>
      </c>
      <c r="C1758" s="81" t="str">
        <f>IFERROR(__xludf.DUMMYFUNCTION("""COMPUTED_VALUE"""),"lensflairfilms")</f>
        <v>lensflairfilms</v>
      </c>
      <c r="D1758" s="75">
        <f>IFERROR(__xludf.DUMMYFUNCTION("""COMPUTED_VALUE"""),0.0)</f>
        <v>0</v>
      </c>
      <c r="E1758" s="64"/>
      <c r="F1758" s="95"/>
      <c r="G1758" s="96"/>
      <c r="H1758" s="64"/>
      <c r="I1758" s="64"/>
      <c r="J1758" s="64"/>
      <c r="K1758" s="64"/>
      <c r="L1758" s="64"/>
    </row>
    <row r="1759" ht="16.5" customHeight="1">
      <c r="A1759" s="64"/>
      <c r="B1759" s="80" t="s">
        <v>18249</v>
      </c>
      <c r="C1759" s="81" t="str">
        <f>IFERROR(__xludf.DUMMYFUNCTION("""COMPUTED_VALUE"""),"leo14754")</f>
        <v>leo14754</v>
      </c>
      <c r="D1759" s="75">
        <f>IFERROR(__xludf.DUMMYFUNCTION("""COMPUTED_VALUE"""),0.0)</f>
        <v>0</v>
      </c>
      <c r="E1759" s="64"/>
      <c r="F1759" s="95"/>
      <c r="G1759" s="96"/>
      <c r="H1759" s="64"/>
      <c r="I1759" s="64"/>
      <c r="J1759" s="64"/>
      <c r="K1759" s="64"/>
      <c r="L1759" s="64"/>
    </row>
    <row r="1760" ht="16.5" customHeight="1">
      <c r="A1760" s="64"/>
      <c r="B1760" s="80" t="s">
        <v>18249</v>
      </c>
      <c r="C1760" s="81" t="str">
        <f>IFERROR(__xludf.DUMMYFUNCTION("""COMPUTED_VALUE"""),"leodbarnard")</f>
        <v>leodbarnard</v>
      </c>
      <c r="D1760" s="75">
        <f>IFERROR(__xludf.DUMMYFUNCTION("""COMPUTED_VALUE"""),0.0)</f>
        <v>0</v>
      </c>
      <c r="E1760" s="64"/>
      <c r="F1760" s="95"/>
      <c r="G1760" s="96"/>
      <c r="H1760" s="64"/>
      <c r="I1760" s="64"/>
      <c r="J1760" s="64"/>
      <c r="K1760" s="64"/>
      <c r="L1760" s="64"/>
    </row>
    <row r="1761" ht="16.5" customHeight="1">
      <c r="A1761" s="64"/>
      <c r="B1761" s="80" t="s">
        <v>18249</v>
      </c>
      <c r="C1761" s="81" t="str">
        <f>IFERROR(__xludf.DUMMYFUNCTION("""COMPUTED_VALUE"""),"lesleypeal")</f>
        <v>lesleypeal</v>
      </c>
      <c r="D1761" s="75">
        <f>IFERROR(__xludf.DUMMYFUNCTION("""COMPUTED_VALUE"""),0.0)</f>
        <v>0</v>
      </c>
      <c r="E1761" s="64"/>
      <c r="F1761" s="95"/>
      <c r="G1761" s="96"/>
      <c r="H1761" s="64"/>
      <c r="I1761" s="64"/>
      <c r="J1761" s="64"/>
      <c r="K1761" s="64"/>
      <c r="L1761" s="64"/>
    </row>
    <row r="1762" ht="16.5" customHeight="1">
      <c r="A1762" s="64"/>
      <c r="B1762" s="80" t="s">
        <v>18249</v>
      </c>
      <c r="C1762" s="81" t="str">
        <f>IFERROR(__xludf.DUMMYFUNCTION("""COMPUTED_VALUE"""),"lesmurphy6")</f>
        <v>lesmurphy6</v>
      </c>
      <c r="D1762" s="75">
        <f>IFERROR(__xludf.DUMMYFUNCTION("""COMPUTED_VALUE"""),0.0)</f>
        <v>0</v>
      </c>
      <c r="E1762" s="64"/>
      <c r="F1762" s="95"/>
      <c r="G1762" s="96"/>
      <c r="H1762" s="64"/>
      <c r="I1762" s="64"/>
      <c r="J1762" s="64"/>
      <c r="K1762" s="64"/>
      <c r="L1762" s="64"/>
    </row>
    <row r="1763" ht="16.5" customHeight="1">
      <c r="A1763" s="64"/>
      <c r="B1763" s="80" t="s">
        <v>18249</v>
      </c>
      <c r="C1763" s="81" t="str">
        <f>IFERROR(__xludf.DUMMYFUNCTION("""COMPUTED_VALUE"""),"lesterbroom48")</f>
        <v>lesterbroom48</v>
      </c>
      <c r="D1763" s="75">
        <f>IFERROR(__xludf.DUMMYFUNCTION("""COMPUTED_VALUE"""),0.0)</f>
        <v>0</v>
      </c>
      <c r="E1763" s="64"/>
      <c r="F1763" s="95"/>
      <c r="G1763" s="96"/>
      <c r="H1763" s="64"/>
      <c r="I1763" s="64"/>
      <c r="J1763" s="64"/>
      <c r="K1763" s="64"/>
      <c r="L1763" s="64"/>
    </row>
    <row r="1764" ht="16.5" customHeight="1">
      <c r="A1764" s="64"/>
      <c r="B1764" s="80" t="s">
        <v>18249</v>
      </c>
      <c r="C1764" s="81" t="str">
        <f>IFERROR(__xludf.DUMMYFUNCTION("""COMPUTED_VALUE"""),"lheiden1610")</f>
        <v>lheiden1610</v>
      </c>
      <c r="D1764" s="75">
        <f>IFERROR(__xludf.DUMMYFUNCTION("""COMPUTED_VALUE"""),0.0)</f>
        <v>0</v>
      </c>
      <c r="E1764" s="64"/>
      <c r="F1764" s="95"/>
      <c r="G1764" s="96"/>
      <c r="H1764" s="64"/>
      <c r="I1764" s="64"/>
      <c r="J1764" s="64"/>
      <c r="K1764" s="64"/>
      <c r="L1764" s="64"/>
    </row>
    <row r="1765" ht="16.5" customHeight="1">
      <c r="A1765" s="64"/>
      <c r="B1765" s="80" t="s">
        <v>18249</v>
      </c>
      <c r="C1765" s="81" t="str">
        <f>IFERROR(__xludf.DUMMYFUNCTION("""COMPUTED_VALUE"""),"liarpolitician4")</f>
        <v>liarpolitician4</v>
      </c>
      <c r="D1765" s="75">
        <f>IFERROR(__xludf.DUMMYFUNCTION("""COMPUTED_VALUE"""),0.0)</f>
        <v>0</v>
      </c>
      <c r="E1765" s="64"/>
      <c r="F1765" s="95"/>
      <c r="G1765" s="96"/>
      <c r="H1765" s="64"/>
      <c r="I1765" s="64"/>
      <c r="J1765" s="64"/>
      <c r="K1765" s="64"/>
      <c r="L1765" s="64"/>
    </row>
    <row r="1766" ht="16.5" customHeight="1">
      <c r="A1766" s="64"/>
      <c r="B1766" s="80" t="s">
        <v>18249</v>
      </c>
      <c r="C1766" s="81" t="str">
        <f>IFERROR(__xludf.DUMMYFUNCTION("""COMPUTED_VALUE"""),"liberallance")</f>
        <v>liberallance</v>
      </c>
      <c r="D1766" s="75">
        <f>IFERROR(__xludf.DUMMYFUNCTION("""COMPUTED_VALUE"""),0.0)</f>
        <v>0</v>
      </c>
      <c r="E1766" s="64"/>
      <c r="F1766" s="95"/>
      <c r="G1766" s="96"/>
      <c r="H1766" s="64"/>
      <c r="I1766" s="64"/>
      <c r="J1766" s="64"/>
      <c r="K1766" s="64"/>
      <c r="L1766" s="64"/>
    </row>
    <row r="1767" ht="16.5" customHeight="1">
      <c r="A1767" s="64"/>
      <c r="B1767" s="80" t="s">
        <v>18249</v>
      </c>
      <c r="C1767" s="81" t="str">
        <f>IFERROR(__xludf.DUMMYFUNCTION("""COMPUTED_VALUE"""),"linda36736762")</f>
        <v>linda36736762</v>
      </c>
      <c r="D1767" s="75">
        <f>IFERROR(__xludf.DUMMYFUNCTION("""COMPUTED_VALUE"""),0.0)</f>
        <v>0</v>
      </c>
      <c r="E1767" s="64"/>
      <c r="F1767" s="95"/>
      <c r="G1767" s="96"/>
      <c r="H1767" s="64"/>
      <c r="I1767" s="64"/>
      <c r="J1767" s="64"/>
      <c r="K1767" s="64"/>
      <c r="L1767" s="64"/>
    </row>
    <row r="1768" ht="16.5" customHeight="1">
      <c r="A1768" s="64"/>
      <c r="B1768" s="80" t="s">
        <v>18249</v>
      </c>
      <c r="C1768" s="81" t="str">
        <f>IFERROR(__xludf.DUMMYFUNCTION("""COMPUTED_VALUE"""),"lindadixon80")</f>
        <v>lindadixon80</v>
      </c>
      <c r="D1768" s="75">
        <f>IFERROR(__xludf.DUMMYFUNCTION("""COMPUTED_VALUE"""),0.0)</f>
        <v>0</v>
      </c>
      <c r="E1768" s="64"/>
      <c r="F1768" s="95"/>
      <c r="G1768" s="96"/>
      <c r="H1768" s="64"/>
      <c r="I1768" s="64"/>
      <c r="J1768" s="64"/>
      <c r="K1768" s="64"/>
      <c r="L1768" s="64"/>
    </row>
    <row r="1769" ht="16.5" customHeight="1">
      <c r="A1769" s="64"/>
      <c r="B1769" s="80" t="s">
        <v>18249</v>
      </c>
      <c r="C1769" s="81" t="str">
        <f>IFERROR(__xludf.DUMMYFUNCTION("""COMPUTED_VALUE"""),"lionandfox6773")</f>
        <v>lionandfox6773</v>
      </c>
      <c r="D1769" s="75">
        <f>IFERROR(__xludf.DUMMYFUNCTION("""COMPUTED_VALUE"""),0.0)</f>
        <v>0</v>
      </c>
      <c r="E1769" s="64"/>
      <c r="F1769" s="95"/>
      <c r="G1769" s="96"/>
      <c r="H1769" s="64"/>
      <c r="I1769" s="64"/>
      <c r="J1769" s="64"/>
      <c r="K1769" s="64"/>
      <c r="L1769" s="64"/>
    </row>
    <row r="1770" ht="16.5" customHeight="1">
      <c r="A1770" s="64"/>
      <c r="B1770" s="80" t="s">
        <v>18249</v>
      </c>
      <c r="C1770" s="81" t="str">
        <f>IFERROR(__xludf.DUMMYFUNCTION("""COMPUTED_VALUE"""),"lis1bee")</f>
        <v>lis1bee</v>
      </c>
      <c r="D1770" s="75">
        <f>IFERROR(__xludf.DUMMYFUNCTION("""COMPUTED_VALUE"""),0.0)</f>
        <v>0</v>
      </c>
      <c r="E1770" s="64"/>
      <c r="F1770" s="95"/>
      <c r="G1770" s="96"/>
      <c r="H1770" s="64"/>
      <c r="I1770" s="64"/>
      <c r="J1770" s="64"/>
      <c r="K1770" s="64"/>
      <c r="L1770" s="64"/>
    </row>
    <row r="1771" ht="16.5" customHeight="1">
      <c r="A1771" s="64"/>
      <c r="B1771" s="80" t="s">
        <v>18249</v>
      </c>
      <c r="C1771" s="81" t="str">
        <f>IFERROR(__xludf.DUMMYFUNCTION("""COMPUTED_VALUE"""),"lithgaelark")</f>
        <v>lithgaelark</v>
      </c>
      <c r="D1771" s="75">
        <f>IFERROR(__xludf.DUMMYFUNCTION("""COMPUTED_VALUE"""),0.0)</f>
        <v>0</v>
      </c>
      <c r="E1771" s="64"/>
      <c r="F1771" s="95"/>
      <c r="G1771" s="96"/>
      <c r="H1771" s="64"/>
      <c r="I1771" s="64"/>
      <c r="J1771" s="64"/>
      <c r="K1771" s="64"/>
      <c r="L1771" s="64"/>
    </row>
    <row r="1772" ht="16.5" customHeight="1">
      <c r="A1772" s="64"/>
      <c r="B1772" s="80" t="s">
        <v>18249</v>
      </c>
      <c r="C1772" s="81" t="str">
        <f>IFERROR(__xludf.DUMMYFUNCTION("""COMPUTED_VALUE"""),"lividinlincs")</f>
        <v>lividinlincs</v>
      </c>
      <c r="D1772" s="75">
        <f>IFERROR(__xludf.DUMMYFUNCTION("""COMPUTED_VALUE"""),0.0)</f>
        <v>0</v>
      </c>
      <c r="E1772" s="64"/>
      <c r="F1772" s="95"/>
      <c r="G1772" s="96"/>
      <c r="H1772" s="64"/>
      <c r="I1772" s="64"/>
      <c r="J1772" s="64"/>
      <c r="K1772" s="64"/>
      <c r="L1772" s="64"/>
    </row>
    <row r="1773" ht="16.5" customHeight="1">
      <c r="A1773" s="64"/>
      <c r="B1773" s="80" t="s">
        <v>18249</v>
      </c>
      <c r="C1773" s="81" t="str">
        <f>IFERROR(__xludf.DUMMYFUNCTION("""COMPUTED_VALUE"""),"lizahill_hill")</f>
        <v>lizahill_hill</v>
      </c>
      <c r="D1773" s="75">
        <f>IFERROR(__xludf.DUMMYFUNCTION("""COMPUTED_VALUE"""),0.0)</f>
        <v>0</v>
      </c>
      <c r="E1773" s="64"/>
      <c r="F1773" s="95"/>
      <c r="G1773" s="96"/>
      <c r="H1773" s="64"/>
      <c r="I1773" s="64"/>
      <c r="J1773" s="64"/>
      <c r="K1773" s="64"/>
      <c r="L1773" s="64"/>
    </row>
    <row r="1774" ht="16.5" customHeight="1">
      <c r="A1774" s="64"/>
      <c r="B1774" s="80" t="s">
        <v>18249</v>
      </c>
      <c r="C1774" s="81" t="str">
        <f>IFERROR(__xludf.DUMMYFUNCTION("""COMPUTED_VALUE"""),"llamasteve")</f>
        <v>llamasteve</v>
      </c>
      <c r="D1774" s="75">
        <f>IFERROR(__xludf.DUMMYFUNCTION("""COMPUTED_VALUE"""),0.0)</f>
        <v>0</v>
      </c>
      <c r="E1774" s="64"/>
      <c r="F1774" s="95"/>
      <c r="G1774" s="96"/>
      <c r="H1774" s="64"/>
      <c r="I1774" s="64"/>
      <c r="J1774" s="64"/>
      <c r="K1774" s="64"/>
      <c r="L1774" s="64"/>
    </row>
    <row r="1775" ht="16.5" customHeight="1">
      <c r="A1775" s="64"/>
      <c r="B1775" s="80" t="s">
        <v>18249</v>
      </c>
      <c r="C1775" s="81" t="str">
        <f>IFERROR(__xludf.DUMMYFUNCTION("""COMPUTED_VALUE"""),"lluna_lcluna")</f>
        <v>lluna_lcluna</v>
      </c>
      <c r="D1775" s="75">
        <f>IFERROR(__xludf.DUMMYFUNCTION("""COMPUTED_VALUE"""),0.0)</f>
        <v>0</v>
      </c>
      <c r="E1775" s="64"/>
      <c r="F1775" s="95"/>
      <c r="G1775" s="96"/>
      <c r="H1775" s="64"/>
      <c r="I1775" s="64"/>
      <c r="J1775" s="64"/>
      <c r="K1775" s="64"/>
      <c r="L1775" s="64"/>
    </row>
    <row r="1776" ht="16.5" customHeight="1">
      <c r="A1776" s="64"/>
      <c r="B1776" s="80" t="s">
        <v>18249</v>
      </c>
      <c r="C1776" s="81" t="str">
        <f>IFERROR(__xludf.DUMMYFUNCTION("""COMPUTED_VALUE"""),"localnotail")</f>
        <v>localnotail</v>
      </c>
      <c r="D1776" s="75">
        <f>IFERROR(__xludf.DUMMYFUNCTION("""COMPUTED_VALUE"""),0.0)</f>
        <v>0</v>
      </c>
      <c r="E1776" s="64"/>
      <c r="F1776" s="95"/>
      <c r="G1776" s="96"/>
      <c r="H1776" s="64"/>
      <c r="I1776" s="64"/>
      <c r="J1776" s="64"/>
      <c r="K1776" s="64"/>
      <c r="L1776" s="64"/>
    </row>
    <row r="1777" ht="16.5" customHeight="1">
      <c r="A1777" s="64"/>
      <c r="B1777" s="80" t="s">
        <v>18249</v>
      </c>
      <c r="C1777" s="81" t="str">
        <f>IFERROR(__xludf.DUMMYFUNCTION("""COMPUTED_VALUE"""),"lopcute")</f>
        <v>lopcute</v>
      </c>
      <c r="D1777" s="75">
        <f>IFERROR(__xludf.DUMMYFUNCTION("""COMPUTED_VALUE"""),0.0)</f>
        <v>0</v>
      </c>
      <c r="E1777" s="64"/>
      <c r="F1777" s="95"/>
      <c r="G1777" s="96"/>
      <c r="H1777" s="64"/>
      <c r="I1777" s="64"/>
      <c r="J1777" s="64"/>
      <c r="K1777" s="64"/>
      <c r="L1777" s="64"/>
    </row>
    <row r="1778" ht="16.5" customHeight="1">
      <c r="A1778" s="64"/>
      <c r="B1778" s="80" t="s">
        <v>18249</v>
      </c>
      <c r="C1778" s="81" t="str">
        <f>IFERROR(__xludf.DUMMYFUNCTION("""COMPUTED_VALUE"""),"loubug")</f>
        <v>loubug</v>
      </c>
      <c r="D1778" s="75">
        <f>IFERROR(__xludf.DUMMYFUNCTION("""COMPUTED_VALUE"""),0.0)</f>
        <v>0</v>
      </c>
      <c r="E1778" s="64"/>
      <c r="F1778" s="95"/>
      <c r="G1778" s="96"/>
      <c r="H1778" s="64"/>
      <c r="I1778" s="64"/>
      <c r="J1778" s="64"/>
      <c r="K1778" s="64"/>
      <c r="L1778" s="64"/>
    </row>
    <row r="1779" ht="16.5" customHeight="1">
      <c r="A1779" s="64"/>
      <c r="B1779" s="80" t="s">
        <v>18249</v>
      </c>
      <c r="C1779" s="81" t="str">
        <f>IFERROR(__xludf.DUMMYFUNCTION("""COMPUTED_VALUE"""),"louisepots")</f>
        <v>louisepots</v>
      </c>
      <c r="D1779" s="75">
        <f>IFERROR(__xludf.DUMMYFUNCTION("""COMPUTED_VALUE"""),0.0)</f>
        <v>0</v>
      </c>
      <c r="E1779" s="64"/>
      <c r="F1779" s="95"/>
      <c r="G1779" s="96"/>
      <c r="H1779" s="64"/>
      <c r="I1779" s="64"/>
      <c r="J1779" s="64"/>
      <c r="K1779" s="64"/>
      <c r="L1779" s="64"/>
    </row>
    <row r="1780" ht="16.5" customHeight="1">
      <c r="A1780" s="64"/>
      <c r="B1780" s="80" t="s">
        <v>18249</v>
      </c>
      <c r="C1780" s="81" t="str">
        <f>IFERROR(__xludf.DUMMYFUNCTION("""COMPUTED_VALUE"""),"lovedayjenkin")</f>
        <v>lovedayjenkin</v>
      </c>
      <c r="D1780" s="75">
        <f>IFERROR(__xludf.DUMMYFUNCTION("""COMPUTED_VALUE"""),0.0)</f>
        <v>0</v>
      </c>
      <c r="E1780" s="64"/>
      <c r="F1780" s="95"/>
      <c r="G1780" s="96"/>
      <c r="H1780" s="64"/>
      <c r="I1780" s="64"/>
      <c r="J1780" s="64"/>
      <c r="K1780" s="64"/>
      <c r="L1780" s="64"/>
    </row>
    <row r="1781" ht="16.5" customHeight="1">
      <c r="A1781" s="64"/>
      <c r="B1781" s="80" t="s">
        <v>18249</v>
      </c>
      <c r="C1781" s="81" t="str">
        <f>IFERROR(__xludf.DUMMYFUNCTION("""COMPUTED_VALUE"""),"lowesusan155")</f>
        <v>lowesusan155</v>
      </c>
      <c r="D1781" s="75">
        <f>IFERROR(__xludf.DUMMYFUNCTION("""COMPUTED_VALUE"""),0.0)</f>
        <v>0</v>
      </c>
      <c r="E1781" s="64"/>
      <c r="F1781" s="95"/>
      <c r="G1781" s="96"/>
      <c r="H1781" s="64"/>
      <c r="I1781" s="64"/>
      <c r="J1781" s="64"/>
      <c r="K1781" s="64"/>
      <c r="L1781" s="64"/>
    </row>
    <row r="1782" ht="16.5" customHeight="1">
      <c r="A1782" s="64"/>
      <c r="B1782" s="80" t="s">
        <v>18249</v>
      </c>
      <c r="C1782" s="81" t="str">
        <f>IFERROR(__xludf.DUMMYFUNCTION("""COMPUTED_VALUE"""),"loyden60")</f>
        <v>loyden60</v>
      </c>
      <c r="D1782" s="75">
        <f>IFERROR(__xludf.DUMMYFUNCTION("""COMPUTED_VALUE"""),0.0)</f>
        <v>0</v>
      </c>
      <c r="E1782" s="64"/>
      <c r="F1782" s="95"/>
      <c r="G1782" s="96"/>
      <c r="H1782" s="64"/>
      <c r="I1782" s="64"/>
      <c r="J1782" s="64"/>
      <c r="K1782" s="64"/>
      <c r="L1782" s="64"/>
    </row>
    <row r="1783" ht="16.5" customHeight="1">
      <c r="A1783" s="64"/>
      <c r="B1783" s="80" t="s">
        <v>18249</v>
      </c>
      <c r="C1783" s="81" t="str">
        <f>IFERROR(__xludf.DUMMYFUNCTION("""COMPUTED_VALUE"""),"ltd_education")</f>
        <v>ltd_education</v>
      </c>
      <c r="D1783" s="75">
        <f>IFERROR(__xludf.DUMMYFUNCTION("""COMPUTED_VALUE"""),0.0)</f>
        <v>0</v>
      </c>
      <c r="E1783" s="64"/>
      <c r="F1783" s="95"/>
      <c r="G1783" s="96"/>
      <c r="H1783" s="64"/>
      <c r="I1783" s="64"/>
      <c r="J1783" s="64"/>
      <c r="K1783" s="64"/>
      <c r="L1783" s="64"/>
    </row>
    <row r="1784" ht="16.5" customHeight="1">
      <c r="A1784" s="64"/>
      <c r="B1784" s="80" t="s">
        <v>18249</v>
      </c>
      <c r="C1784" s="81" t="str">
        <f>IFERROR(__xludf.DUMMYFUNCTION("""COMPUTED_VALUE"""),"lucapavel")</f>
        <v>lucapavel</v>
      </c>
      <c r="D1784" s="75">
        <f>IFERROR(__xludf.DUMMYFUNCTION("""COMPUTED_VALUE"""),0.0)</f>
        <v>0</v>
      </c>
      <c r="E1784" s="64"/>
      <c r="F1784" s="95"/>
      <c r="G1784" s="96"/>
      <c r="H1784" s="64"/>
      <c r="I1784" s="64"/>
      <c r="J1784" s="64"/>
      <c r="K1784" s="64"/>
      <c r="L1784" s="64"/>
    </row>
    <row r="1785" ht="16.5" customHeight="1">
      <c r="A1785" s="64"/>
      <c r="B1785" s="80" t="s">
        <v>18249</v>
      </c>
      <c r="C1785" s="81" t="str">
        <f>IFERROR(__xludf.DUMMYFUNCTION("""COMPUTED_VALUE"""),"lucybridgers")</f>
        <v>lucybridgers</v>
      </c>
      <c r="D1785" s="75">
        <f>IFERROR(__xludf.DUMMYFUNCTION("""COMPUTED_VALUE"""),0.0)</f>
        <v>0</v>
      </c>
      <c r="E1785" s="64"/>
      <c r="F1785" s="95"/>
      <c r="G1785" s="96"/>
      <c r="H1785" s="64"/>
      <c r="I1785" s="64"/>
      <c r="J1785" s="64"/>
      <c r="K1785" s="64"/>
      <c r="L1785" s="64"/>
    </row>
    <row r="1786" ht="16.5" customHeight="1">
      <c r="A1786" s="64"/>
      <c r="B1786" s="80" t="s">
        <v>18249</v>
      </c>
      <c r="C1786" s="81" t="str">
        <f>IFERROR(__xludf.DUMMYFUNCTION("""COMPUTED_VALUE"""),"lucycowp")</f>
        <v>lucycowp</v>
      </c>
      <c r="D1786" s="75">
        <f>IFERROR(__xludf.DUMMYFUNCTION("""COMPUTED_VALUE"""),0.0)</f>
        <v>0</v>
      </c>
      <c r="E1786" s="64"/>
      <c r="F1786" s="95"/>
      <c r="G1786" s="96"/>
      <c r="H1786" s="64"/>
      <c r="I1786" s="64"/>
      <c r="J1786" s="64"/>
      <c r="K1786" s="64"/>
      <c r="L1786" s="64"/>
    </row>
    <row r="1787" ht="16.5" customHeight="1">
      <c r="A1787" s="64"/>
      <c r="B1787" s="80" t="s">
        <v>18249</v>
      </c>
      <c r="C1787" s="81" t="str">
        <f>IFERROR(__xludf.DUMMYFUNCTION("""COMPUTED_VALUE"""),"lucysqueetle")</f>
        <v>lucysqueetle</v>
      </c>
      <c r="D1787" s="75">
        <f>IFERROR(__xludf.DUMMYFUNCTION("""COMPUTED_VALUE"""),0.0)</f>
        <v>0</v>
      </c>
      <c r="E1787" s="64"/>
      <c r="F1787" s="95"/>
      <c r="G1787" s="96"/>
      <c r="H1787" s="64"/>
      <c r="I1787" s="64"/>
      <c r="J1787" s="64"/>
      <c r="K1787" s="64"/>
      <c r="L1787" s="64"/>
    </row>
    <row r="1788" ht="16.5" customHeight="1">
      <c r="A1788" s="64"/>
      <c r="B1788" s="80" t="s">
        <v>18249</v>
      </c>
      <c r="C1788" s="81" t="str">
        <f>IFERROR(__xludf.DUMMYFUNCTION("""COMPUTED_VALUE"""),"luke_cassidy")</f>
        <v>luke_cassidy</v>
      </c>
      <c r="D1788" s="75">
        <f>IFERROR(__xludf.DUMMYFUNCTION("""COMPUTED_VALUE"""),0.0)</f>
        <v>0</v>
      </c>
      <c r="E1788" s="64"/>
      <c r="F1788" s="95"/>
      <c r="G1788" s="96"/>
      <c r="H1788" s="64"/>
      <c r="I1788" s="64"/>
      <c r="J1788" s="64"/>
      <c r="K1788" s="64"/>
      <c r="L1788" s="64"/>
    </row>
    <row r="1789" ht="16.5" customHeight="1">
      <c r="A1789" s="64"/>
      <c r="B1789" s="80" t="s">
        <v>18249</v>
      </c>
      <c r="C1789" s="81" t="str">
        <f>IFERROR(__xludf.DUMMYFUNCTION("""COMPUTED_VALUE"""),"lunaperla")</f>
        <v>lunaperla</v>
      </c>
      <c r="D1789" s="75">
        <f>IFERROR(__xludf.DUMMYFUNCTION("""COMPUTED_VALUE"""),0.0)</f>
        <v>0</v>
      </c>
      <c r="E1789" s="64"/>
      <c r="F1789" s="95"/>
      <c r="G1789" s="96"/>
      <c r="H1789" s="64"/>
      <c r="I1789" s="64"/>
      <c r="J1789" s="64"/>
      <c r="K1789" s="64"/>
      <c r="L1789" s="64"/>
    </row>
    <row r="1790" ht="16.5" customHeight="1">
      <c r="A1790" s="64"/>
      <c r="B1790" s="80" t="s">
        <v>18249</v>
      </c>
      <c r="C1790" s="81" t="str">
        <f>IFERROR(__xludf.DUMMYFUNCTION("""COMPUTED_VALUE"""),"lyn_ambrose")</f>
        <v>lyn_ambrose</v>
      </c>
      <c r="D1790" s="75">
        <f>IFERROR(__xludf.DUMMYFUNCTION("""COMPUTED_VALUE"""),0.0)</f>
        <v>0</v>
      </c>
      <c r="E1790" s="64"/>
      <c r="F1790" s="95"/>
      <c r="G1790" s="96"/>
      <c r="H1790" s="64"/>
      <c r="I1790" s="64"/>
      <c r="J1790" s="64"/>
      <c r="K1790" s="64"/>
      <c r="L1790" s="64"/>
    </row>
    <row r="1791" ht="16.5" customHeight="1">
      <c r="A1791" s="64"/>
      <c r="B1791" s="80" t="s">
        <v>18249</v>
      </c>
      <c r="C1791" s="81" t="str">
        <f>IFERROR(__xludf.DUMMYFUNCTION("""COMPUTED_VALUE"""),"lynneba25622829")</f>
        <v>lynneba25622829</v>
      </c>
      <c r="D1791" s="75">
        <f>IFERROR(__xludf.DUMMYFUNCTION("""COMPUTED_VALUE"""),0.0)</f>
        <v>0</v>
      </c>
      <c r="E1791" s="64"/>
      <c r="F1791" s="95"/>
      <c r="G1791" s="96"/>
      <c r="H1791" s="64"/>
      <c r="I1791" s="64"/>
      <c r="J1791" s="64"/>
      <c r="K1791" s="64"/>
      <c r="L1791" s="64"/>
    </row>
    <row r="1792" ht="16.5" customHeight="1">
      <c r="A1792" s="64"/>
      <c r="B1792" s="80" t="s">
        <v>18249</v>
      </c>
      <c r="C1792" s="81" t="str">
        <f>IFERROR(__xludf.DUMMYFUNCTION("""COMPUTED_VALUE"""),"lyonette_ruth")</f>
        <v>lyonette_ruth</v>
      </c>
      <c r="D1792" s="75">
        <f>IFERROR(__xludf.DUMMYFUNCTION("""COMPUTED_VALUE"""),0.0)</f>
        <v>0</v>
      </c>
      <c r="E1792" s="64"/>
      <c r="F1792" s="95"/>
      <c r="G1792" s="96"/>
      <c r="H1792" s="64"/>
      <c r="I1792" s="64"/>
      <c r="J1792" s="64"/>
      <c r="K1792" s="64"/>
      <c r="L1792" s="64"/>
    </row>
    <row r="1793" ht="16.5" customHeight="1">
      <c r="A1793" s="64"/>
      <c r="B1793" s="80" t="s">
        <v>18249</v>
      </c>
      <c r="C1793" s="81" t="str">
        <f>IFERROR(__xludf.DUMMYFUNCTION("""COMPUTED_VALUE"""),"m_gallon06")</f>
        <v>m_gallon06</v>
      </c>
      <c r="D1793" s="75">
        <f>IFERROR(__xludf.DUMMYFUNCTION("""COMPUTED_VALUE"""),0.0)</f>
        <v>0</v>
      </c>
      <c r="E1793" s="64"/>
      <c r="F1793" s="95"/>
      <c r="G1793" s="96"/>
      <c r="H1793" s="64"/>
      <c r="I1793" s="64"/>
      <c r="J1793" s="64"/>
      <c r="K1793" s="64"/>
      <c r="L1793" s="64"/>
    </row>
    <row r="1794" ht="16.5" customHeight="1">
      <c r="A1794" s="64"/>
      <c r="B1794" s="80" t="s">
        <v>18249</v>
      </c>
      <c r="C1794" s="81" t="str">
        <f>IFERROR(__xludf.DUMMYFUNCTION("""COMPUTED_VALUE"""),"m_innocenti3")</f>
        <v>m_innocenti3</v>
      </c>
      <c r="D1794" s="75">
        <f>IFERROR(__xludf.DUMMYFUNCTION("""COMPUTED_VALUE"""),0.0)</f>
        <v>0</v>
      </c>
      <c r="E1794" s="64"/>
      <c r="F1794" s="95"/>
      <c r="G1794" s="96"/>
      <c r="H1794" s="64"/>
      <c r="I1794" s="64"/>
      <c r="J1794" s="64"/>
      <c r="K1794" s="64"/>
      <c r="L1794" s="64"/>
    </row>
    <row r="1795" ht="16.5" customHeight="1">
      <c r="A1795" s="64"/>
      <c r="B1795" s="80" t="s">
        <v>18249</v>
      </c>
      <c r="C1795" s="81" t="str">
        <f>IFERROR(__xludf.DUMMYFUNCTION("""COMPUTED_VALUE"""),"mac35red")</f>
        <v>mac35red</v>
      </c>
      <c r="D1795" s="75">
        <f>IFERROR(__xludf.DUMMYFUNCTION("""COMPUTED_VALUE"""),0.0)</f>
        <v>0</v>
      </c>
      <c r="E1795" s="64"/>
      <c r="F1795" s="95"/>
      <c r="G1795" s="96"/>
      <c r="H1795" s="64"/>
      <c r="I1795" s="64"/>
      <c r="J1795" s="64"/>
      <c r="K1795" s="64"/>
      <c r="L1795" s="64"/>
    </row>
    <row r="1796" ht="16.5" customHeight="1">
      <c r="A1796" s="64"/>
      <c r="B1796" s="80" t="s">
        <v>18249</v>
      </c>
      <c r="C1796" s="81" t="str">
        <f>IFERROR(__xludf.DUMMYFUNCTION("""COMPUTED_VALUE"""),"macameron66")</f>
        <v>macameron66</v>
      </c>
      <c r="D1796" s="75">
        <f>IFERROR(__xludf.DUMMYFUNCTION("""COMPUTED_VALUE"""),0.0)</f>
        <v>0</v>
      </c>
      <c r="E1796" s="64"/>
      <c r="F1796" s="95"/>
      <c r="G1796" s="96"/>
      <c r="H1796" s="64"/>
      <c r="I1796" s="64"/>
      <c r="J1796" s="64"/>
      <c r="K1796" s="64"/>
      <c r="L1796" s="64"/>
    </row>
    <row r="1797" ht="16.5" customHeight="1">
      <c r="A1797" s="64"/>
      <c r="B1797" s="80" t="s">
        <v>18249</v>
      </c>
      <c r="C1797" s="81" t="str">
        <f>IFERROR(__xludf.DUMMYFUNCTION("""COMPUTED_VALUE"""),"mad_cyclist")</f>
        <v>mad_cyclist</v>
      </c>
      <c r="D1797" s="75">
        <f>IFERROR(__xludf.DUMMYFUNCTION("""COMPUTED_VALUE"""),0.0)</f>
        <v>0</v>
      </c>
      <c r="E1797" s="64"/>
      <c r="F1797" s="95"/>
      <c r="G1797" s="96"/>
      <c r="H1797" s="64"/>
      <c r="I1797" s="64"/>
      <c r="J1797" s="64"/>
      <c r="K1797" s="64"/>
      <c r="L1797" s="64"/>
    </row>
    <row r="1798" ht="16.5" customHeight="1">
      <c r="A1798" s="64"/>
      <c r="B1798" s="80" t="s">
        <v>18249</v>
      </c>
      <c r="C1798" s="81" t="str">
        <f>IFERROR(__xludf.DUMMYFUNCTION("""COMPUTED_VALUE"""),"madden_phil")</f>
        <v>madden_phil</v>
      </c>
      <c r="D1798" s="75">
        <f>IFERROR(__xludf.DUMMYFUNCTION("""COMPUTED_VALUE"""),0.0)</f>
        <v>0</v>
      </c>
      <c r="E1798" s="64"/>
      <c r="F1798" s="95"/>
      <c r="G1798" s="96"/>
      <c r="H1798" s="64"/>
      <c r="I1798" s="64"/>
      <c r="J1798" s="64"/>
      <c r="K1798" s="64"/>
      <c r="L1798" s="64"/>
    </row>
    <row r="1799" ht="16.5" customHeight="1">
      <c r="A1799" s="64"/>
      <c r="B1799" s="80" t="s">
        <v>18249</v>
      </c>
      <c r="C1799" s="81" t="str">
        <f>IFERROR(__xludf.DUMMYFUNCTION("""COMPUTED_VALUE"""),"magapanthus")</f>
        <v>magapanthus</v>
      </c>
      <c r="D1799" s="75">
        <f>IFERROR(__xludf.DUMMYFUNCTION("""COMPUTED_VALUE"""),0.0)</f>
        <v>0</v>
      </c>
      <c r="E1799" s="64"/>
      <c r="F1799" s="95"/>
      <c r="G1799" s="96"/>
      <c r="H1799" s="64"/>
      <c r="I1799" s="64"/>
      <c r="J1799" s="64"/>
      <c r="K1799" s="64"/>
      <c r="L1799" s="64"/>
    </row>
    <row r="1800" ht="16.5" customHeight="1">
      <c r="A1800" s="64"/>
      <c r="B1800" s="80" t="s">
        <v>18249</v>
      </c>
      <c r="C1800" s="81" t="str">
        <f>IFERROR(__xludf.DUMMYFUNCTION("""COMPUTED_VALUE"""),"maggie20445251")</f>
        <v>maggie20445251</v>
      </c>
      <c r="D1800" s="75">
        <f>IFERROR(__xludf.DUMMYFUNCTION("""COMPUTED_VALUE"""),0.0)</f>
        <v>0</v>
      </c>
      <c r="E1800" s="64"/>
      <c r="F1800" s="95"/>
      <c r="G1800" s="96"/>
      <c r="H1800" s="64"/>
      <c r="I1800" s="64"/>
      <c r="J1800" s="64"/>
      <c r="K1800" s="64"/>
      <c r="L1800" s="64"/>
    </row>
    <row r="1801" ht="16.5" customHeight="1">
      <c r="A1801" s="64"/>
      <c r="B1801" s="80" t="s">
        <v>18249</v>
      </c>
      <c r="C1801" s="81" t="str">
        <f>IFERROR(__xludf.DUMMYFUNCTION("""COMPUTED_VALUE"""),"magicdmw")</f>
        <v>magicdmw</v>
      </c>
      <c r="D1801" s="75">
        <f>IFERROR(__xludf.DUMMYFUNCTION("""COMPUTED_VALUE"""),0.0)</f>
        <v>0</v>
      </c>
      <c r="E1801" s="64"/>
      <c r="F1801" s="95"/>
      <c r="G1801" s="96"/>
      <c r="H1801" s="64"/>
      <c r="I1801" s="64"/>
      <c r="J1801" s="64"/>
      <c r="K1801" s="64"/>
      <c r="L1801" s="64"/>
    </row>
    <row r="1802" ht="16.5" customHeight="1">
      <c r="A1802" s="64"/>
      <c r="B1802" s="80" t="s">
        <v>18249</v>
      </c>
      <c r="C1802" s="81" t="str">
        <f>IFERROR(__xludf.DUMMYFUNCTION("""COMPUTED_VALUE"""),"magicofthemind")</f>
        <v>magicofthemind</v>
      </c>
      <c r="D1802" s="75">
        <f>IFERROR(__xludf.DUMMYFUNCTION("""COMPUTED_VALUE"""),0.0)</f>
        <v>0</v>
      </c>
      <c r="E1802" s="64"/>
      <c r="F1802" s="95"/>
      <c r="G1802" s="96"/>
      <c r="H1802" s="64"/>
      <c r="I1802" s="64"/>
      <c r="J1802" s="64"/>
      <c r="K1802" s="64"/>
      <c r="L1802" s="64"/>
    </row>
    <row r="1803" ht="16.5" customHeight="1">
      <c r="A1803" s="64"/>
      <c r="B1803" s="80" t="s">
        <v>18249</v>
      </c>
      <c r="C1803" s="81" t="str">
        <f>IFERROR(__xludf.DUMMYFUNCTION("""COMPUTED_VALUE"""),"mail_bird")</f>
        <v>mail_bird</v>
      </c>
      <c r="D1803" s="75">
        <f>IFERROR(__xludf.DUMMYFUNCTION("""COMPUTED_VALUE"""),0.0)</f>
        <v>0</v>
      </c>
      <c r="E1803" s="64"/>
      <c r="F1803" s="95"/>
      <c r="G1803" s="96"/>
      <c r="H1803" s="64"/>
      <c r="I1803" s="64"/>
      <c r="J1803" s="64"/>
      <c r="K1803" s="64"/>
      <c r="L1803" s="64"/>
    </row>
    <row r="1804" ht="16.5" customHeight="1">
      <c r="A1804" s="64"/>
      <c r="B1804" s="80" t="s">
        <v>18249</v>
      </c>
      <c r="C1804" s="81" t="str">
        <f>IFERROR(__xludf.DUMMYFUNCTION("""COMPUTED_VALUE"""),"makadaw")</f>
        <v>makadaw</v>
      </c>
      <c r="D1804" s="75">
        <f>IFERROR(__xludf.DUMMYFUNCTION("""COMPUTED_VALUE"""),0.0)</f>
        <v>0</v>
      </c>
      <c r="E1804" s="64"/>
      <c r="F1804" s="95"/>
      <c r="G1804" s="96"/>
      <c r="H1804" s="64"/>
      <c r="I1804" s="64"/>
      <c r="J1804" s="64"/>
      <c r="K1804" s="64"/>
      <c r="L1804" s="64"/>
    </row>
    <row r="1805" ht="16.5" customHeight="1">
      <c r="A1805" s="64"/>
      <c r="B1805" s="80" t="s">
        <v>18249</v>
      </c>
      <c r="C1805" s="81" t="str">
        <f>IFERROR(__xludf.DUMMYFUNCTION("""COMPUTED_VALUE"""),"manicvic")</f>
        <v>manicvic</v>
      </c>
      <c r="D1805" s="75">
        <f>IFERROR(__xludf.DUMMYFUNCTION("""COMPUTED_VALUE"""),0.0)</f>
        <v>0</v>
      </c>
      <c r="E1805" s="64"/>
      <c r="F1805" s="95"/>
      <c r="G1805" s="96"/>
      <c r="H1805" s="64"/>
      <c r="I1805" s="64"/>
      <c r="J1805" s="64"/>
      <c r="K1805" s="64"/>
      <c r="L1805" s="64"/>
    </row>
    <row r="1806" ht="16.5" customHeight="1">
      <c r="A1806" s="64"/>
      <c r="B1806" s="80" t="s">
        <v>18249</v>
      </c>
      <c r="C1806" s="81" t="str">
        <f>IFERROR(__xludf.DUMMYFUNCTION("""COMPUTED_VALUE"""),"mannes00680860")</f>
        <v>mannes00680860</v>
      </c>
      <c r="D1806" s="75">
        <f>IFERROR(__xludf.DUMMYFUNCTION("""COMPUTED_VALUE"""),0.0)</f>
        <v>0</v>
      </c>
      <c r="E1806" s="64"/>
      <c r="F1806" s="95"/>
      <c r="G1806" s="96"/>
      <c r="H1806" s="64"/>
      <c r="I1806" s="64"/>
      <c r="J1806" s="64"/>
      <c r="K1806" s="64"/>
      <c r="L1806" s="64"/>
    </row>
    <row r="1807" ht="16.5" customHeight="1">
      <c r="A1807" s="64"/>
      <c r="B1807" s="80" t="s">
        <v>18249</v>
      </c>
      <c r="C1807" s="81" t="str">
        <f>IFERROR(__xludf.DUMMYFUNCTION("""COMPUTED_VALUE"""),"marcusfidge")</f>
        <v>marcusfidge</v>
      </c>
      <c r="D1807" s="75">
        <f>IFERROR(__xludf.DUMMYFUNCTION("""COMPUTED_VALUE"""),0.0)</f>
        <v>0</v>
      </c>
      <c r="E1807" s="64"/>
      <c r="F1807" s="95"/>
      <c r="G1807" s="96"/>
      <c r="H1807" s="64"/>
      <c r="I1807" s="64"/>
      <c r="J1807" s="64"/>
      <c r="K1807" s="64"/>
      <c r="L1807" s="64"/>
    </row>
    <row r="1808" ht="16.5" customHeight="1">
      <c r="A1808" s="64"/>
      <c r="B1808" s="80" t="s">
        <v>18249</v>
      </c>
      <c r="C1808" s="81" t="str">
        <f>IFERROR(__xludf.DUMMYFUNCTION("""COMPUTED_VALUE"""),"margarance")</f>
        <v>margarance</v>
      </c>
      <c r="D1808" s="75">
        <f>IFERROR(__xludf.DUMMYFUNCTION("""COMPUTED_VALUE"""),0.0)</f>
        <v>0</v>
      </c>
      <c r="E1808" s="64"/>
      <c r="F1808" s="95"/>
      <c r="G1808" s="96"/>
      <c r="H1808" s="64"/>
      <c r="I1808" s="64"/>
      <c r="J1808" s="64"/>
      <c r="K1808" s="64"/>
      <c r="L1808" s="64"/>
    </row>
    <row r="1809" ht="16.5" customHeight="1">
      <c r="A1809" s="64"/>
      <c r="B1809" s="80" t="s">
        <v>18249</v>
      </c>
      <c r="C1809" s="81" t="str">
        <f>IFERROR(__xludf.DUMMYFUNCTION("""COMPUTED_VALUE"""),"margaret_ruane")</f>
        <v>margaret_ruane</v>
      </c>
      <c r="D1809" s="75">
        <f>IFERROR(__xludf.DUMMYFUNCTION("""COMPUTED_VALUE"""),0.0)</f>
        <v>0</v>
      </c>
      <c r="E1809" s="64"/>
      <c r="F1809" s="95"/>
      <c r="G1809" s="96"/>
      <c r="H1809" s="64"/>
      <c r="I1809" s="64"/>
      <c r="J1809" s="64"/>
      <c r="K1809" s="64"/>
      <c r="L1809" s="64"/>
    </row>
    <row r="1810" ht="16.5" customHeight="1">
      <c r="A1810" s="64"/>
      <c r="B1810" s="80" t="s">
        <v>18249</v>
      </c>
      <c r="C1810" s="81" t="str">
        <f>IFERROR(__xludf.DUMMYFUNCTION("""COMPUTED_VALUE"""),"mariamuser")</f>
        <v>mariamuser</v>
      </c>
      <c r="D1810" s="75">
        <f>IFERROR(__xludf.DUMMYFUNCTION("""COMPUTED_VALUE"""),0.0)</f>
        <v>0</v>
      </c>
      <c r="E1810" s="64"/>
      <c r="F1810" s="95"/>
      <c r="G1810" s="96"/>
      <c r="H1810" s="64"/>
      <c r="I1810" s="64"/>
      <c r="J1810" s="64"/>
      <c r="K1810" s="64"/>
      <c r="L1810" s="64"/>
    </row>
    <row r="1811" ht="16.5" customHeight="1">
      <c r="A1811" s="64"/>
      <c r="B1811" s="80" t="s">
        <v>18249</v>
      </c>
      <c r="C1811" s="81" t="str">
        <f>IFERROR(__xludf.DUMMYFUNCTION("""COMPUTED_VALUE"""),"mariexcotte")</f>
        <v>mariexcotte</v>
      </c>
      <c r="D1811" s="75">
        <f>IFERROR(__xludf.DUMMYFUNCTION("""COMPUTED_VALUE"""),0.0)</f>
        <v>0</v>
      </c>
      <c r="E1811" s="64"/>
      <c r="F1811" s="95"/>
      <c r="G1811" s="96"/>
      <c r="H1811" s="64"/>
      <c r="I1811" s="64"/>
      <c r="J1811" s="64"/>
      <c r="K1811" s="64"/>
      <c r="L1811" s="64"/>
    </row>
    <row r="1812" ht="16.5" customHeight="1">
      <c r="A1812" s="64"/>
      <c r="B1812" s="80" t="s">
        <v>18249</v>
      </c>
      <c r="C1812" s="81" t="str">
        <f>IFERROR(__xludf.DUMMYFUNCTION("""COMPUTED_VALUE"""),"marionprof")</f>
        <v>marionprof</v>
      </c>
      <c r="D1812" s="75">
        <f>IFERROR(__xludf.DUMMYFUNCTION("""COMPUTED_VALUE"""),0.0)</f>
        <v>0</v>
      </c>
      <c r="E1812" s="64"/>
      <c r="F1812" s="95"/>
      <c r="G1812" s="96"/>
      <c r="H1812" s="64"/>
      <c r="I1812" s="64"/>
      <c r="J1812" s="64"/>
      <c r="K1812" s="64"/>
      <c r="L1812" s="64"/>
    </row>
    <row r="1813" ht="16.5" customHeight="1">
      <c r="A1813" s="64"/>
      <c r="B1813" s="80" t="s">
        <v>18249</v>
      </c>
      <c r="C1813" s="81" t="str">
        <f>IFERROR(__xludf.DUMMYFUNCTION("""COMPUTED_VALUE"""),"mark0llyn")</f>
        <v>mark0llyn</v>
      </c>
      <c r="D1813" s="75">
        <f>IFERROR(__xludf.DUMMYFUNCTION("""COMPUTED_VALUE"""),0.0)</f>
        <v>0</v>
      </c>
      <c r="E1813" s="64"/>
      <c r="F1813" s="95"/>
      <c r="G1813" s="96"/>
      <c r="H1813" s="64"/>
      <c r="I1813" s="64"/>
      <c r="J1813" s="64"/>
      <c r="K1813" s="64"/>
      <c r="L1813" s="64"/>
    </row>
    <row r="1814" ht="16.5" customHeight="1">
      <c r="A1814" s="64"/>
      <c r="B1814" s="80" t="s">
        <v>18249</v>
      </c>
      <c r="C1814" s="81" t="str">
        <f>IFERROR(__xludf.DUMMYFUNCTION("""COMPUTED_VALUE"""),"mark0nline")</f>
        <v>mark0nline</v>
      </c>
      <c r="D1814" s="75">
        <f>IFERROR(__xludf.DUMMYFUNCTION("""COMPUTED_VALUE"""),0.0)</f>
        <v>0</v>
      </c>
      <c r="E1814" s="64"/>
      <c r="F1814" s="95"/>
      <c r="G1814" s="96"/>
      <c r="H1814" s="64"/>
      <c r="I1814" s="64"/>
      <c r="J1814" s="64"/>
      <c r="K1814" s="64"/>
      <c r="L1814" s="64"/>
    </row>
    <row r="1815" ht="16.5" customHeight="1">
      <c r="A1815" s="64"/>
      <c r="B1815" s="80" t="s">
        <v>18249</v>
      </c>
      <c r="C1815" s="81" t="str">
        <f>IFERROR(__xludf.DUMMYFUNCTION("""COMPUTED_VALUE"""),"mark147852")</f>
        <v>mark147852</v>
      </c>
      <c r="D1815" s="75">
        <f>IFERROR(__xludf.DUMMYFUNCTION("""COMPUTED_VALUE"""),0.0)</f>
        <v>0</v>
      </c>
      <c r="E1815" s="64"/>
      <c r="F1815" s="95"/>
      <c r="G1815" s="96"/>
      <c r="H1815" s="64"/>
      <c r="I1815" s="64"/>
      <c r="J1815" s="64"/>
      <c r="K1815" s="64"/>
      <c r="L1815" s="64"/>
    </row>
    <row r="1816" ht="16.5" customHeight="1">
      <c r="A1816" s="64"/>
      <c r="B1816" s="80" t="s">
        <v>18249</v>
      </c>
      <c r="C1816" s="81" t="str">
        <f>IFERROR(__xludf.DUMMYFUNCTION("""COMPUTED_VALUE"""),"mark_the_god")</f>
        <v>mark_the_god</v>
      </c>
      <c r="D1816" s="75">
        <f>IFERROR(__xludf.DUMMYFUNCTION("""COMPUTED_VALUE"""),0.0)</f>
        <v>0</v>
      </c>
      <c r="E1816" s="64"/>
      <c r="F1816" s="95"/>
      <c r="G1816" s="96"/>
      <c r="H1816" s="64"/>
      <c r="I1816" s="64"/>
      <c r="J1816" s="64"/>
      <c r="K1816" s="64"/>
      <c r="L1816" s="64"/>
    </row>
    <row r="1817" ht="16.5" customHeight="1">
      <c r="A1817" s="64"/>
      <c r="B1817" s="80" t="s">
        <v>18249</v>
      </c>
      <c r="C1817" s="81" t="str">
        <f>IFERROR(__xludf.DUMMYFUNCTION("""COMPUTED_VALUE"""),"markcsimmo")</f>
        <v>markcsimmo</v>
      </c>
      <c r="D1817" s="75">
        <f>IFERROR(__xludf.DUMMYFUNCTION("""COMPUTED_VALUE"""),0.0)</f>
        <v>0</v>
      </c>
      <c r="E1817" s="64"/>
      <c r="F1817" s="95"/>
      <c r="G1817" s="96"/>
      <c r="H1817" s="64"/>
      <c r="I1817" s="64"/>
      <c r="J1817" s="64"/>
      <c r="K1817" s="64"/>
      <c r="L1817" s="64"/>
    </row>
    <row r="1818" ht="16.5" customHeight="1">
      <c r="A1818" s="64"/>
      <c r="B1818" s="80" t="s">
        <v>18249</v>
      </c>
      <c r="C1818" s="81" t="str">
        <f>IFERROR(__xludf.DUMMYFUNCTION("""COMPUTED_VALUE"""),"markiliff")</f>
        <v>markiliff</v>
      </c>
      <c r="D1818" s="75">
        <f>IFERROR(__xludf.DUMMYFUNCTION("""COMPUTED_VALUE"""),0.0)</f>
        <v>0</v>
      </c>
      <c r="E1818" s="64"/>
      <c r="F1818" s="95"/>
      <c r="G1818" s="96"/>
      <c r="H1818" s="64"/>
      <c r="I1818" s="64"/>
      <c r="J1818" s="64"/>
      <c r="K1818" s="64"/>
      <c r="L1818" s="64"/>
    </row>
    <row r="1819" ht="16.5" customHeight="1">
      <c r="A1819" s="64"/>
      <c r="B1819" s="80" t="s">
        <v>18249</v>
      </c>
      <c r="C1819" s="81" t="str">
        <f>IFERROR(__xludf.DUMMYFUNCTION("""COMPUTED_VALUE"""),"marknew1945")</f>
        <v>marknew1945</v>
      </c>
      <c r="D1819" s="75">
        <f>IFERROR(__xludf.DUMMYFUNCTION("""COMPUTED_VALUE"""),0.0)</f>
        <v>0</v>
      </c>
      <c r="E1819" s="64"/>
      <c r="F1819" s="95"/>
      <c r="G1819" s="96"/>
      <c r="H1819" s="64"/>
      <c r="I1819" s="64"/>
      <c r="J1819" s="64"/>
      <c r="K1819" s="64"/>
      <c r="L1819" s="64"/>
    </row>
    <row r="1820" ht="16.5" customHeight="1">
      <c r="A1820" s="64"/>
      <c r="B1820" s="80" t="s">
        <v>18249</v>
      </c>
      <c r="C1820" s="81" t="str">
        <f>IFERROR(__xludf.DUMMYFUNCTION("""COMPUTED_VALUE"""),"markpougatch")</f>
        <v>markpougatch</v>
      </c>
      <c r="D1820" s="75">
        <f>IFERROR(__xludf.DUMMYFUNCTION("""COMPUTED_VALUE"""),0.0)</f>
        <v>0</v>
      </c>
      <c r="E1820" s="64"/>
      <c r="F1820" s="95"/>
      <c r="G1820" s="96"/>
      <c r="H1820" s="64"/>
      <c r="I1820" s="64"/>
      <c r="J1820" s="64"/>
      <c r="K1820" s="64"/>
      <c r="L1820" s="64"/>
    </row>
    <row r="1821" ht="16.5" customHeight="1">
      <c r="A1821" s="64"/>
      <c r="B1821" s="80" t="s">
        <v>18249</v>
      </c>
      <c r="C1821" s="81" t="str">
        <f>IFERROR(__xludf.DUMMYFUNCTION("""COMPUTED_VALUE"""),"marktabet")</f>
        <v>marktabet</v>
      </c>
      <c r="D1821" s="75">
        <f>IFERROR(__xludf.DUMMYFUNCTION("""COMPUTED_VALUE"""),0.0)</f>
        <v>0</v>
      </c>
      <c r="E1821" s="64"/>
      <c r="F1821" s="95"/>
      <c r="G1821" s="96"/>
      <c r="H1821" s="64"/>
      <c r="I1821" s="64"/>
      <c r="J1821" s="64"/>
      <c r="K1821" s="64"/>
      <c r="L1821" s="64"/>
    </row>
    <row r="1822" ht="16.5" customHeight="1">
      <c r="A1822" s="64"/>
      <c r="B1822" s="80" t="s">
        <v>18249</v>
      </c>
      <c r="C1822" s="81" t="str">
        <f>IFERROR(__xludf.DUMMYFUNCTION("""COMPUTED_VALUE"""),"marsdinon")</f>
        <v>marsdinon</v>
      </c>
      <c r="D1822" s="75">
        <f>IFERROR(__xludf.DUMMYFUNCTION("""COMPUTED_VALUE"""),0.0)</f>
        <v>0</v>
      </c>
      <c r="E1822" s="64"/>
      <c r="F1822" s="95"/>
      <c r="G1822" s="96"/>
      <c r="H1822" s="64"/>
      <c r="I1822" s="64"/>
      <c r="J1822" s="64"/>
      <c r="K1822" s="64"/>
      <c r="L1822" s="64"/>
    </row>
    <row r="1823" ht="16.5" customHeight="1">
      <c r="A1823" s="64"/>
      <c r="B1823" s="80" t="s">
        <v>18249</v>
      </c>
      <c r="C1823" s="81" t="str">
        <f>IFERROR(__xludf.DUMMYFUNCTION("""COMPUTED_VALUE"""),"marshal89798300")</f>
        <v>marshal89798300</v>
      </c>
      <c r="D1823" s="75">
        <f>IFERROR(__xludf.DUMMYFUNCTION("""COMPUTED_VALUE"""),0.0)</f>
        <v>0</v>
      </c>
      <c r="E1823" s="64"/>
      <c r="F1823" s="95"/>
      <c r="G1823" s="96"/>
      <c r="H1823" s="64"/>
      <c r="I1823" s="64"/>
      <c r="J1823" s="64"/>
      <c r="K1823" s="64"/>
      <c r="L1823" s="64"/>
    </row>
    <row r="1824" ht="16.5" customHeight="1">
      <c r="A1824" s="64"/>
      <c r="B1824" s="80" t="s">
        <v>18249</v>
      </c>
      <c r="C1824" s="81" t="str">
        <f>IFERROR(__xludf.DUMMYFUNCTION("""COMPUTED_VALUE"""),"marsman1258")</f>
        <v>marsman1258</v>
      </c>
      <c r="D1824" s="75">
        <f>IFERROR(__xludf.DUMMYFUNCTION("""COMPUTED_VALUE"""),0.0)</f>
        <v>0</v>
      </c>
      <c r="E1824" s="64"/>
      <c r="F1824" s="95"/>
      <c r="G1824" s="96"/>
      <c r="H1824" s="64"/>
      <c r="I1824" s="64"/>
      <c r="J1824" s="64"/>
      <c r="K1824" s="64"/>
      <c r="L1824" s="64"/>
    </row>
    <row r="1825" ht="16.5" customHeight="1">
      <c r="A1825" s="64"/>
      <c r="B1825" s="80" t="s">
        <v>18249</v>
      </c>
      <c r="C1825" s="81" t="str">
        <f>IFERROR(__xludf.DUMMYFUNCTION("""COMPUTED_VALUE"""),"martarossi56")</f>
        <v>martarossi56</v>
      </c>
      <c r="D1825" s="75">
        <f>IFERROR(__xludf.DUMMYFUNCTION("""COMPUTED_VALUE"""),0.0)</f>
        <v>0</v>
      </c>
      <c r="E1825" s="64"/>
      <c r="F1825" s="95"/>
      <c r="G1825" s="96"/>
      <c r="H1825" s="64"/>
      <c r="I1825" s="64"/>
      <c r="J1825" s="64"/>
      <c r="K1825" s="64"/>
      <c r="L1825" s="64"/>
    </row>
    <row r="1826" ht="16.5" customHeight="1">
      <c r="A1826" s="64"/>
      <c r="B1826" s="80" t="s">
        <v>18249</v>
      </c>
      <c r="C1826" s="81" t="str">
        <f>IFERROR(__xludf.DUMMYFUNCTION("""COMPUTED_VALUE"""),"martin97903661")</f>
        <v>martin97903661</v>
      </c>
      <c r="D1826" s="75">
        <f>IFERROR(__xludf.DUMMYFUNCTION("""COMPUTED_VALUE"""),0.0)</f>
        <v>0</v>
      </c>
      <c r="E1826" s="64"/>
      <c r="F1826" s="95"/>
      <c r="G1826" s="96"/>
      <c r="H1826" s="64"/>
      <c r="I1826" s="64"/>
      <c r="J1826" s="64"/>
      <c r="K1826" s="64"/>
      <c r="L1826" s="64"/>
    </row>
    <row r="1827" ht="16.5" customHeight="1">
      <c r="A1827" s="64"/>
      <c r="B1827" s="80" t="s">
        <v>18249</v>
      </c>
      <c r="C1827" s="81" t="str">
        <f>IFERROR(__xludf.DUMMYFUNCTION("""COMPUTED_VALUE"""),"martinthegood")</f>
        <v>martinthegood</v>
      </c>
      <c r="D1827" s="75">
        <f>IFERROR(__xludf.DUMMYFUNCTION("""COMPUTED_VALUE"""),0.0)</f>
        <v>0</v>
      </c>
      <c r="E1827" s="64"/>
      <c r="F1827" s="95"/>
      <c r="G1827" s="96"/>
      <c r="H1827" s="64"/>
      <c r="I1827" s="64"/>
      <c r="J1827" s="64"/>
      <c r="K1827" s="64"/>
      <c r="L1827" s="64"/>
    </row>
    <row r="1828" ht="16.5" customHeight="1">
      <c r="A1828" s="64"/>
      <c r="B1828" s="80" t="s">
        <v>18249</v>
      </c>
      <c r="C1828" s="81" t="str">
        <f>IFERROR(__xludf.DUMMYFUNCTION("""COMPUTED_VALUE"""),"maryliz87575119")</f>
        <v>maryliz87575119</v>
      </c>
      <c r="D1828" s="75">
        <f>IFERROR(__xludf.DUMMYFUNCTION("""COMPUTED_VALUE"""),0.0)</f>
        <v>0</v>
      </c>
      <c r="E1828" s="64"/>
      <c r="F1828" s="95"/>
      <c r="G1828" s="96"/>
      <c r="H1828" s="64"/>
      <c r="I1828" s="64"/>
      <c r="J1828" s="64"/>
      <c r="K1828" s="64"/>
      <c r="L1828" s="64"/>
    </row>
    <row r="1829" ht="16.5" customHeight="1">
      <c r="A1829" s="64"/>
      <c r="B1829" s="80" t="s">
        <v>18249</v>
      </c>
      <c r="C1829" s="81" t="str">
        <f>IFERROR(__xludf.DUMMYFUNCTION("""COMPUTED_VALUE"""),"matmckenzie")</f>
        <v>matmckenzie</v>
      </c>
      <c r="D1829" s="75">
        <f>IFERROR(__xludf.DUMMYFUNCTION("""COMPUTED_VALUE"""),0.0)</f>
        <v>0</v>
      </c>
      <c r="E1829" s="64"/>
      <c r="F1829" s="95"/>
      <c r="G1829" s="96"/>
      <c r="H1829" s="64"/>
      <c r="I1829" s="64"/>
      <c r="J1829" s="64"/>
      <c r="K1829" s="64"/>
      <c r="L1829" s="64"/>
    </row>
    <row r="1830" ht="16.5" customHeight="1">
      <c r="A1830" s="64"/>
      <c r="B1830" s="80" t="s">
        <v>18249</v>
      </c>
      <c r="C1830" s="81" t="str">
        <f>IFERROR(__xludf.DUMMYFUNCTION("""COMPUTED_VALUE"""),"maviczap")</f>
        <v>maviczap</v>
      </c>
      <c r="D1830" s="75">
        <f>IFERROR(__xludf.DUMMYFUNCTION("""COMPUTED_VALUE"""),0.0)</f>
        <v>0</v>
      </c>
      <c r="E1830" s="64"/>
      <c r="F1830" s="95"/>
      <c r="G1830" s="96"/>
      <c r="H1830" s="64"/>
      <c r="I1830" s="64"/>
      <c r="J1830" s="64"/>
      <c r="K1830" s="64"/>
      <c r="L1830" s="64"/>
    </row>
    <row r="1831" ht="16.5" customHeight="1">
      <c r="A1831" s="64"/>
      <c r="B1831" s="80" t="s">
        <v>18249</v>
      </c>
      <c r="C1831" s="81" t="str">
        <f>IFERROR(__xludf.DUMMYFUNCTION("""COMPUTED_VALUE"""),"maxibutbut")</f>
        <v>maxibutbut</v>
      </c>
      <c r="D1831" s="75">
        <f>IFERROR(__xludf.DUMMYFUNCTION("""COMPUTED_VALUE"""),0.0)</f>
        <v>0</v>
      </c>
      <c r="E1831" s="64"/>
      <c r="F1831" s="95"/>
      <c r="G1831" s="96"/>
      <c r="H1831" s="64"/>
      <c r="I1831" s="64"/>
      <c r="J1831" s="64"/>
      <c r="K1831" s="64"/>
      <c r="L1831" s="64"/>
    </row>
    <row r="1832" ht="16.5" customHeight="1">
      <c r="A1832" s="64"/>
      <c r="B1832" s="80" t="s">
        <v>18249</v>
      </c>
      <c r="C1832" s="81" t="str">
        <f>IFERROR(__xludf.DUMMYFUNCTION("""COMPUTED_VALUE"""),"mccandlessp")</f>
        <v>mccandlessp</v>
      </c>
      <c r="D1832" s="75">
        <f>IFERROR(__xludf.DUMMYFUNCTION("""COMPUTED_VALUE"""),0.0)</f>
        <v>0</v>
      </c>
      <c r="E1832" s="64"/>
      <c r="F1832" s="95"/>
      <c r="G1832" s="96"/>
      <c r="H1832" s="64"/>
      <c r="I1832" s="64"/>
      <c r="J1832" s="64"/>
      <c r="K1832" s="64"/>
      <c r="L1832" s="64"/>
    </row>
    <row r="1833" ht="16.5" customHeight="1">
      <c r="A1833" s="64"/>
      <c r="B1833" s="80" t="s">
        <v>18249</v>
      </c>
      <c r="C1833" s="81" t="str">
        <f>IFERROR(__xludf.DUMMYFUNCTION("""COMPUTED_VALUE"""),"mcfrankface")</f>
        <v>mcfrankface</v>
      </c>
      <c r="D1833" s="75">
        <f>IFERROR(__xludf.DUMMYFUNCTION("""COMPUTED_VALUE"""),0.0)</f>
        <v>0</v>
      </c>
      <c r="E1833" s="64"/>
      <c r="F1833" s="95"/>
      <c r="G1833" s="96"/>
      <c r="H1833" s="64"/>
      <c r="I1833" s="64"/>
      <c r="J1833" s="64"/>
      <c r="K1833" s="64"/>
      <c r="L1833" s="64"/>
    </row>
    <row r="1834" ht="16.5" customHeight="1">
      <c r="A1834" s="64"/>
      <c r="B1834" s="80" t="s">
        <v>18249</v>
      </c>
      <c r="C1834" s="81" t="str">
        <f>IFERROR(__xludf.DUMMYFUNCTION("""COMPUTED_VALUE"""),"mdigioiat")</f>
        <v>mdigioiat</v>
      </c>
      <c r="D1834" s="75">
        <f>IFERROR(__xludf.DUMMYFUNCTION("""COMPUTED_VALUE"""),0.0)</f>
        <v>0</v>
      </c>
      <c r="E1834" s="64"/>
      <c r="F1834" s="95"/>
      <c r="G1834" s="96"/>
      <c r="H1834" s="64"/>
      <c r="I1834" s="64"/>
      <c r="J1834" s="64"/>
      <c r="K1834" s="64"/>
      <c r="L1834" s="64"/>
    </row>
    <row r="1835" ht="16.5" customHeight="1">
      <c r="A1835" s="64"/>
      <c r="B1835" s="80" t="s">
        <v>18249</v>
      </c>
      <c r="C1835" s="81" t="str">
        <f>IFERROR(__xludf.DUMMYFUNCTION("""COMPUTED_VALUE"""),"meNabster")</f>
        <v>meNabster</v>
      </c>
      <c r="D1835" s="75">
        <f>IFERROR(__xludf.DUMMYFUNCTION("""COMPUTED_VALUE"""),0.0)</f>
        <v>0</v>
      </c>
      <c r="E1835" s="64"/>
      <c r="F1835" s="95"/>
      <c r="G1835" s="96"/>
      <c r="H1835" s="64"/>
      <c r="I1835" s="64"/>
      <c r="J1835" s="64"/>
      <c r="K1835" s="64"/>
      <c r="L1835" s="64"/>
    </row>
    <row r="1836" ht="16.5" customHeight="1">
      <c r="A1836" s="64"/>
      <c r="B1836" s="80" t="s">
        <v>18249</v>
      </c>
      <c r="C1836" s="81" t="str">
        <f>IFERROR(__xludf.DUMMYFUNCTION("""COMPUTED_VALUE"""),"me_michaels")</f>
        <v>me_michaels</v>
      </c>
      <c r="D1836" s="75">
        <f>IFERROR(__xludf.DUMMYFUNCTION("""COMPUTED_VALUE"""),0.0)</f>
        <v>0</v>
      </c>
      <c r="E1836" s="64"/>
      <c r="F1836" s="95"/>
      <c r="G1836" s="96"/>
      <c r="H1836" s="64"/>
      <c r="I1836" s="64"/>
      <c r="J1836" s="64"/>
      <c r="K1836" s="64"/>
      <c r="L1836" s="64"/>
    </row>
    <row r="1837" ht="16.5" customHeight="1">
      <c r="A1837" s="64"/>
      <c r="B1837" s="80" t="s">
        <v>18249</v>
      </c>
      <c r="C1837" s="81" t="str">
        <f>IFERROR(__xludf.DUMMYFUNCTION("""COMPUTED_VALUE"""),"meganthirlaway")</f>
        <v>meganthirlaway</v>
      </c>
      <c r="D1837" s="75">
        <f>IFERROR(__xludf.DUMMYFUNCTION("""COMPUTED_VALUE"""),0.0)</f>
        <v>0</v>
      </c>
      <c r="E1837" s="64"/>
      <c r="F1837" s="95"/>
      <c r="G1837" s="96"/>
      <c r="H1837" s="64"/>
      <c r="I1837" s="64"/>
      <c r="J1837" s="64"/>
      <c r="K1837" s="64"/>
      <c r="L1837" s="64"/>
    </row>
    <row r="1838" ht="16.5" customHeight="1">
      <c r="A1838" s="64"/>
      <c r="B1838" s="80" t="s">
        <v>18249</v>
      </c>
      <c r="C1838" s="81" t="str">
        <f>IFERROR(__xludf.DUMMYFUNCTION("""COMPUTED_VALUE"""),"melwest14")</f>
        <v>melwest14</v>
      </c>
      <c r="D1838" s="75">
        <f>IFERROR(__xludf.DUMMYFUNCTION("""COMPUTED_VALUE"""),0.0)</f>
        <v>0</v>
      </c>
      <c r="E1838" s="64"/>
      <c r="F1838" s="95"/>
      <c r="G1838" s="96"/>
      <c r="H1838" s="64"/>
      <c r="I1838" s="64"/>
      <c r="J1838" s="64"/>
      <c r="K1838" s="64"/>
      <c r="L1838" s="64"/>
    </row>
    <row r="1839" ht="16.5" customHeight="1">
      <c r="A1839" s="64"/>
      <c r="B1839" s="80" t="s">
        <v>18249</v>
      </c>
      <c r="C1839" s="81" t="str">
        <f>IFERROR(__xludf.DUMMYFUNCTION("""COMPUTED_VALUE"""),"memneon")</f>
        <v>memneon</v>
      </c>
      <c r="D1839" s="75">
        <f>IFERROR(__xludf.DUMMYFUNCTION("""COMPUTED_VALUE"""),0.0)</f>
        <v>0</v>
      </c>
      <c r="E1839" s="64"/>
      <c r="F1839" s="95"/>
      <c r="G1839" s="96"/>
      <c r="H1839" s="64"/>
      <c r="I1839" s="64"/>
      <c r="J1839" s="64"/>
      <c r="K1839" s="64"/>
      <c r="L1839" s="64"/>
    </row>
    <row r="1840" ht="16.5" customHeight="1">
      <c r="A1840" s="64"/>
      <c r="B1840" s="80" t="s">
        <v>18249</v>
      </c>
      <c r="C1840" s="81" t="str">
        <f>IFERROR(__xludf.DUMMYFUNCTION("""COMPUTED_VALUE"""),"menuet_morgan")</f>
        <v>menuet_morgan</v>
      </c>
      <c r="D1840" s="75">
        <f>IFERROR(__xludf.DUMMYFUNCTION("""COMPUTED_VALUE"""),0.0)</f>
        <v>0</v>
      </c>
      <c r="E1840" s="64"/>
      <c r="F1840" s="95"/>
      <c r="G1840" s="96"/>
      <c r="H1840" s="64"/>
      <c r="I1840" s="64"/>
      <c r="J1840" s="64"/>
      <c r="K1840" s="64"/>
      <c r="L1840" s="64"/>
    </row>
    <row r="1841" ht="16.5" customHeight="1">
      <c r="A1841" s="64"/>
      <c r="B1841" s="80" t="s">
        <v>18249</v>
      </c>
      <c r="C1841" s="81" t="str">
        <f>IFERROR(__xludf.DUMMYFUNCTION("""COMPUTED_VALUE"""),"mfnmelb1")</f>
        <v>mfnmelb1</v>
      </c>
      <c r="D1841" s="75">
        <f>IFERROR(__xludf.DUMMYFUNCTION("""COMPUTED_VALUE"""),0.0)</f>
        <v>0</v>
      </c>
      <c r="E1841" s="64"/>
      <c r="F1841" s="95"/>
      <c r="G1841" s="96"/>
      <c r="H1841" s="64"/>
      <c r="I1841" s="64"/>
      <c r="J1841" s="64"/>
      <c r="K1841" s="64"/>
      <c r="L1841" s="64"/>
    </row>
    <row r="1842" ht="16.5" customHeight="1">
      <c r="A1842" s="64"/>
      <c r="B1842" s="80" t="s">
        <v>18249</v>
      </c>
      <c r="C1842" s="81" t="str">
        <f>IFERROR(__xludf.DUMMYFUNCTION("""COMPUTED_VALUE"""),"mgroedl")</f>
        <v>mgroedl</v>
      </c>
      <c r="D1842" s="75">
        <f>IFERROR(__xludf.DUMMYFUNCTION("""COMPUTED_VALUE"""),0.0)</f>
        <v>0</v>
      </c>
      <c r="E1842" s="64"/>
      <c r="F1842" s="95"/>
      <c r="G1842" s="96"/>
      <c r="H1842" s="64"/>
      <c r="I1842" s="64"/>
      <c r="J1842" s="64"/>
      <c r="K1842" s="64"/>
      <c r="L1842" s="64"/>
    </row>
    <row r="1843" ht="16.5" customHeight="1">
      <c r="A1843" s="64"/>
      <c r="B1843" s="80" t="s">
        <v>18249</v>
      </c>
      <c r="C1843" s="81" t="str">
        <f>IFERROR(__xludf.DUMMYFUNCTION("""COMPUTED_VALUE"""),"michaelkerton")</f>
        <v>michaelkerton</v>
      </c>
      <c r="D1843" s="75">
        <f>IFERROR(__xludf.DUMMYFUNCTION("""COMPUTED_VALUE"""),0.0)</f>
        <v>0</v>
      </c>
      <c r="E1843" s="64"/>
      <c r="F1843" s="95"/>
      <c r="G1843" s="96"/>
      <c r="H1843" s="64"/>
      <c r="I1843" s="64"/>
      <c r="J1843" s="64"/>
      <c r="K1843" s="64"/>
      <c r="L1843" s="64"/>
    </row>
    <row r="1844" ht="16.5" customHeight="1">
      <c r="A1844" s="64"/>
      <c r="B1844" s="80" t="s">
        <v>18249</v>
      </c>
      <c r="C1844" s="81" t="str">
        <f>IFERROR(__xludf.DUMMYFUNCTION("""COMPUTED_VALUE"""),"michelle8969")</f>
        <v>michelle8969</v>
      </c>
      <c r="D1844" s="75">
        <f>IFERROR(__xludf.DUMMYFUNCTION("""COMPUTED_VALUE"""),0.0)</f>
        <v>0</v>
      </c>
      <c r="E1844" s="64"/>
      <c r="F1844" s="95"/>
      <c r="G1844" s="96"/>
      <c r="H1844" s="64"/>
      <c r="I1844" s="64"/>
      <c r="J1844" s="64"/>
      <c r="K1844" s="64"/>
      <c r="L1844" s="64"/>
    </row>
    <row r="1845" ht="16.5" customHeight="1">
      <c r="A1845" s="64"/>
      <c r="B1845" s="80" t="s">
        <v>18249</v>
      </c>
      <c r="C1845" s="81" t="str">
        <f>IFERROR(__xludf.DUMMYFUNCTION("""COMPUTED_VALUE"""),"michellemck0")</f>
        <v>michellemck0</v>
      </c>
      <c r="D1845" s="75">
        <f>IFERROR(__xludf.DUMMYFUNCTION("""COMPUTED_VALUE"""),0.0)</f>
        <v>0</v>
      </c>
      <c r="E1845" s="64"/>
      <c r="F1845" s="95"/>
      <c r="G1845" s="96"/>
      <c r="H1845" s="64"/>
      <c r="I1845" s="64"/>
      <c r="J1845" s="64"/>
      <c r="K1845" s="64"/>
      <c r="L1845" s="64"/>
    </row>
    <row r="1846" ht="16.5" customHeight="1">
      <c r="A1846" s="64"/>
      <c r="B1846" s="80" t="s">
        <v>18249</v>
      </c>
      <c r="C1846" s="81" t="str">
        <f>IFERROR(__xludf.DUMMYFUNCTION("""COMPUTED_VALUE"""),"micklayhe")</f>
        <v>micklayhe</v>
      </c>
      <c r="D1846" s="75">
        <f>IFERROR(__xludf.DUMMYFUNCTION("""COMPUTED_VALUE"""),0.0)</f>
        <v>0</v>
      </c>
      <c r="E1846" s="64"/>
      <c r="F1846" s="95"/>
      <c r="G1846" s="96"/>
      <c r="H1846" s="64"/>
      <c r="I1846" s="64"/>
      <c r="J1846" s="64"/>
      <c r="K1846" s="64"/>
      <c r="L1846" s="64"/>
    </row>
    <row r="1847" ht="16.5" customHeight="1">
      <c r="A1847" s="64"/>
      <c r="B1847" s="80" t="s">
        <v>18249</v>
      </c>
      <c r="C1847" s="81" t="str">
        <f>IFERROR(__xludf.DUMMYFUNCTION("""COMPUTED_VALUE"""),"mihali_ileana")</f>
        <v>mihali_ileana</v>
      </c>
      <c r="D1847" s="75">
        <f>IFERROR(__xludf.DUMMYFUNCTION("""COMPUTED_VALUE"""),0.0)</f>
        <v>0</v>
      </c>
      <c r="E1847" s="64"/>
      <c r="F1847" s="95"/>
      <c r="G1847" s="96"/>
      <c r="H1847" s="64"/>
      <c r="I1847" s="64"/>
      <c r="J1847" s="64"/>
      <c r="K1847" s="64"/>
      <c r="L1847" s="64"/>
    </row>
    <row r="1848" ht="16.5" customHeight="1">
      <c r="A1848" s="64"/>
      <c r="B1848" s="80" t="s">
        <v>18249</v>
      </c>
      <c r="C1848" s="81" t="str">
        <f>IFERROR(__xludf.DUMMYFUNCTION("""COMPUTED_VALUE"""),"mikelly65")</f>
        <v>mikelly65</v>
      </c>
      <c r="D1848" s="75">
        <f>IFERROR(__xludf.DUMMYFUNCTION("""COMPUTED_VALUE"""),0.0)</f>
        <v>0</v>
      </c>
      <c r="E1848" s="64"/>
      <c r="F1848" s="95"/>
      <c r="G1848" s="96"/>
      <c r="H1848" s="64"/>
      <c r="I1848" s="64"/>
      <c r="J1848" s="64"/>
      <c r="K1848" s="64"/>
      <c r="L1848" s="64"/>
    </row>
    <row r="1849" ht="16.5" customHeight="1">
      <c r="A1849" s="64"/>
      <c r="B1849" s="80" t="s">
        <v>18249</v>
      </c>
      <c r="C1849" s="81" t="str">
        <f>IFERROR(__xludf.DUMMYFUNCTION("""COMPUTED_VALUE"""),"mikew4EU")</f>
        <v>mikew4EU</v>
      </c>
      <c r="D1849" s="75">
        <f>IFERROR(__xludf.DUMMYFUNCTION("""COMPUTED_VALUE"""),0.0)</f>
        <v>0</v>
      </c>
      <c r="E1849" s="64"/>
      <c r="F1849" s="95"/>
      <c r="G1849" s="96"/>
      <c r="H1849" s="64"/>
      <c r="I1849" s="64"/>
      <c r="J1849" s="64"/>
      <c r="K1849" s="64"/>
      <c r="L1849" s="64"/>
    </row>
    <row r="1850" ht="16.5" customHeight="1">
      <c r="A1850" s="64"/>
      <c r="B1850" s="80" t="s">
        <v>18249</v>
      </c>
      <c r="C1850" s="81" t="str">
        <f>IFERROR(__xludf.DUMMYFUNCTION("""COMPUTED_VALUE"""),"milmolaman")</f>
        <v>milmolaman</v>
      </c>
      <c r="D1850" s="75">
        <f>IFERROR(__xludf.DUMMYFUNCTION("""COMPUTED_VALUE"""),0.0)</f>
        <v>0</v>
      </c>
      <c r="E1850" s="64"/>
      <c r="F1850" s="95"/>
      <c r="G1850" s="96"/>
      <c r="H1850" s="64"/>
      <c r="I1850" s="64"/>
      <c r="J1850" s="64"/>
      <c r="K1850" s="64"/>
      <c r="L1850" s="64"/>
    </row>
    <row r="1851" ht="16.5" customHeight="1">
      <c r="A1851" s="64"/>
      <c r="B1851" s="80" t="s">
        <v>18249</v>
      </c>
      <c r="C1851" s="81" t="str">
        <f>IFERROR(__xludf.DUMMYFUNCTION("""COMPUTED_VALUE"""),"mirandinhasteva")</f>
        <v>mirandinhasteva</v>
      </c>
      <c r="D1851" s="75">
        <f>IFERROR(__xludf.DUMMYFUNCTION("""COMPUTED_VALUE"""),0.0)</f>
        <v>0</v>
      </c>
      <c r="E1851" s="64"/>
      <c r="F1851" s="95"/>
      <c r="G1851" s="96"/>
      <c r="H1851" s="64"/>
      <c r="I1851" s="64"/>
      <c r="J1851" s="64"/>
      <c r="K1851" s="64"/>
      <c r="L1851" s="64"/>
    </row>
    <row r="1852" ht="16.5" customHeight="1">
      <c r="A1852" s="64"/>
      <c r="B1852" s="80" t="s">
        <v>18249</v>
      </c>
      <c r="C1852" s="81" t="str">
        <f>IFERROR(__xludf.DUMMYFUNCTION("""COMPUTED_VALUE"""),"missmarylikes")</f>
        <v>missmarylikes</v>
      </c>
      <c r="D1852" s="75">
        <f>IFERROR(__xludf.DUMMYFUNCTION("""COMPUTED_VALUE"""),0.0)</f>
        <v>0</v>
      </c>
      <c r="E1852" s="64"/>
      <c r="F1852" s="95"/>
      <c r="G1852" s="96"/>
      <c r="H1852" s="64"/>
      <c r="I1852" s="64"/>
      <c r="J1852" s="64"/>
      <c r="K1852" s="64"/>
      <c r="L1852" s="64"/>
    </row>
    <row r="1853" ht="16.5" customHeight="1">
      <c r="A1853" s="64"/>
      <c r="B1853" s="80" t="s">
        <v>18249</v>
      </c>
      <c r="C1853" s="81" t="str">
        <f>IFERROR(__xludf.DUMMYFUNCTION("""COMPUTED_VALUE"""),"mister_emery")</f>
        <v>mister_emery</v>
      </c>
      <c r="D1853" s="75">
        <f>IFERROR(__xludf.DUMMYFUNCTION("""COMPUTED_VALUE"""),0.0)</f>
        <v>0</v>
      </c>
      <c r="E1853" s="64"/>
      <c r="F1853" s="95"/>
      <c r="G1853" s="96"/>
      <c r="H1853" s="64"/>
      <c r="I1853" s="64"/>
      <c r="J1853" s="64"/>
      <c r="K1853" s="64"/>
      <c r="L1853" s="64"/>
    </row>
    <row r="1854" ht="16.5" customHeight="1">
      <c r="A1854" s="64"/>
      <c r="B1854" s="80" t="s">
        <v>18249</v>
      </c>
      <c r="C1854" s="81" t="str">
        <f>IFERROR(__xludf.DUMMYFUNCTION("""COMPUTED_VALUE"""),"mit1953")</f>
        <v>mit1953</v>
      </c>
      <c r="D1854" s="75">
        <f>IFERROR(__xludf.DUMMYFUNCTION("""COMPUTED_VALUE"""),0.0)</f>
        <v>0</v>
      </c>
      <c r="E1854" s="64"/>
      <c r="F1854" s="95"/>
      <c r="G1854" s="96"/>
      <c r="H1854" s="64"/>
      <c r="I1854" s="64"/>
      <c r="J1854" s="64"/>
      <c r="K1854" s="64"/>
      <c r="L1854" s="64"/>
    </row>
    <row r="1855" ht="16.5" customHeight="1">
      <c r="A1855" s="64"/>
      <c r="B1855" s="80" t="s">
        <v>18249</v>
      </c>
      <c r="C1855" s="81" t="str">
        <f>IFERROR(__xludf.DUMMYFUNCTION("""COMPUTED_VALUE"""),"mojotweets_")</f>
        <v>mojotweets_</v>
      </c>
      <c r="D1855" s="75">
        <f>IFERROR(__xludf.DUMMYFUNCTION("""COMPUTED_VALUE"""),0.0)</f>
        <v>0</v>
      </c>
      <c r="E1855" s="64"/>
      <c r="F1855" s="95"/>
      <c r="G1855" s="96"/>
      <c r="H1855" s="64"/>
      <c r="I1855" s="64"/>
      <c r="J1855" s="64"/>
      <c r="K1855" s="64"/>
      <c r="L1855" s="64"/>
    </row>
    <row r="1856" ht="16.5" customHeight="1">
      <c r="A1856" s="64"/>
      <c r="B1856" s="80" t="s">
        <v>18249</v>
      </c>
      <c r="C1856" s="81" t="str">
        <f>IFERROR(__xludf.DUMMYFUNCTION("""COMPUTED_VALUE"""),"mommabeartweets")</f>
        <v>mommabeartweets</v>
      </c>
      <c r="D1856" s="75">
        <f>IFERROR(__xludf.DUMMYFUNCTION("""COMPUTED_VALUE"""),0.0)</f>
        <v>0</v>
      </c>
      <c r="E1856" s="64"/>
      <c r="F1856" s="95"/>
      <c r="G1856" s="96"/>
      <c r="H1856" s="64"/>
      <c r="I1856" s="64"/>
      <c r="J1856" s="64"/>
      <c r="K1856" s="64"/>
      <c r="L1856" s="64"/>
    </row>
    <row r="1857" ht="16.5" customHeight="1">
      <c r="A1857" s="64"/>
      <c r="B1857" s="80" t="s">
        <v>18249</v>
      </c>
      <c r="C1857" s="81" t="str">
        <f>IFERROR(__xludf.DUMMYFUNCTION("""COMPUTED_VALUE"""),"mondonova")</f>
        <v>mondonova</v>
      </c>
      <c r="D1857" s="75">
        <f>IFERROR(__xludf.DUMMYFUNCTION("""COMPUTED_VALUE"""),0.0)</f>
        <v>0</v>
      </c>
      <c r="E1857" s="64"/>
      <c r="F1857" s="95"/>
      <c r="G1857" s="96"/>
      <c r="H1857" s="64"/>
      <c r="I1857" s="64"/>
      <c r="J1857" s="64"/>
      <c r="K1857" s="64"/>
      <c r="L1857" s="64"/>
    </row>
    <row r="1858" ht="16.5" customHeight="1">
      <c r="A1858" s="64"/>
      <c r="B1858" s="80" t="s">
        <v>18249</v>
      </c>
      <c r="C1858" s="81" t="str">
        <f>IFERROR(__xludf.DUMMYFUNCTION("""COMPUTED_VALUE"""),"moorland2")</f>
        <v>moorland2</v>
      </c>
      <c r="D1858" s="75">
        <f>IFERROR(__xludf.DUMMYFUNCTION("""COMPUTED_VALUE"""),0.0)</f>
        <v>0</v>
      </c>
      <c r="E1858" s="64"/>
      <c r="F1858" s="95"/>
      <c r="G1858" s="96"/>
      <c r="H1858" s="64"/>
      <c r="I1858" s="64"/>
      <c r="J1858" s="64"/>
      <c r="K1858" s="64"/>
      <c r="L1858" s="64"/>
    </row>
    <row r="1859" ht="16.5" customHeight="1">
      <c r="A1859" s="64"/>
      <c r="B1859" s="80" t="s">
        <v>18249</v>
      </c>
      <c r="C1859" s="81" t="str">
        <f>IFERROR(__xludf.DUMMYFUNCTION("""COMPUTED_VALUE"""),"moozersa")</f>
        <v>moozersa</v>
      </c>
      <c r="D1859" s="75">
        <f>IFERROR(__xludf.DUMMYFUNCTION("""COMPUTED_VALUE"""),0.0)</f>
        <v>0</v>
      </c>
      <c r="E1859" s="64"/>
      <c r="F1859" s="95"/>
      <c r="G1859" s="96"/>
      <c r="H1859" s="64"/>
      <c r="I1859" s="64"/>
      <c r="J1859" s="64"/>
      <c r="K1859" s="64"/>
      <c r="L1859" s="64"/>
    </row>
    <row r="1860" ht="16.5" customHeight="1">
      <c r="A1860" s="64"/>
      <c r="B1860" s="80" t="s">
        <v>18249</v>
      </c>
      <c r="C1860" s="81" t="str">
        <f>IFERROR(__xludf.DUMMYFUNCTION("""COMPUTED_VALUE"""),"morangles")</f>
        <v>morangles</v>
      </c>
      <c r="D1860" s="75">
        <f>IFERROR(__xludf.DUMMYFUNCTION("""COMPUTED_VALUE"""),0.0)</f>
        <v>0</v>
      </c>
      <c r="E1860" s="64"/>
      <c r="F1860" s="95"/>
      <c r="G1860" s="96"/>
      <c r="H1860" s="64"/>
      <c r="I1860" s="64"/>
      <c r="J1860" s="64"/>
      <c r="K1860" s="64"/>
      <c r="L1860" s="64"/>
    </row>
    <row r="1861" ht="16.5" customHeight="1">
      <c r="A1861" s="64"/>
      <c r="B1861" s="80" t="s">
        <v>18249</v>
      </c>
      <c r="C1861" s="81" t="str">
        <f>IFERROR(__xludf.DUMMYFUNCTION("""COMPUTED_VALUE"""),"morrisinator")</f>
        <v>morrisinator</v>
      </c>
      <c r="D1861" s="75">
        <f>IFERROR(__xludf.DUMMYFUNCTION("""COMPUTED_VALUE"""),0.0)</f>
        <v>0</v>
      </c>
      <c r="E1861" s="64"/>
      <c r="F1861" s="95"/>
      <c r="G1861" s="96"/>
      <c r="H1861" s="64"/>
      <c r="I1861" s="64"/>
      <c r="J1861" s="64"/>
      <c r="K1861" s="64"/>
      <c r="L1861" s="64"/>
    </row>
    <row r="1862" ht="16.5" customHeight="1">
      <c r="A1862" s="64"/>
      <c r="B1862" s="80" t="s">
        <v>18249</v>
      </c>
      <c r="C1862" s="81" t="str">
        <f>IFERROR(__xludf.DUMMYFUNCTION("""COMPUTED_VALUE"""),"mpfeldhoff")</f>
        <v>mpfeldhoff</v>
      </c>
      <c r="D1862" s="75">
        <f>IFERROR(__xludf.DUMMYFUNCTION("""COMPUTED_VALUE"""),0.0)</f>
        <v>0</v>
      </c>
      <c r="E1862" s="64"/>
      <c r="F1862" s="95"/>
      <c r="G1862" s="96"/>
      <c r="H1862" s="64"/>
      <c r="I1862" s="64"/>
      <c r="J1862" s="64"/>
      <c r="K1862" s="64"/>
      <c r="L1862" s="64"/>
    </row>
    <row r="1863" ht="16.5" customHeight="1">
      <c r="A1863" s="64"/>
      <c r="B1863" s="80" t="s">
        <v>18249</v>
      </c>
      <c r="C1863" s="81" t="str">
        <f>IFERROR(__xludf.DUMMYFUNCTION("""COMPUTED_VALUE"""),"mramanna")</f>
        <v>mramanna</v>
      </c>
      <c r="D1863" s="75">
        <f>IFERROR(__xludf.DUMMYFUNCTION("""COMPUTED_VALUE"""),0.0)</f>
        <v>0</v>
      </c>
      <c r="E1863" s="64"/>
      <c r="F1863" s="95"/>
      <c r="G1863" s="96"/>
      <c r="H1863" s="64"/>
      <c r="I1863" s="64"/>
      <c r="J1863" s="64"/>
      <c r="K1863" s="64"/>
      <c r="L1863" s="64"/>
    </row>
    <row r="1864" ht="16.5" customHeight="1">
      <c r="A1864" s="64"/>
      <c r="B1864" s="80" t="s">
        <v>18249</v>
      </c>
      <c r="C1864" s="81" t="str">
        <f>IFERROR(__xludf.DUMMYFUNCTION("""COMPUTED_VALUE"""),"mrggibson")</f>
        <v>mrggibson</v>
      </c>
      <c r="D1864" s="75">
        <f>IFERROR(__xludf.DUMMYFUNCTION("""COMPUTED_VALUE"""),0.0)</f>
        <v>0</v>
      </c>
      <c r="E1864" s="64"/>
      <c r="F1864" s="95"/>
      <c r="G1864" s="96"/>
      <c r="H1864" s="64"/>
      <c r="I1864" s="64"/>
      <c r="J1864" s="64"/>
      <c r="K1864" s="64"/>
      <c r="L1864" s="64"/>
    </row>
    <row r="1865" ht="16.5" customHeight="1">
      <c r="A1865" s="64"/>
      <c r="B1865" s="80" t="s">
        <v>18249</v>
      </c>
      <c r="C1865" s="81" t="str">
        <f>IFERROR(__xludf.DUMMYFUNCTION("""COMPUTED_VALUE"""),"mrsluc")</f>
        <v>mrsluc</v>
      </c>
      <c r="D1865" s="75">
        <f>IFERROR(__xludf.DUMMYFUNCTION("""COMPUTED_VALUE"""),0.0)</f>
        <v>0</v>
      </c>
      <c r="E1865" s="64"/>
      <c r="F1865" s="95"/>
      <c r="G1865" s="96"/>
      <c r="H1865" s="64"/>
      <c r="I1865" s="64"/>
      <c r="J1865" s="64"/>
      <c r="K1865" s="64"/>
      <c r="L1865" s="64"/>
    </row>
    <row r="1866" ht="16.5" customHeight="1">
      <c r="A1866" s="64"/>
      <c r="B1866" s="80" t="s">
        <v>18249</v>
      </c>
      <c r="C1866" s="81" t="str">
        <f>IFERROR(__xludf.DUMMYFUNCTION("""COMPUTED_VALUE"""),"mrundkvist")</f>
        <v>mrundkvist</v>
      </c>
      <c r="D1866" s="75">
        <f>IFERROR(__xludf.DUMMYFUNCTION("""COMPUTED_VALUE"""),0.0)</f>
        <v>0</v>
      </c>
      <c r="E1866" s="64"/>
      <c r="F1866" s="95"/>
      <c r="G1866" s="96"/>
      <c r="H1866" s="64"/>
      <c r="I1866" s="64"/>
      <c r="J1866" s="64"/>
      <c r="K1866" s="64"/>
      <c r="L1866" s="64"/>
    </row>
    <row r="1867" ht="16.5" customHeight="1">
      <c r="A1867" s="64"/>
      <c r="B1867" s="80" t="s">
        <v>18249</v>
      </c>
      <c r="C1867" s="81" t="str">
        <f>IFERROR(__xludf.DUMMYFUNCTION("""COMPUTED_VALUE"""),"mry_stcy")</f>
        <v>mry_stcy</v>
      </c>
      <c r="D1867" s="75">
        <f>IFERROR(__xludf.DUMMYFUNCTION("""COMPUTED_VALUE"""),0.0)</f>
        <v>0</v>
      </c>
      <c r="E1867" s="64"/>
      <c r="F1867" s="95"/>
      <c r="G1867" s="96"/>
      <c r="H1867" s="64"/>
      <c r="I1867" s="64"/>
      <c r="J1867" s="64"/>
      <c r="K1867" s="64"/>
      <c r="L1867" s="64"/>
    </row>
    <row r="1868" ht="16.5" customHeight="1">
      <c r="A1868" s="64"/>
      <c r="B1868" s="80" t="s">
        <v>18249</v>
      </c>
      <c r="C1868" s="81" t="str">
        <f>IFERROR(__xludf.DUMMYFUNCTION("""COMPUTED_VALUE"""),"mtbrown54")</f>
        <v>mtbrown54</v>
      </c>
      <c r="D1868" s="75">
        <f>IFERROR(__xludf.DUMMYFUNCTION("""COMPUTED_VALUE"""),0.0)</f>
        <v>0</v>
      </c>
      <c r="E1868" s="64"/>
      <c r="F1868" s="95"/>
      <c r="G1868" s="96"/>
      <c r="H1868" s="64"/>
      <c r="I1868" s="64"/>
      <c r="J1868" s="64"/>
      <c r="K1868" s="64"/>
      <c r="L1868" s="64"/>
    </row>
    <row r="1869" ht="16.5" customHeight="1">
      <c r="A1869" s="64"/>
      <c r="B1869" s="80" t="s">
        <v>18249</v>
      </c>
      <c r="C1869" s="81" t="str">
        <f>IFERROR(__xludf.DUMMYFUNCTION("""COMPUTED_VALUE"""),"muddlinleigh")</f>
        <v>muddlinleigh</v>
      </c>
      <c r="D1869" s="75">
        <f>IFERROR(__xludf.DUMMYFUNCTION("""COMPUTED_VALUE"""),0.0)</f>
        <v>0</v>
      </c>
      <c r="E1869" s="64"/>
      <c r="F1869" s="95"/>
      <c r="G1869" s="96"/>
      <c r="H1869" s="64"/>
      <c r="I1869" s="64"/>
      <c r="J1869" s="64"/>
      <c r="K1869" s="64"/>
      <c r="L1869" s="64"/>
    </row>
    <row r="1870" ht="16.5" customHeight="1">
      <c r="A1870" s="64"/>
      <c r="B1870" s="80" t="s">
        <v>18249</v>
      </c>
      <c r="C1870" s="81" t="str">
        <f>IFERROR(__xludf.DUMMYFUNCTION("""COMPUTED_VALUE"""),"muir1966")</f>
        <v>muir1966</v>
      </c>
      <c r="D1870" s="75">
        <f>IFERROR(__xludf.DUMMYFUNCTION("""COMPUTED_VALUE"""),0.0)</f>
        <v>0</v>
      </c>
      <c r="E1870" s="64"/>
      <c r="F1870" s="95"/>
      <c r="G1870" s="96"/>
      <c r="H1870" s="64"/>
      <c r="I1870" s="64"/>
      <c r="J1870" s="64"/>
      <c r="K1870" s="64"/>
      <c r="L1870" s="64"/>
    </row>
    <row r="1871" ht="16.5" customHeight="1">
      <c r="A1871" s="64"/>
      <c r="B1871" s="80" t="s">
        <v>18249</v>
      </c>
      <c r="C1871" s="81" t="str">
        <f>IFERROR(__xludf.DUMMYFUNCTION("""COMPUTED_VALUE"""),"multigums")</f>
        <v>multigums</v>
      </c>
      <c r="D1871" s="75">
        <f>IFERROR(__xludf.DUMMYFUNCTION("""COMPUTED_VALUE"""),0.0)</f>
        <v>0</v>
      </c>
      <c r="E1871" s="64"/>
      <c r="F1871" s="95"/>
      <c r="G1871" s="96"/>
      <c r="H1871" s="64"/>
      <c r="I1871" s="64"/>
      <c r="J1871" s="64"/>
      <c r="K1871" s="64"/>
      <c r="L1871" s="64"/>
    </row>
    <row r="1872" ht="16.5" customHeight="1">
      <c r="A1872" s="64"/>
      <c r="B1872" s="80" t="s">
        <v>18249</v>
      </c>
      <c r="C1872" s="81" t="str">
        <f>IFERROR(__xludf.DUMMYFUNCTION("""COMPUTED_VALUE"""),"muttleyarsenal9")</f>
        <v>muttleyarsenal9</v>
      </c>
      <c r="D1872" s="75">
        <f>IFERROR(__xludf.DUMMYFUNCTION("""COMPUTED_VALUE"""),0.0)</f>
        <v>0</v>
      </c>
      <c r="E1872" s="64"/>
      <c r="F1872" s="95"/>
      <c r="G1872" s="96"/>
      <c r="H1872" s="64"/>
      <c r="I1872" s="64"/>
      <c r="J1872" s="64"/>
      <c r="K1872" s="64"/>
      <c r="L1872" s="64"/>
    </row>
    <row r="1873" ht="16.5" customHeight="1">
      <c r="A1873" s="64"/>
      <c r="B1873" s="80" t="s">
        <v>18249</v>
      </c>
      <c r="C1873" s="81" t="str">
        <f>IFERROR(__xludf.DUMMYFUNCTION("""COMPUTED_VALUE"""),"mwatsonlux")</f>
        <v>mwatsonlux</v>
      </c>
      <c r="D1873" s="75">
        <f>IFERROR(__xludf.DUMMYFUNCTION("""COMPUTED_VALUE"""),0.0)</f>
        <v>0</v>
      </c>
      <c r="E1873" s="64"/>
      <c r="F1873" s="95"/>
      <c r="G1873" s="96"/>
      <c r="H1873" s="64"/>
      <c r="I1873" s="64"/>
      <c r="J1873" s="64"/>
      <c r="K1873" s="64"/>
      <c r="L1873" s="64"/>
    </row>
    <row r="1874" ht="16.5" customHeight="1">
      <c r="A1874" s="64"/>
      <c r="B1874" s="80" t="s">
        <v>18249</v>
      </c>
      <c r="C1874" s="81" t="str">
        <f>IFERROR(__xludf.DUMMYFUNCTION("""COMPUTED_VALUE"""),"mwrddrwg")</f>
        <v>mwrddrwg</v>
      </c>
      <c r="D1874" s="75">
        <f>IFERROR(__xludf.DUMMYFUNCTION("""COMPUTED_VALUE"""),0.0)</f>
        <v>0</v>
      </c>
      <c r="E1874" s="64"/>
      <c r="F1874" s="95"/>
      <c r="G1874" s="96"/>
      <c r="H1874" s="64"/>
      <c r="I1874" s="64"/>
      <c r="J1874" s="64"/>
      <c r="K1874" s="64"/>
      <c r="L1874" s="64"/>
    </row>
    <row r="1875" ht="16.5" customHeight="1">
      <c r="A1875" s="64"/>
      <c r="B1875" s="80" t="s">
        <v>18249</v>
      </c>
      <c r="C1875" s="81" t="str">
        <f>IFERROR(__xludf.DUMMYFUNCTION("""COMPUTED_VALUE"""),"mylovelyhorsie")</f>
        <v>mylovelyhorsie</v>
      </c>
      <c r="D1875" s="75">
        <f>IFERROR(__xludf.DUMMYFUNCTION("""COMPUTED_VALUE"""),0.0)</f>
        <v>0</v>
      </c>
      <c r="E1875" s="64"/>
      <c r="F1875" s="95"/>
      <c r="G1875" s="96"/>
      <c r="H1875" s="64"/>
      <c r="I1875" s="64"/>
      <c r="J1875" s="64"/>
      <c r="K1875" s="64"/>
      <c r="L1875" s="64"/>
    </row>
    <row r="1876" ht="16.5" customHeight="1">
      <c r="A1876" s="64"/>
      <c r="B1876" s="80" t="s">
        <v>18249</v>
      </c>
      <c r="C1876" s="81" t="str">
        <f>IFERROR(__xludf.DUMMYFUNCTION("""COMPUTED_VALUE"""),"mywonderfulbest")</f>
        <v>mywonderfulbest</v>
      </c>
      <c r="D1876" s="75">
        <f>IFERROR(__xludf.DUMMYFUNCTION("""COMPUTED_VALUE"""),0.0)</f>
        <v>0</v>
      </c>
      <c r="E1876" s="64"/>
      <c r="F1876" s="95"/>
      <c r="G1876" s="96"/>
      <c r="H1876" s="64"/>
      <c r="I1876" s="64"/>
      <c r="J1876" s="64"/>
      <c r="K1876" s="64"/>
      <c r="L1876" s="64"/>
    </row>
    <row r="1877" ht="16.5" customHeight="1">
      <c r="A1877" s="64"/>
      <c r="B1877" s="80" t="s">
        <v>18249</v>
      </c>
      <c r="C1877" s="81" t="str">
        <f>IFERROR(__xludf.DUMMYFUNCTION("""COMPUTED_VALUE"""),"n0_kidding_")</f>
        <v>n0_kidding_</v>
      </c>
      <c r="D1877" s="75">
        <f>IFERROR(__xludf.DUMMYFUNCTION("""COMPUTED_VALUE"""),0.0)</f>
        <v>0</v>
      </c>
      <c r="E1877" s="64"/>
      <c r="F1877" s="95"/>
      <c r="G1877" s="96"/>
      <c r="H1877" s="64"/>
      <c r="I1877" s="64"/>
      <c r="J1877" s="64"/>
      <c r="K1877" s="64"/>
      <c r="L1877" s="64"/>
    </row>
    <row r="1878" ht="16.5" customHeight="1">
      <c r="A1878" s="64"/>
      <c r="B1878" s="80" t="s">
        <v>18249</v>
      </c>
      <c r="C1878" s="81" t="str">
        <f>IFERROR(__xludf.DUMMYFUNCTION("""COMPUTED_VALUE"""),"nadjabossmann")</f>
        <v>nadjabossmann</v>
      </c>
      <c r="D1878" s="75">
        <f>IFERROR(__xludf.DUMMYFUNCTION("""COMPUTED_VALUE"""),0.0)</f>
        <v>0</v>
      </c>
      <c r="E1878" s="64"/>
      <c r="F1878" s="95"/>
      <c r="G1878" s="96"/>
      <c r="H1878" s="64"/>
      <c r="I1878" s="64"/>
      <c r="J1878" s="64"/>
      <c r="K1878" s="64"/>
      <c r="L1878" s="64"/>
    </row>
    <row r="1879" ht="16.5" customHeight="1">
      <c r="A1879" s="64"/>
      <c r="B1879" s="80" t="s">
        <v>18249</v>
      </c>
      <c r="C1879" s="81" t="str">
        <f>IFERROR(__xludf.DUMMYFUNCTION("""COMPUTED_VALUE"""),"nbrooks1984")</f>
        <v>nbrooks1984</v>
      </c>
      <c r="D1879" s="75">
        <f>IFERROR(__xludf.DUMMYFUNCTION("""COMPUTED_VALUE"""),0.0)</f>
        <v>0</v>
      </c>
      <c r="E1879" s="64"/>
      <c r="F1879" s="95"/>
      <c r="G1879" s="96"/>
      <c r="H1879" s="64"/>
      <c r="I1879" s="64"/>
      <c r="J1879" s="64"/>
      <c r="K1879" s="64"/>
      <c r="L1879" s="64"/>
    </row>
    <row r="1880" ht="16.5" customHeight="1">
      <c r="A1880" s="64"/>
      <c r="B1880" s="80" t="s">
        <v>18249</v>
      </c>
      <c r="C1880" s="81" t="str">
        <f>IFERROR(__xludf.DUMMYFUNCTION("""COMPUTED_VALUE"""),"nearspaceman")</f>
        <v>nearspaceman</v>
      </c>
      <c r="D1880" s="75">
        <f>IFERROR(__xludf.DUMMYFUNCTION("""COMPUTED_VALUE"""),0.0)</f>
        <v>0</v>
      </c>
      <c r="E1880" s="64"/>
      <c r="F1880" s="95"/>
      <c r="G1880" s="96"/>
      <c r="H1880" s="64"/>
      <c r="I1880" s="64"/>
      <c r="J1880" s="64"/>
      <c r="K1880" s="64"/>
      <c r="L1880" s="64"/>
    </row>
    <row r="1881" ht="16.5" customHeight="1">
      <c r="A1881" s="64"/>
      <c r="B1881" s="80" t="s">
        <v>18249</v>
      </c>
      <c r="C1881" s="81" t="str">
        <f>IFERROR(__xludf.DUMMYFUNCTION("""COMPUTED_VALUE"""),"neighbour_kx")</f>
        <v>neighbour_kx</v>
      </c>
      <c r="D1881" s="75">
        <f>IFERROR(__xludf.DUMMYFUNCTION("""COMPUTED_VALUE"""),0.0)</f>
        <v>0</v>
      </c>
      <c r="E1881" s="64"/>
      <c r="F1881" s="95"/>
      <c r="G1881" s="96"/>
      <c r="H1881" s="64"/>
      <c r="I1881" s="64"/>
      <c r="J1881" s="64"/>
      <c r="K1881" s="64"/>
      <c r="L1881" s="64"/>
    </row>
    <row r="1882" ht="16.5" customHeight="1">
      <c r="A1882" s="64"/>
      <c r="B1882" s="80" t="s">
        <v>18249</v>
      </c>
      <c r="C1882" s="81" t="str">
        <f>IFERROR(__xludf.DUMMYFUNCTION("""COMPUTED_VALUE"""),"neilatembark")</f>
        <v>neilatembark</v>
      </c>
      <c r="D1882" s="75">
        <f>IFERROR(__xludf.DUMMYFUNCTION("""COMPUTED_VALUE"""),0.0)</f>
        <v>0</v>
      </c>
      <c r="E1882" s="64"/>
      <c r="F1882" s="95"/>
      <c r="G1882" s="96"/>
      <c r="H1882" s="64"/>
      <c r="I1882" s="64"/>
      <c r="J1882" s="64"/>
      <c r="K1882" s="64"/>
      <c r="L1882" s="64"/>
    </row>
    <row r="1883" ht="16.5" customHeight="1">
      <c r="A1883" s="64"/>
      <c r="B1883" s="80" t="s">
        <v>18249</v>
      </c>
      <c r="C1883" s="81" t="str">
        <f>IFERROR(__xludf.DUMMYFUNCTION("""COMPUTED_VALUE"""),"neilehoward1962")</f>
        <v>neilehoward1962</v>
      </c>
      <c r="D1883" s="75">
        <f>IFERROR(__xludf.DUMMYFUNCTION("""COMPUTED_VALUE"""),0.0)</f>
        <v>0</v>
      </c>
      <c r="E1883" s="64"/>
      <c r="F1883" s="95"/>
      <c r="G1883" s="96"/>
      <c r="H1883" s="64"/>
      <c r="I1883" s="64"/>
      <c r="J1883" s="64"/>
      <c r="K1883" s="64"/>
      <c r="L1883" s="64"/>
    </row>
    <row r="1884" ht="16.5" customHeight="1">
      <c r="A1884" s="64"/>
      <c r="B1884" s="80" t="s">
        <v>18249</v>
      </c>
      <c r="C1884" s="81" t="str">
        <f>IFERROR(__xludf.DUMMYFUNCTION("""COMPUTED_VALUE"""),"neill4_neill")</f>
        <v>neill4_neill</v>
      </c>
      <c r="D1884" s="75">
        <f>IFERROR(__xludf.DUMMYFUNCTION("""COMPUTED_VALUE"""),0.0)</f>
        <v>0</v>
      </c>
      <c r="E1884" s="64"/>
      <c r="F1884" s="95"/>
      <c r="G1884" s="96"/>
      <c r="H1884" s="64"/>
      <c r="I1884" s="64"/>
      <c r="J1884" s="64"/>
      <c r="K1884" s="64"/>
      <c r="L1884" s="64"/>
    </row>
    <row r="1885" ht="16.5" customHeight="1">
      <c r="A1885" s="64"/>
      <c r="B1885" s="80" t="s">
        <v>18249</v>
      </c>
      <c r="C1885" s="81" t="str">
        <f>IFERROR(__xludf.DUMMYFUNCTION("""COMPUTED_VALUE"""),"nellwriter16")</f>
        <v>nellwriter16</v>
      </c>
      <c r="D1885" s="75">
        <f>IFERROR(__xludf.DUMMYFUNCTION("""COMPUTED_VALUE"""),0.0)</f>
        <v>0</v>
      </c>
      <c r="E1885" s="64"/>
      <c r="F1885" s="95"/>
      <c r="G1885" s="96"/>
      <c r="H1885" s="64"/>
      <c r="I1885" s="64"/>
      <c r="J1885" s="64"/>
      <c r="K1885" s="64"/>
      <c r="L1885" s="64"/>
    </row>
    <row r="1886" ht="16.5" customHeight="1">
      <c r="A1886" s="64"/>
      <c r="B1886" s="80" t="s">
        <v>18249</v>
      </c>
      <c r="C1886" s="81" t="str">
        <f>IFERROR(__xludf.DUMMYFUNCTION("""COMPUTED_VALUE"""),"nerans1")</f>
        <v>nerans1</v>
      </c>
      <c r="D1886" s="75">
        <f>IFERROR(__xludf.DUMMYFUNCTION("""COMPUTED_VALUE"""),0.0)</f>
        <v>0</v>
      </c>
      <c r="E1886" s="64"/>
      <c r="F1886" s="95"/>
      <c r="G1886" s="96"/>
      <c r="H1886" s="64"/>
      <c r="I1886" s="64"/>
      <c r="J1886" s="64"/>
      <c r="K1886" s="64"/>
      <c r="L1886" s="64"/>
    </row>
    <row r="1887" ht="16.5" customHeight="1">
      <c r="A1887" s="64"/>
      <c r="B1887" s="80" t="s">
        <v>18249</v>
      </c>
      <c r="C1887" s="81" t="str">
        <f>IFERROR(__xludf.DUMMYFUNCTION("""COMPUTED_VALUE"""),"newmeadowsgap")</f>
        <v>newmeadowsgap</v>
      </c>
      <c r="D1887" s="75">
        <f>IFERROR(__xludf.DUMMYFUNCTION("""COMPUTED_VALUE"""),0.0)</f>
        <v>0</v>
      </c>
      <c r="E1887" s="64"/>
      <c r="F1887" s="95"/>
      <c r="G1887" s="96"/>
      <c r="H1887" s="64"/>
      <c r="I1887" s="64"/>
      <c r="J1887" s="64"/>
      <c r="K1887" s="64"/>
      <c r="L1887" s="64"/>
    </row>
    <row r="1888" ht="16.5" customHeight="1">
      <c r="A1888" s="64"/>
      <c r="B1888" s="80" t="s">
        <v>18249</v>
      </c>
      <c r="C1888" s="81" t="str">
        <f>IFERROR(__xludf.DUMMYFUNCTION("""COMPUTED_VALUE"""),"newswatch4u")</f>
        <v>newswatch4u</v>
      </c>
      <c r="D1888" s="75">
        <f>IFERROR(__xludf.DUMMYFUNCTION("""COMPUTED_VALUE"""),0.0)</f>
        <v>0</v>
      </c>
      <c r="E1888" s="64"/>
      <c r="F1888" s="95"/>
      <c r="G1888" s="96"/>
      <c r="H1888" s="64"/>
      <c r="I1888" s="64"/>
      <c r="J1888" s="64"/>
      <c r="K1888" s="64"/>
      <c r="L1888" s="64"/>
    </row>
    <row r="1889" ht="16.5" customHeight="1">
      <c r="A1889" s="64"/>
      <c r="B1889" s="80" t="s">
        <v>18249</v>
      </c>
      <c r="C1889" s="81" t="str">
        <f>IFERROR(__xludf.DUMMYFUNCTION("""COMPUTED_VALUE"""),"nick_0971")</f>
        <v>nick_0971</v>
      </c>
      <c r="D1889" s="75">
        <f>IFERROR(__xludf.DUMMYFUNCTION("""COMPUTED_VALUE"""),0.0)</f>
        <v>0</v>
      </c>
      <c r="E1889" s="64"/>
      <c r="F1889" s="95"/>
      <c r="G1889" s="96"/>
      <c r="H1889" s="64"/>
      <c r="I1889" s="64"/>
      <c r="J1889" s="64"/>
      <c r="K1889" s="64"/>
      <c r="L1889" s="64"/>
    </row>
    <row r="1890" ht="16.5" customHeight="1">
      <c r="A1890" s="64"/>
      <c r="B1890" s="80" t="s">
        <v>18249</v>
      </c>
      <c r="C1890" s="81" t="str">
        <f>IFERROR(__xludf.DUMMYFUNCTION("""COMPUTED_VALUE"""),"nickposford")</f>
        <v>nickposford</v>
      </c>
      <c r="D1890" s="75">
        <f>IFERROR(__xludf.DUMMYFUNCTION("""COMPUTED_VALUE"""),0.0)</f>
        <v>0</v>
      </c>
      <c r="E1890" s="64"/>
      <c r="F1890" s="95"/>
      <c r="G1890" s="96"/>
      <c r="H1890" s="64"/>
      <c r="I1890" s="64"/>
      <c r="J1890" s="64"/>
      <c r="K1890" s="64"/>
      <c r="L1890" s="64"/>
    </row>
    <row r="1891" ht="16.5" customHeight="1">
      <c r="A1891" s="64"/>
      <c r="B1891" s="80" t="s">
        <v>18249</v>
      </c>
      <c r="C1891" s="81" t="str">
        <f>IFERROR(__xludf.DUMMYFUNCTION("""COMPUTED_VALUE"""),"nickraybaker")</f>
        <v>nickraybaker</v>
      </c>
      <c r="D1891" s="75">
        <f>IFERROR(__xludf.DUMMYFUNCTION("""COMPUTED_VALUE"""),0.0)</f>
        <v>0</v>
      </c>
      <c r="E1891" s="64"/>
      <c r="F1891" s="95"/>
      <c r="G1891" s="96"/>
      <c r="H1891" s="64"/>
      <c r="I1891" s="64"/>
      <c r="J1891" s="64"/>
      <c r="K1891" s="64"/>
      <c r="L1891" s="64"/>
    </row>
    <row r="1892" ht="16.5" customHeight="1">
      <c r="A1892" s="64"/>
      <c r="B1892" s="80" t="s">
        <v>18249</v>
      </c>
      <c r="C1892" s="81" t="str">
        <f>IFERROR(__xludf.DUMMYFUNCTION("""COMPUTED_VALUE"""),"nickymonkey")</f>
        <v>nickymonkey</v>
      </c>
      <c r="D1892" s="75">
        <f>IFERROR(__xludf.DUMMYFUNCTION("""COMPUTED_VALUE"""),0.0)</f>
        <v>0</v>
      </c>
      <c r="E1892" s="64"/>
      <c r="F1892" s="95"/>
      <c r="G1892" s="96"/>
      <c r="H1892" s="64"/>
      <c r="I1892" s="64"/>
      <c r="J1892" s="64"/>
      <c r="K1892" s="64"/>
      <c r="L1892" s="64"/>
    </row>
    <row r="1893" ht="16.5" customHeight="1">
      <c r="A1893" s="64"/>
      <c r="B1893" s="80" t="s">
        <v>18249</v>
      </c>
      <c r="C1893" s="81" t="str">
        <f>IFERROR(__xludf.DUMMYFUNCTION("""COMPUTED_VALUE"""),"nicnacpaddi")</f>
        <v>nicnacpaddi</v>
      </c>
      <c r="D1893" s="75">
        <f>IFERROR(__xludf.DUMMYFUNCTION("""COMPUTED_VALUE"""),0.0)</f>
        <v>0</v>
      </c>
      <c r="E1893" s="64"/>
      <c r="F1893" s="95"/>
      <c r="G1893" s="96"/>
      <c r="H1893" s="64"/>
      <c r="I1893" s="64"/>
      <c r="J1893" s="64"/>
      <c r="K1893" s="64"/>
      <c r="L1893" s="64"/>
    </row>
    <row r="1894" ht="16.5" customHeight="1">
      <c r="A1894" s="64"/>
      <c r="B1894" s="80" t="s">
        <v>18249</v>
      </c>
      <c r="C1894" s="81" t="str">
        <f>IFERROR(__xludf.DUMMYFUNCTION("""COMPUTED_VALUE"""),"nigethugrug")</f>
        <v>nigethugrug</v>
      </c>
      <c r="D1894" s="75">
        <f>IFERROR(__xludf.DUMMYFUNCTION("""COMPUTED_VALUE"""),0.0)</f>
        <v>0</v>
      </c>
      <c r="E1894" s="64"/>
      <c r="F1894" s="95"/>
      <c r="G1894" s="96"/>
      <c r="H1894" s="64"/>
      <c r="I1894" s="64"/>
      <c r="J1894" s="64"/>
      <c r="K1894" s="64"/>
      <c r="L1894" s="64"/>
    </row>
    <row r="1895" ht="16.5" customHeight="1">
      <c r="A1895" s="64"/>
      <c r="B1895" s="80" t="s">
        <v>18249</v>
      </c>
      <c r="C1895" s="81" t="str">
        <f>IFERROR(__xludf.DUMMYFUNCTION("""COMPUTED_VALUE"""),"nighthawkgeoff")</f>
        <v>nighthawkgeoff</v>
      </c>
      <c r="D1895" s="75">
        <f>IFERROR(__xludf.DUMMYFUNCTION("""COMPUTED_VALUE"""),0.0)</f>
        <v>0</v>
      </c>
      <c r="E1895" s="64"/>
      <c r="F1895" s="95"/>
      <c r="G1895" s="96"/>
      <c r="H1895" s="64"/>
      <c r="I1895" s="64"/>
      <c r="J1895" s="64"/>
      <c r="K1895" s="64"/>
      <c r="L1895" s="64"/>
    </row>
    <row r="1896" ht="16.5" customHeight="1">
      <c r="A1896" s="64"/>
      <c r="B1896" s="80" t="s">
        <v>18249</v>
      </c>
      <c r="C1896" s="81" t="str">
        <f>IFERROR(__xludf.DUMMYFUNCTION("""COMPUTED_VALUE"""),"nilocski")</f>
        <v>nilocski</v>
      </c>
      <c r="D1896" s="75">
        <f>IFERROR(__xludf.DUMMYFUNCTION("""COMPUTED_VALUE"""),0.0)</f>
        <v>0</v>
      </c>
      <c r="E1896" s="64"/>
      <c r="F1896" s="95"/>
      <c r="G1896" s="96"/>
      <c r="H1896" s="64"/>
      <c r="I1896" s="64"/>
      <c r="J1896" s="64"/>
      <c r="K1896" s="64"/>
      <c r="L1896" s="64"/>
    </row>
    <row r="1897" ht="16.5" customHeight="1">
      <c r="A1897" s="64"/>
      <c r="B1897" s="80" t="s">
        <v>18249</v>
      </c>
      <c r="C1897" s="81" t="str">
        <f>IFERROR(__xludf.DUMMYFUNCTION("""COMPUTED_VALUE"""),"nina_williamson")</f>
        <v>nina_williamson</v>
      </c>
      <c r="D1897" s="75">
        <f>IFERROR(__xludf.DUMMYFUNCTION("""COMPUTED_VALUE"""),0.0)</f>
        <v>0</v>
      </c>
      <c r="E1897" s="64"/>
      <c r="F1897" s="95"/>
      <c r="G1897" s="96"/>
      <c r="H1897" s="64"/>
      <c r="I1897" s="64"/>
      <c r="J1897" s="64"/>
      <c r="K1897" s="64"/>
      <c r="L1897" s="64"/>
    </row>
    <row r="1898" ht="16.5" customHeight="1">
      <c r="A1898" s="64"/>
      <c r="B1898" s="80" t="s">
        <v>18249</v>
      </c>
      <c r="C1898" s="81" t="str">
        <f>IFERROR(__xludf.DUMMYFUNCTION("""COMPUTED_VALUE"""),"nippa1212")</f>
        <v>nippa1212</v>
      </c>
      <c r="D1898" s="75">
        <f>IFERROR(__xludf.DUMMYFUNCTION("""COMPUTED_VALUE"""),0.0)</f>
        <v>0</v>
      </c>
      <c r="E1898" s="64"/>
      <c r="F1898" s="95"/>
      <c r="G1898" s="96"/>
      <c r="H1898" s="64"/>
      <c r="I1898" s="64"/>
      <c r="J1898" s="64"/>
      <c r="K1898" s="64"/>
      <c r="L1898" s="64"/>
    </row>
    <row r="1899" ht="16.5" customHeight="1">
      <c r="A1899" s="64"/>
      <c r="B1899" s="80" t="s">
        <v>18249</v>
      </c>
      <c r="C1899" s="81" t="str">
        <f>IFERROR(__xludf.DUMMYFUNCTION("""COMPUTED_VALUE"""),"nirobe96")</f>
        <v>nirobe96</v>
      </c>
      <c r="D1899" s="75">
        <f>IFERROR(__xludf.DUMMYFUNCTION("""COMPUTED_VALUE"""),0.0)</f>
        <v>0</v>
      </c>
      <c r="E1899" s="64"/>
      <c r="F1899" s="95"/>
      <c r="G1899" s="96"/>
      <c r="H1899" s="64"/>
      <c r="I1899" s="64"/>
      <c r="J1899" s="64"/>
      <c r="K1899" s="64"/>
      <c r="L1899" s="64"/>
    </row>
    <row r="1900" ht="16.5" customHeight="1">
      <c r="A1900" s="64"/>
      <c r="B1900" s="80" t="s">
        <v>18249</v>
      </c>
      <c r="C1900" s="81" t="str">
        <f>IFERROR(__xludf.DUMMYFUNCTION("""COMPUTED_VALUE"""),"no1lolo")</f>
        <v>no1lolo</v>
      </c>
      <c r="D1900" s="75">
        <f>IFERROR(__xludf.DUMMYFUNCTION("""COMPUTED_VALUE"""),0.0)</f>
        <v>0</v>
      </c>
      <c r="E1900" s="64"/>
      <c r="F1900" s="95"/>
      <c r="G1900" s="96"/>
      <c r="H1900" s="64"/>
      <c r="I1900" s="64"/>
      <c r="J1900" s="64"/>
      <c r="K1900" s="64"/>
      <c r="L1900" s="64"/>
    </row>
    <row r="1901" ht="16.5" customHeight="1">
      <c r="A1901" s="64"/>
      <c r="B1901" s="80" t="s">
        <v>18249</v>
      </c>
      <c r="C1901" s="81" t="str">
        <f>IFERROR(__xludf.DUMMYFUNCTION("""COMPUTED_VALUE"""),"nomorequangos")</f>
        <v>nomorequangos</v>
      </c>
      <c r="D1901" s="75">
        <f>IFERROR(__xludf.DUMMYFUNCTION("""COMPUTED_VALUE"""),0.0)</f>
        <v>0</v>
      </c>
      <c r="E1901" s="64"/>
      <c r="F1901" s="95"/>
      <c r="G1901" s="96"/>
      <c r="H1901" s="64"/>
      <c r="I1901" s="64"/>
      <c r="J1901" s="64"/>
      <c r="K1901" s="64"/>
      <c r="L1901" s="64"/>
    </row>
    <row r="1902" ht="16.5" customHeight="1">
      <c r="A1902" s="64"/>
      <c r="B1902" s="80" t="s">
        <v>18249</v>
      </c>
      <c r="C1902" s="81" t="str">
        <f>IFERROR(__xludf.DUMMYFUNCTION("""COMPUTED_VALUE"""),"noniehorsman")</f>
        <v>noniehorsman</v>
      </c>
      <c r="D1902" s="75">
        <f>IFERROR(__xludf.DUMMYFUNCTION("""COMPUTED_VALUE"""),0.0)</f>
        <v>0</v>
      </c>
      <c r="E1902" s="64"/>
      <c r="F1902" s="95"/>
      <c r="G1902" s="96"/>
      <c r="H1902" s="64"/>
      <c r="I1902" s="64"/>
      <c r="J1902" s="64"/>
      <c r="K1902" s="64"/>
      <c r="L1902" s="64"/>
    </row>
    <row r="1903" ht="16.5" customHeight="1">
      <c r="A1903" s="64"/>
      <c r="B1903" s="80" t="s">
        <v>18249</v>
      </c>
      <c r="C1903" s="81" t="str">
        <f>IFERROR(__xludf.DUMMYFUNCTION("""COMPUTED_VALUE"""),"noreent1234")</f>
        <v>noreent1234</v>
      </c>
      <c r="D1903" s="75">
        <f>IFERROR(__xludf.DUMMYFUNCTION("""COMPUTED_VALUE"""),0.0)</f>
        <v>0</v>
      </c>
      <c r="E1903" s="64"/>
      <c r="F1903" s="95"/>
      <c r="G1903" s="96"/>
      <c r="H1903" s="64"/>
      <c r="I1903" s="64"/>
      <c r="J1903" s="64"/>
      <c r="K1903" s="64"/>
      <c r="L1903" s="64"/>
    </row>
    <row r="1904" ht="16.5" customHeight="1">
      <c r="A1904" s="64"/>
      <c r="B1904" s="80" t="s">
        <v>18249</v>
      </c>
      <c r="C1904" s="81" t="str">
        <f>IFERROR(__xludf.DUMMYFUNCTION("""COMPUTED_VALUE"""),"notjustpensions")</f>
        <v>notjustpensions</v>
      </c>
      <c r="D1904" s="75">
        <f>IFERROR(__xludf.DUMMYFUNCTION("""COMPUTED_VALUE"""),0.0)</f>
        <v>0</v>
      </c>
      <c r="E1904" s="64"/>
      <c r="F1904" s="95"/>
      <c r="G1904" s="96"/>
      <c r="H1904" s="64"/>
      <c r="I1904" s="64"/>
      <c r="J1904" s="64"/>
      <c r="K1904" s="64"/>
      <c r="L1904" s="64"/>
    </row>
    <row r="1905" ht="16.5" customHeight="1">
      <c r="A1905" s="64"/>
      <c r="B1905" s="80" t="s">
        <v>18249</v>
      </c>
      <c r="C1905" s="81" t="str">
        <f>IFERROR(__xludf.DUMMYFUNCTION("""COMPUTED_VALUE"""),"nusha_u")</f>
        <v>nusha_u</v>
      </c>
      <c r="D1905" s="75">
        <f>IFERROR(__xludf.DUMMYFUNCTION("""COMPUTED_VALUE"""),0.0)</f>
        <v>0</v>
      </c>
      <c r="E1905" s="64"/>
      <c r="F1905" s="95"/>
      <c r="G1905" s="96"/>
      <c r="H1905" s="64"/>
      <c r="I1905" s="64"/>
      <c r="J1905" s="64"/>
      <c r="K1905" s="64"/>
      <c r="L1905" s="64"/>
    </row>
    <row r="1906" ht="16.5" customHeight="1">
      <c r="A1906" s="64"/>
      <c r="B1906" s="80" t="s">
        <v>18249</v>
      </c>
      <c r="C1906" s="81" t="str">
        <f>IFERROR(__xludf.DUMMYFUNCTION("""COMPUTED_VALUE"""),"nutbrittles")</f>
        <v>nutbrittles</v>
      </c>
      <c r="D1906" s="75">
        <f>IFERROR(__xludf.DUMMYFUNCTION("""COMPUTED_VALUE"""),0.0)</f>
        <v>0</v>
      </c>
      <c r="E1906" s="64"/>
      <c r="F1906" s="95"/>
      <c r="G1906" s="96"/>
      <c r="H1906" s="64"/>
      <c r="I1906" s="64"/>
      <c r="J1906" s="64"/>
      <c r="K1906" s="64"/>
      <c r="L1906" s="64"/>
    </row>
    <row r="1907" ht="16.5" customHeight="1">
      <c r="A1907" s="64"/>
      <c r="B1907" s="80" t="s">
        <v>18249</v>
      </c>
      <c r="C1907" s="81" t="str">
        <f>IFERROR(__xludf.DUMMYFUNCTION("""COMPUTED_VALUE"""),"objectsmith")</f>
        <v>objectsmith</v>
      </c>
      <c r="D1907" s="75">
        <f>IFERROR(__xludf.DUMMYFUNCTION("""COMPUTED_VALUE"""),0.0)</f>
        <v>0</v>
      </c>
      <c r="E1907" s="64"/>
      <c r="F1907" s="95"/>
      <c r="G1907" s="96"/>
      <c r="H1907" s="64"/>
      <c r="I1907" s="64"/>
      <c r="J1907" s="64"/>
      <c r="K1907" s="64"/>
      <c r="L1907" s="64"/>
    </row>
    <row r="1908" ht="16.5" customHeight="1">
      <c r="A1908" s="64"/>
      <c r="B1908" s="80" t="s">
        <v>18249</v>
      </c>
      <c r="C1908" s="81" t="str">
        <f>IFERROR(__xludf.DUMMYFUNCTION("""COMPUTED_VALUE"""),"obviousenigma1")</f>
        <v>obviousenigma1</v>
      </c>
      <c r="D1908" s="75">
        <f>IFERROR(__xludf.DUMMYFUNCTION("""COMPUTED_VALUE"""),0.0)</f>
        <v>0</v>
      </c>
      <c r="E1908" s="64"/>
      <c r="F1908" s="95"/>
      <c r="G1908" s="96"/>
      <c r="H1908" s="64"/>
      <c r="I1908" s="64"/>
      <c r="J1908" s="64"/>
      <c r="K1908" s="64"/>
      <c r="L1908" s="64"/>
    </row>
    <row r="1909" ht="16.5" customHeight="1">
      <c r="A1909" s="64"/>
      <c r="B1909" s="80" t="s">
        <v>18249</v>
      </c>
      <c r="C1909" s="81" t="str">
        <f>IFERROR(__xludf.DUMMYFUNCTION("""COMPUTED_VALUE"""),"officialstevoid")</f>
        <v>officialstevoid</v>
      </c>
      <c r="D1909" s="75">
        <f>IFERROR(__xludf.DUMMYFUNCTION("""COMPUTED_VALUE"""),0.0)</f>
        <v>0</v>
      </c>
      <c r="E1909" s="64"/>
      <c r="F1909" s="95"/>
      <c r="G1909" s="96"/>
      <c r="H1909" s="64"/>
      <c r="I1909" s="64"/>
      <c r="J1909" s="64"/>
      <c r="K1909" s="64"/>
      <c r="L1909" s="64"/>
    </row>
    <row r="1910" ht="16.5" customHeight="1">
      <c r="A1910" s="64"/>
      <c r="B1910" s="80" t="s">
        <v>18249</v>
      </c>
      <c r="C1910" s="81" t="str">
        <f>IFERROR(__xludf.DUMMYFUNCTION("""COMPUTED_VALUE"""),"ohdaisydog")</f>
        <v>ohdaisydog</v>
      </c>
      <c r="D1910" s="75">
        <f>IFERROR(__xludf.DUMMYFUNCTION("""COMPUTED_VALUE"""),0.0)</f>
        <v>0</v>
      </c>
      <c r="E1910" s="64"/>
      <c r="F1910" s="95"/>
      <c r="G1910" s="96"/>
      <c r="H1910" s="64"/>
      <c r="I1910" s="64"/>
      <c r="J1910" s="64"/>
      <c r="K1910" s="64"/>
      <c r="L1910" s="64"/>
    </row>
    <row r="1911" ht="16.5" customHeight="1">
      <c r="A1911" s="64"/>
      <c r="B1911" s="80" t="s">
        <v>18249</v>
      </c>
      <c r="C1911" s="81" t="str">
        <f>IFERROR(__xludf.DUMMYFUNCTION("""COMPUTED_VALUE"""),"okaktzeptiert")</f>
        <v>okaktzeptiert</v>
      </c>
      <c r="D1911" s="75">
        <f>IFERROR(__xludf.DUMMYFUNCTION("""COMPUTED_VALUE"""),0.0)</f>
        <v>0</v>
      </c>
      <c r="E1911" s="64"/>
      <c r="F1911" s="95"/>
      <c r="G1911" s="96"/>
      <c r="H1911" s="64"/>
      <c r="I1911" s="64"/>
      <c r="J1911" s="64"/>
      <c r="K1911" s="64"/>
      <c r="L1911" s="64"/>
    </row>
    <row r="1912" ht="16.5" customHeight="1">
      <c r="A1912" s="64"/>
      <c r="B1912" s="80" t="s">
        <v>18249</v>
      </c>
      <c r="C1912" s="81" t="str">
        <f>IFERROR(__xludf.DUMMYFUNCTION("""COMPUTED_VALUE"""),"oly_pics")</f>
        <v>oly_pics</v>
      </c>
      <c r="D1912" s="75">
        <f>IFERROR(__xludf.DUMMYFUNCTION("""COMPUTED_VALUE"""),0.0)</f>
        <v>0</v>
      </c>
      <c r="E1912" s="64"/>
      <c r="F1912" s="95"/>
      <c r="G1912" s="96"/>
      <c r="H1912" s="64"/>
      <c r="I1912" s="64"/>
      <c r="J1912" s="64"/>
      <c r="K1912" s="64"/>
      <c r="L1912" s="64"/>
    </row>
    <row r="1913" ht="16.5" customHeight="1">
      <c r="A1913" s="64"/>
      <c r="B1913" s="80" t="s">
        <v>18249</v>
      </c>
      <c r="C1913" s="81" t="str">
        <f>IFERROR(__xludf.DUMMYFUNCTION("""COMPUTED_VALUE"""),"olynpuss")</f>
        <v>olynpuss</v>
      </c>
      <c r="D1913" s="75">
        <f>IFERROR(__xludf.DUMMYFUNCTION("""COMPUTED_VALUE"""),0.0)</f>
        <v>0</v>
      </c>
      <c r="E1913" s="64"/>
      <c r="F1913" s="95"/>
      <c r="G1913" s="96"/>
      <c r="H1913" s="64"/>
      <c r="I1913" s="64"/>
      <c r="J1913" s="64"/>
      <c r="K1913" s="64"/>
      <c r="L1913" s="64"/>
    </row>
    <row r="1914" ht="16.5" customHeight="1">
      <c r="A1914" s="64"/>
      <c r="B1914" s="80" t="s">
        <v>18249</v>
      </c>
      <c r="C1914" s="81" t="str">
        <f>IFERROR(__xludf.DUMMYFUNCTION("""COMPUTED_VALUE"""),"oneleggeddancer")</f>
        <v>oneleggeddancer</v>
      </c>
      <c r="D1914" s="75">
        <f>IFERROR(__xludf.DUMMYFUNCTION("""COMPUTED_VALUE"""),0.0)</f>
        <v>0</v>
      </c>
      <c r="E1914" s="64"/>
      <c r="F1914" s="95"/>
      <c r="G1914" s="96"/>
      <c r="H1914" s="64"/>
      <c r="I1914" s="64"/>
      <c r="J1914" s="64"/>
      <c r="K1914" s="64"/>
      <c r="L1914" s="64"/>
    </row>
    <row r="1915" ht="16.5" customHeight="1">
      <c r="A1915" s="64"/>
      <c r="B1915" s="80" t="s">
        <v>18249</v>
      </c>
      <c r="C1915" s="81" t="str">
        <f>IFERROR(__xludf.DUMMYFUNCTION("""COMPUTED_VALUE"""),"ormy27")</f>
        <v>ormy27</v>
      </c>
      <c r="D1915" s="75">
        <f>IFERROR(__xludf.DUMMYFUNCTION("""COMPUTED_VALUE"""),0.0)</f>
        <v>0</v>
      </c>
      <c r="E1915" s="64"/>
      <c r="F1915" s="95"/>
      <c r="G1915" s="96"/>
      <c r="H1915" s="64"/>
      <c r="I1915" s="64"/>
      <c r="J1915" s="64"/>
      <c r="K1915" s="64"/>
      <c r="L1915" s="64"/>
    </row>
    <row r="1916" ht="16.5" customHeight="1">
      <c r="A1916" s="64"/>
      <c r="B1916" s="80" t="s">
        <v>18249</v>
      </c>
      <c r="C1916" s="81" t="str">
        <f>IFERROR(__xludf.DUMMYFUNCTION("""COMPUTED_VALUE"""),"overwater001")</f>
        <v>overwater001</v>
      </c>
      <c r="D1916" s="75">
        <f>IFERROR(__xludf.DUMMYFUNCTION("""COMPUTED_VALUE"""),0.0)</f>
        <v>0</v>
      </c>
      <c r="E1916" s="64"/>
      <c r="F1916" s="95"/>
      <c r="G1916" s="96"/>
      <c r="H1916" s="64"/>
      <c r="I1916" s="64"/>
      <c r="J1916" s="64"/>
      <c r="K1916" s="64"/>
      <c r="L1916" s="64"/>
    </row>
    <row r="1917" ht="16.5" customHeight="1">
      <c r="A1917" s="64"/>
      <c r="B1917" s="80" t="s">
        <v>18249</v>
      </c>
      <c r="C1917" s="81" t="str">
        <f>IFERROR(__xludf.DUMMYFUNCTION("""COMPUTED_VALUE"""),"p2pmoneyshop")</f>
        <v>p2pmoneyshop</v>
      </c>
      <c r="D1917" s="75">
        <f>IFERROR(__xludf.DUMMYFUNCTION("""COMPUTED_VALUE"""),0.0)</f>
        <v>0</v>
      </c>
      <c r="E1917" s="64"/>
      <c r="F1917" s="95"/>
      <c r="G1917" s="96"/>
      <c r="H1917" s="64"/>
      <c r="I1917" s="64"/>
      <c r="J1917" s="64"/>
      <c r="K1917" s="64"/>
      <c r="L1917" s="64"/>
    </row>
    <row r="1918" ht="16.5" customHeight="1">
      <c r="A1918" s="64"/>
      <c r="B1918" s="80" t="s">
        <v>18249</v>
      </c>
      <c r="C1918" s="81" t="str">
        <f>IFERROR(__xludf.DUMMYFUNCTION("""COMPUTED_VALUE"""),"pacificcousins")</f>
        <v>pacificcousins</v>
      </c>
      <c r="D1918" s="75">
        <f>IFERROR(__xludf.DUMMYFUNCTION("""COMPUTED_VALUE"""),0.0)</f>
        <v>0</v>
      </c>
      <c r="E1918" s="64"/>
      <c r="F1918" s="95"/>
      <c r="G1918" s="96"/>
      <c r="H1918" s="64"/>
      <c r="I1918" s="64"/>
      <c r="J1918" s="64"/>
      <c r="K1918" s="64"/>
      <c r="L1918" s="64"/>
    </row>
    <row r="1919" ht="16.5" customHeight="1">
      <c r="A1919" s="64"/>
      <c r="B1919" s="80" t="s">
        <v>18249</v>
      </c>
      <c r="C1919" s="81" t="str">
        <f>IFERROR(__xludf.DUMMYFUNCTION("""COMPUTED_VALUE"""),"paddytoland")</f>
        <v>paddytoland</v>
      </c>
      <c r="D1919" s="75">
        <f>IFERROR(__xludf.DUMMYFUNCTION("""COMPUTED_VALUE"""),0.0)</f>
        <v>0</v>
      </c>
      <c r="E1919" s="64"/>
      <c r="F1919" s="95"/>
      <c r="G1919" s="96"/>
      <c r="H1919" s="64"/>
      <c r="I1919" s="64"/>
      <c r="J1919" s="64"/>
      <c r="K1919" s="64"/>
      <c r="L1919" s="64"/>
    </row>
    <row r="1920" ht="16.5" customHeight="1">
      <c r="A1920" s="64"/>
      <c r="B1920" s="80" t="s">
        <v>18249</v>
      </c>
      <c r="C1920" s="81" t="str">
        <f>IFERROR(__xludf.DUMMYFUNCTION("""COMPUTED_VALUE"""),"palinterest")</f>
        <v>palinterest</v>
      </c>
      <c r="D1920" s="75">
        <f>IFERROR(__xludf.DUMMYFUNCTION("""COMPUTED_VALUE"""),0.0)</f>
        <v>0</v>
      </c>
      <c r="E1920" s="64"/>
      <c r="F1920" s="95"/>
      <c r="G1920" s="96"/>
      <c r="H1920" s="64"/>
      <c r="I1920" s="64"/>
      <c r="J1920" s="64"/>
      <c r="K1920" s="64"/>
      <c r="L1920" s="64"/>
    </row>
    <row r="1921" ht="16.5" customHeight="1">
      <c r="A1921" s="64"/>
      <c r="B1921" s="80" t="s">
        <v>18249</v>
      </c>
      <c r="C1921" s="81" t="str">
        <f>IFERROR(__xludf.DUMMYFUNCTION("""COMPUTED_VALUE"""),"palmaz2112")</f>
        <v>palmaz2112</v>
      </c>
      <c r="D1921" s="75">
        <f>IFERROR(__xludf.DUMMYFUNCTION("""COMPUTED_VALUE"""),0.0)</f>
        <v>0</v>
      </c>
      <c r="E1921" s="64"/>
      <c r="F1921" s="95"/>
      <c r="G1921" s="96"/>
      <c r="H1921" s="64"/>
      <c r="I1921" s="64"/>
      <c r="J1921" s="64"/>
      <c r="K1921" s="64"/>
      <c r="L1921" s="64"/>
    </row>
    <row r="1922" ht="16.5" customHeight="1">
      <c r="A1922" s="64"/>
      <c r="B1922" s="80" t="s">
        <v>18249</v>
      </c>
      <c r="C1922" s="81" t="str">
        <f>IFERROR(__xludf.DUMMYFUNCTION("""COMPUTED_VALUE"""),"pamela_bernie")</f>
        <v>pamela_bernie</v>
      </c>
      <c r="D1922" s="75">
        <f>IFERROR(__xludf.DUMMYFUNCTION("""COMPUTED_VALUE"""),0.0)</f>
        <v>0</v>
      </c>
      <c r="E1922" s="64"/>
      <c r="F1922" s="95"/>
      <c r="G1922" s="96"/>
      <c r="H1922" s="64"/>
      <c r="I1922" s="64"/>
      <c r="J1922" s="64"/>
      <c r="K1922" s="64"/>
      <c r="L1922" s="64"/>
    </row>
    <row r="1923" ht="16.5" customHeight="1">
      <c r="A1923" s="64"/>
      <c r="B1923" s="80" t="s">
        <v>18249</v>
      </c>
      <c r="C1923" s="81" t="str">
        <f>IFERROR(__xludf.DUMMYFUNCTION("""COMPUTED_VALUE"""),"pancakeson")</f>
        <v>pancakeson</v>
      </c>
      <c r="D1923" s="75">
        <f>IFERROR(__xludf.DUMMYFUNCTION("""COMPUTED_VALUE"""),0.0)</f>
        <v>0</v>
      </c>
      <c r="E1923" s="64"/>
      <c r="F1923" s="95"/>
      <c r="G1923" s="96"/>
      <c r="H1923" s="64"/>
      <c r="I1923" s="64"/>
      <c r="J1923" s="64"/>
      <c r="K1923" s="64"/>
      <c r="L1923" s="64"/>
    </row>
    <row r="1924" ht="16.5" customHeight="1">
      <c r="A1924" s="64"/>
      <c r="B1924" s="80" t="s">
        <v>18249</v>
      </c>
      <c r="C1924" s="81" t="str">
        <f>IFERROR(__xludf.DUMMYFUNCTION("""COMPUTED_VALUE"""),"paolobolzoni")</f>
        <v>paolobolzoni</v>
      </c>
      <c r="D1924" s="75">
        <f>IFERROR(__xludf.DUMMYFUNCTION("""COMPUTED_VALUE"""),0.0)</f>
        <v>0</v>
      </c>
      <c r="E1924" s="64"/>
      <c r="F1924" s="95"/>
      <c r="G1924" s="96"/>
      <c r="H1924" s="64"/>
      <c r="I1924" s="64"/>
      <c r="J1924" s="64"/>
      <c r="K1924" s="64"/>
      <c r="L1924" s="64"/>
    </row>
    <row r="1925" ht="16.5" customHeight="1">
      <c r="A1925" s="64"/>
      <c r="B1925" s="80" t="s">
        <v>18249</v>
      </c>
      <c r="C1925" s="81" t="str">
        <f>IFERROR(__xludf.DUMMYFUNCTION("""COMPUTED_VALUE"""),"papasmitheh")</f>
        <v>papasmitheh</v>
      </c>
      <c r="D1925" s="75">
        <f>IFERROR(__xludf.DUMMYFUNCTION("""COMPUTED_VALUE"""),0.0)</f>
        <v>0</v>
      </c>
      <c r="E1925" s="64"/>
      <c r="F1925" s="95"/>
      <c r="G1925" s="96"/>
      <c r="H1925" s="64"/>
      <c r="I1925" s="64"/>
      <c r="J1925" s="64"/>
      <c r="K1925" s="64"/>
      <c r="L1925" s="64"/>
    </row>
    <row r="1926" ht="16.5" customHeight="1">
      <c r="A1926" s="64"/>
      <c r="B1926" s="80" t="s">
        <v>18249</v>
      </c>
      <c r="C1926" s="81" t="str">
        <f>IFERROR(__xludf.DUMMYFUNCTION("""COMPUTED_VALUE"""),"parallelsuburb")</f>
        <v>parallelsuburb</v>
      </c>
      <c r="D1926" s="75">
        <f>IFERROR(__xludf.DUMMYFUNCTION("""COMPUTED_VALUE"""),0.0)</f>
        <v>0</v>
      </c>
      <c r="E1926" s="64"/>
      <c r="F1926" s="95"/>
      <c r="G1926" s="96"/>
      <c r="H1926" s="64"/>
      <c r="I1926" s="64"/>
      <c r="J1926" s="64"/>
      <c r="K1926" s="64"/>
      <c r="L1926" s="64"/>
    </row>
    <row r="1927" ht="16.5" customHeight="1">
      <c r="A1927" s="64"/>
      <c r="B1927" s="80" t="s">
        <v>18249</v>
      </c>
      <c r="C1927" s="81" t="str">
        <f>IFERROR(__xludf.DUMMYFUNCTION("""COMPUTED_VALUE"""),"patsytheshark")</f>
        <v>patsytheshark</v>
      </c>
      <c r="D1927" s="75">
        <f>IFERROR(__xludf.DUMMYFUNCTION("""COMPUTED_VALUE"""),0.0)</f>
        <v>0</v>
      </c>
      <c r="E1927" s="64"/>
      <c r="F1927" s="95"/>
      <c r="G1927" s="96"/>
      <c r="H1927" s="64"/>
      <c r="I1927" s="64"/>
      <c r="J1927" s="64"/>
      <c r="K1927" s="64"/>
      <c r="L1927" s="64"/>
    </row>
    <row r="1928" ht="16.5" customHeight="1">
      <c r="A1928" s="64"/>
      <c r="B1928" s="80" t="s">
        <v>18249</v>
      </c>
      <c r="C1928" s="81" t="str">
        <f>IFERROR(__xludf.DUMMYFUNCTION("""COMPUTED_VALUE"""),"paul_m_a_martin")</f>
        <v>paul_m_a_martin</v>
      </c>
      <c r="D1928" s="75">
        <f>IFERROR(__xludf.DUMMYFUNCTION("""COMPUTED_VALUE"""),0.0)</f>
        <v>0</v>
      </c>
      <c r="E1928" s="64"/>
      <c r="F1928" s="95"/>
      <c r="G1928" s="96"/>
      <c r="H1928" s="64"/>
      <c r="I1928" s="64"/>
      <c r="J1928" s="64"/>
      <c r="K1928" s="64"/>
      <c r="L1928" s="64"/>
    </row>
    <row r="1929" ht="16.5" customHeight="1">
      <c r="A1929" s="64"/>
      <c r="B1929" s="80" t="s">
        <v>18249</v>
      </c>
      <c r="C1929" s="81" t="str">
        <f>IFERROR(__xludf.DUMMYFUNCTION("""COMPUTED_VALUE"""),"paul_trembath")</f>
        <v>paul_trembath</v>
      </c>
      <c r="D1929" s="75">
        <f>IFERROR(__xludf.DUMMYFUNCTION("""COMPUTED_VALUE"""),0.0)</f>
        <v>0</v>
      </c>
      <c r="E1929" s="64"/>
      <c r="F1929" s="95"/>
      <c r="G1929" s="96"/>
      <c r="H1929" s="64"/>
      <c r="I1929" s="64"/>
      <c r="J1929" s="64"/>
      <c r="K1929" s="64"/>
      <c r="L1929" s="64"/>
    </row>
    <row r="1930" ht="16.5" customHeight="1">
      <c r="A1930" s="64"/>
      <c r="B1930" s="80" t="s">
        <v>18249</v>
      </c>
      <c r="C1930" s="81" t="str">
        <f>IFERROR(__xludf.DUMMYFUNCTION("""COMPUTED_VALUE"""),"paulclift01")</f>
        <v>paulclift01</v>
      </c>
      <c r="D1930" s="75">
        <f>IFERROR(__xludf.DUMMYFUNCTION("""COMPUTED_VALUE"""),0.0)</f>
        <v>0</v>
      </c>
      <c r="E1930" s="64"/>
      <c r="F1930" s="95"/>
      <c r="G1930" s="96"/>
      <c r="H1930" s="64"/>
      <c r="I1930" s="64"/>
      <c r="J1930" s="64"/>
      <c r="K1930" s="64"/>
      <c r="L1930" s="64"/>
    </row>
    <row r="1931" ht="16.5" customHeight="1">
      <c r="A1931" s="64"/>
      <c r="B1931" s="80" t="s">
        <v>18249</v>
      </c>
      <c r="C1931" s="81" t="str">
        <f>IFERROR(__xludf.DUMMYFUNCTION("""COMPUTED_VALUE"""),"pauldav46312233")</f>
        <v>pauldav46312233</v>
      </c>
      <c r="D1931" s="75">
        <f>IFERROR(__xludf.DUMMYFUNCTION("""COMPUTED_VALUE"""),0.0)</f>
        <v>0</v>
      </c>
      <c r="E1931" s="64"/>
      <c r="F1931" s="95"/>
      <c r="G1931" s="96"/>
      <c r="H1931" s="64"/>
      <c r="I1931" s="64"/>
      <c r="J1931" s="64"/>
      <c r="K1931" s="64"/>
      <c r="L1931" s="64"/>
    </row>
    <row r="1932" ht="16.5" customHeight="1">
      <c r="A1932" s="64"/>
      <c r="B1932" s="80" t="s">
        <v>18249</v>
      </c>
      <c r="C1932" s="81" t="str">
        <f>IFERROR(__xludf.DUMMYFUNCTION("""COMPUTED_VALUE"""),"paulhaganrea")</f>
        <v>paulhaganrea</v>
      </c>
      <c r="D1932" s="75">
        <f>IFERROR(__xludf.DUMMYFUNCTION("""COMPUTED_VALUE"""),0.0)</f>
        <v>0</v>
      </c>
      <c r="E1932" s="64"/>
      <c r="F1932" s="95"/>
      <c r="G1932" s="96"/>
      <c r="H1932" s="64"/>
      <c r="I1932" s="64"/>
      <c r="J1932" s="64"/>
      <c r="K1932" s="64"/>
      <c r="L1932" s="64"/>
    </row>
    <row r="1933" ht="16.5" customHeight="1">
      <c r="A1933" s="64"/>
      <c r="B1933" s="80" t="s">
        <v>18249</v>
      </c>
      <c r="C1933" s="81" t="str">
        <f>IFERROR(__xludf.DUMMYFUNCTION("""COMPUTED_VALUE"""),"paulstapleton8")</f>
        <v>paulstapleton8</v>
      </c>
      <c r="D1933" s="75">
        <f>IFERROR(__xludf.DUMMYFUNCTION("""COMPUTED_VALUE"""),0.0)</f>
        <v>0</v>
      </c>
      <c r="E1933" s="64"/>
      <c r="F1933" s="95"/>
      <c r="G1933" s="96"/>
      <c r="H1933" s="64"/>
      <c r="I1933" s="64"/>
      <c r="J1933" s="64"/>
      <c r="K1933" s="64"/>
      <c r="L1933" s="64"/>
    </row>
    <row r="1934" ht="16.5" customHeight="1">
      <c r="A1934" s="64"/>
      <c r="B1934" s="80" t="s">
        <v>18249</v>
      </c>
      <c r="C1934" s="81" t="str">
        <f>IFERROR(__xludf.DUMMYFUNCTION("""COMPUTED_VALUE"""),"pbh100")</f>
        <v>pbh100</v>
      </c>
      <c r="D1934" s="75">
        <f>IFERROR(__xludf.DUMMYFUNCTION("""COMPUTED_VALUE"""),0.0)</f>
        <v>0</v>
      </c>
      <c r="E1934" s="64"/>
      <c r="F1934" s="95"/>
      <c r="G1934" s="96"/>
      <c r="H1934" s="64"/>
      <c r="I1934" s="64"/>
      <c r="J1934" s="64"/>
      <c r="K1934" s="64"/>
      <c r="L1934" s="64"/>
    </row>
    <row r="1935" ht="16.5" customHeight="1">
      <c r="A1935" s="64"/>
      <c r="B1935" s="80" t="s">
        <v>18249</v>
      </c>
      <c r="C1935" s="81" t="str">
        <f>IFERROR(__xludf.DUMMYFUNCTION("""COMPUTED_VALUE"""),"pchallinor")</f>
        <v>pchallinor</v>
      </c>
      <c r="D1935" s="75">
        <f>IFERROR(__xludf.DUMMYFUNCTION("""COMPUTED_VALUE"""),0.0)</f>
        <v>0</v>
      </c>
      <c r="E1935" s="64"/>
      <c r="F1935" s="95"/>
      <c r="G1935" s="96"/>
      <c r="H1935" s="64"/>
      <c r="I1935" s="64"/>
      <c r="J1935" s="64"/>
      <c r="K1935" s="64"/>
      <c r="L1935" s="64"/>
    </row>
    <row r="1936" ht="16.5" customHeight="1">
      <c r="A1936" s="64"/>
      <c r="B1936" s="80" t="s">
        <v>18249</v>
      </c>
      <c r="C1936" s="81" t="str">
        <f>IFERROR(__xludf.DUMMYFUNCTION("""COMPUTED_VALUE"""),"pelargonium2")</f>
        <v>pelargonium2</v>
      </c>
      <c r="D1936" s="75">
        <f>IFERROR(__xludf.DUMMYFUNCTION("""COMPUTED_VALUE"""),0.0)</f>
        <v>0</v>
      </c>
      <c r="E1936" s="64"/>
      <c r="F1936" s="95"/>
      <c r="G1936" s="96"/>
      <c r="H1936" s="64"/>
      <c r="I1936" s="64"/>
      <c r="J1936" s="64"/>
      <c r="K1936" s="64"/>
      <c r="L1936" s="64"/>
    </row>
    <row r="1937" ht="16.5" customHeight="1">
      <c r="A1937" s="64"/>
      <c r="B1937" s="80" t="s">
        <v>18249</v>
      </c>
      <c r="C1937" s="81" t="str">
        <f>IFERROR(__xludf.DUMMYFUNCTION("""COMPUTED_VALUE"""),"penelopedarby")</f>
        <v>penelopedarby</v>
      </c>
      <c r="D1937" s="75">
        <f>IFERROR(__xludf.DUMMYFUNCTION("""COMPUTED_VALUE"""),0.0)</f>
        <v>0</v>
      </c>
      <c r="E1937" s="64"/>
      <c r="F1937" s="95"/>
      <c r="G1937" s="96"/>
      <c r="H1937" s="64"/>
      <c r="I1937" s="64"/>
      <c r="J1937" s="64"/>
      <c r="K1937" s="64"/>
      <c r="L1937" s="64"/>
    </row>
    <row r="1938" ht="16.5" customHeight="1">
      <c r="A1938" s="64"/>
      <c r="B1938" s="80" t="s">
        <v>18249</v>
      </c>
      <c r="C1938" s="81" t="str">
        <f>IFERROR(__xludf.DUMMYFUNCTION("""COMPUTED_VALUE"""),"pennylloydwatts")</f>
        <v>pennylloydwatts</v>
      </c>
      <c r="D1938" s="75">
        <f>IFERROR(__xludf.DUMMYFUNCTION("""COMPUTED_VALUE"""),0.0)</f>
        <v>0</v>
      </c>
      <c r="E1938" s="64"/>
      <c r="F1938" s="95"/>
      <c r="G1938" s="96"/>
      <c r="H1938" s="64"/>
      <c r="I1938" s="64"/>
      <c r="J1938" s="64"/>
      <c r="K1938" s="64"/>
      <c r="L1938" s="64"/>
    </row>
    <row r="1939" ht="16.5" customHeight="1">
      <c r="A1939" s="64"/>
      <c r="B1939" s="80" t="s">
        <v>18249</v>
      </c>
      <c r="C1939" s="81" t="str">
        <f>IFERROR(__xludf.DUMMYFUNCTION("""COMPUTED_VALUE"""),"pensioenjaren")</f>
        <v>pensioenjaren</v>
      </c>
      <c r="D1939" s="75">
        <f>IFERROR(__xludf.DUMMYFUNCTION("""COMPUTED_VALUE"""),0.0)</f>
        <v>0</v>
      </c>
      <c r="E1939" s="64"/>
      <c r="F1939" s="95"/>
      <c r="G1939" s="96"/>
      <c r="H1939" s="64"/>
      <c r="I1939" s="64"/>
      <c r="J1939" s="64"/>
      <c r="K1939" s="64"/>
      <c r="L1939" s="64"/>
    </row>
    <row r="1940" ht="16.5" customHeight="1">
      <c r="A1940" s="64"/>
      <c r="B1940" s="80" t="s">
        <v>18249</v>
      </c>
      <c r="C1940" s="81" t="str">
        <f>IFERROR(__xludf.DUMMYFUNCTION("""COMPUTED_VALUE"""),"percyridesagain")</f>
        <v>percyridesagain</v>
      </c>
      <c r="D1940" s="75">
        <f>IFERROR(__xludf.DUMMYFUNCTION("""COMPUTED_VALUE"""),0.0)</f>
        <v>0</v>
      </c>
      <c r="E1940" s="64"/>
      <c r="F1940" s="95"/>
      <c r="G1940" s="96"/>
      <c r="H1940" s="64"/>
      <c r="I1940" s="64"/>
      <c r="J1940" s="64"/>
      <c r="K1940" s="64"/>
      <c r="L1940" s="64"/>
    </row>
    <row r="1941" ht="16.5" customHeight="1">
      <c r="A1941" s="64"/>
      <c r="B1941" s="80" t="s">
        <v>18249</v>
      </c>
      <c r="C1941" s="81" t="str">
        <f>IFERROR(__xludf.DUMMYFUNCTION("""COMPUTED_VALUE"""),"petekitching")</f>
        <v>petekitching</v>
      </c>
      <c r="D1941" s="75">
        <f>IFERROR(__xludf.DUMMYFUNCTION("""COMPUTED_VALUE"""),0.0)</f>
        <v>0</v>
      </c>
      <c r="E1941" s="64"/>
      <c r="F1941" s="95"/>
      <c r="G1941" s="96"/>
      <c r="H1941" s="64"/>
      <c r="I1941" s="64"/>
      <c r="J1941" s="64"/>
      <c r="K1941" s="64"/>
      <c r="L1941" s="64"/>
    </row>
    <row r="1942" ht="16.5" customHeight="1">
      <c r="A1942" s="64"/>
      <c r="B1942" s="80" t="s">
        <v>18249</v>
      </c>
      <c r="C1942" s="81" t="str">
        <f>IFERROR(__xludf.DUMMYFUNCTION("""COMPUTED_VALUE"""),"peterabird")</f>
        <v>peterabird</v>
      </c>
      <c r="D1942" s="75">
        <f>IFERROR(__xludf.DUMMYFUNCTION("""COMPUTED_VALUE"""),0.0)</f>
        <v>0</v>
      </c>
      <c r="E1942" s="64"/>
      <c r="F1942" s="95"/>
      <c r="G1942" s="96"/>
      <c r="H1942" s="64"/>
      <c r="I1942" s="64"/>
      <c r="J1942" s="64"/>
      <c r="K1942" s="64"/>
      <c r="L1942" s="64"/>
    </row>
    <row r="1943" ht="16.5" customHeight="1">
      <c r="A1943" s="64"/>
      <c r="B1943" s="80" t="s">
        <v>18249</v>
      </c>
      <c r="C1943" s="81" t="str">
        <f>IFERROR(__xludf.DUMMYFUNCTION("""COMPUTED_VALUE"""),"peterandann")</f>
        <v>peterandann</v>
      </c>
      <c r="D1943" s="75">
        <f>IFERROR(__xludf.DUMMYFUNCTION("""COMPUTED_VALUE"""),0.0)</f>
        <v>0</v>
      </c>
      <c r="E1943" s="64"/>
      <c r="F1943" s="95"/>
      <c r="G1943" s="96"/>
      <c r="H1943" s="64"/>
      <c r="I1943" s="64"/>
      <c r="J1943" s="64"/>
      <c r="K1943" s="64"/>
      <c r="L1943" s="64"/>
    </row>
    <row r="1944" ht="16.5" customHeight="1">
      <c r="A1944" s="64"/>
      <c r="B1944" s="80" t="s">
        <v>18249</v>
      </c>
      <c r="C1944" s="81" t="str">
        <f>IFERROR(__xludf.DUMMYFUNCTION("""COMPUTED_VALUE"""),"peterbentley34")</f>
        <v>peterbentley34</v>
      </c>
      <c r="D1944" s="75">
        <f>IFERROR(__xludf.DUMMYFUNCTION("""COMPUTED_VALUE"""),0.0)</f>
        <v>0</v>
      </c>
      <c r="E1944" s="64"/>
      <c r="F1944" s="95"/>
      <c r="G1944" s="96"/>
      <c r="H1944" s="64"/>
      <c r="I1944" s="64"/>
      <c r="J1944" s="64"/>
      <c r="K1944" s="64"/>
      <c r="L1944" s="64"/>
    </row>
    <row r="1945" ht="16.5" customHeight="1">
      <c r="A1945" s="64"/>
      <c r="B1945" s="80" t="s">
        <v>18249</v>
      </c>
      <c r="C1945" s="81" t="str">
        <f>IFERROR(__xludf.DUMMYFUNCTION("""COMPUTED_VALUE"""),"peterskinley1")</f>
        <v>peterskinley1</v>
      </c>
      <c r="D1945" s="75">
        <f>IFERROR(__xludf.DUMMYFUNCTION("""COMPUTED_VALUE"""),0.0)</f>
        <v>0</v>
      </c>
      <c r="E1945" s="64"/>
      <c r="F1945" s="95"/>
      <c r="G1945" s="96"/>
      <c r="H1945" s="64"/>
      <c r="I1945" s="64"/>
      <c r="J1945" s="64"/>
      <c r="K1945" s="64"/>
      <c r="L1945" s="64"/>
    </row>
    <row r="1946" ht="16.5" customHeight="1">
      <c r="A1946" s="64"/>
      <c r="B1946" s="80" t="s">
        <v>18249</v>
      </c>
      <c r="C1946" s="81" t="str">
        <f>IFERROR(__xludf.DUMMYFUNCTION("""COMPUTED_VALUE"""),"philcox99")</f>
        <v>philcox99</v>
      </c>
      <c r="D1946" s="75">
        <f>IFERROR(__xludf.DUMMYFUNCTION("""COMPUTED_VALUE"""),0.0)</f>
        <v>0</v>
      </c>
      <c r="E1946" s="64"/>
      <c r="F1946" s="95"/>
      <c r="G1946" s="96"/>
      <c r="H1946" s="64"/>
      <c r="I1946" s="64"/>
      <c r="J1946" s="64"/>
      <c r="K1946" s="64"/>
      <c r="L1946" s="64"/>
    </row>
    <row r="1947" ht="16.5" customHeight="1">
      <c r="A1947" s="64"/>
      <c r="B1947" s="80" t="s">
        <v>18249</v>
      </c>
      <c r="C1947" s="81" t="str">
        <f>IFERROR(__xludf.DUMMYFUNCTION("""COMPUTED_VALUE"""),"philiparrogers")</f>
        <v>philiparrogers</v>
      </c>
      <c r="D1947" s="75">
        <f>IFERROR(__xludf.DUMMYFUNCTION("""COMPUTED_VALUE"""),0.0)</f>
        <v>0</v>
      </c>
      <c r="E1947" s="64"/>
      <c r="F1947" s="95"/>
      <c r="G1947" s="96"/>
      <c r="H1947" s="64"/>
      <c r="I1947" s="64"/>
      <c r="J1947" s="64"/>
      <c r="K1947" s="64"/>
      <c r="L1947" s="64"/>
    </row>
    <row r="1948" ht="16.5" customHeight="1">
      <c r="A1948" s="64"/>
      <c r="B1948" s="80" t="s">
        <v>18249</v>
      </c>
      <c r="C1948" s="81" t="str">
        <f>IFERROR(__xludf.DUMMYFUNCTION("""COMPUTED_VALUE"""),"philipjdoyle")</f>
        <v>philipjdoyle</v>
      </c>
      <c r="D1948" s="75">
        <f>IFERROR(__xludf.DUMMYFUNCTION("""COMPUTED_VALUE"""),0.0)</f>
        <v>0</v>
      </c>
      <c r="E1948" s="64"/>
      <c r="F1948" s="95"/>
      <c r="G1948" s="96"/>
      <c r="H1948" s="64"/>
      <c r="I1948" s="64"/>
      <c r="J1948" s="64"/>
      <c r="K1948" s="64"/>
      <c r="L1948" s="64"/>
    </row>
    <row r="1949" ht="16.5" customHeight="1">
      <c r="A1949" s="64"/>
      <c r="B1949" s="80" t="s">
        <v>18249</v>
      </c>
      <c r="C1949" s="81" t="str">
        <f>IFERROR(__xludf.DUMMYFUNCTION("""COMPUTED_VALUE"""),"philkop")</f>
        <v>philkop</v>
      </c>
      <c r="D1949" s="75">
        <f>IFERROR(__xludf.DUMMYFUNCTION("""COMPUTED_VALUE"""),0.0)</f>
        <v>0</v>
      </c>
      <c r="E1949" s="64"/>
      <c r="F1949" s="95"/>
      <c r="G1949" s="96"/>
      <c r="H1949" s="64"/>
      <c r="I1949" s="64"/>
      <c r="J1949" s="64"/>
      <c r="K1949" s="64"/>
      <c r="L1949" s="64"/>
    </row>
    <row r="1950" ht="16.5" customHeight="1">
      <c r="A1950" s="64"/>
      <c r="B1950" s="80" t="s">
        <v>18249</v>
      </c>
      <c r="C1950" s="81" t="str">
        <f>IFERROR(__xludf.DUMMYFUNCTION("""COMPUTED_VALUE"""),"phillmoog")</f>
        <v>phillmoog</v>
      </c>
      <c r="D1950" s="75">
        <f>IFERROR(__xludf.DUMMYFUNCTION("""COMPUTED_VALUE"""),0.0)</f>
        <v>0</v>
      </c>
      <c r="E1950" s="64"/>
      <c r="F1950" s="95"/>
      <c r="G1950" s="96"/>
      <c r="H1950" s="64"/>
      <c r="I1950" s="64"/>
      <c r="J1950" s="64"/>
      <c r="K1950" s="64"/>
      <c r="L1950" s="64"/>
    </row>
    <row r="1951" ht="16.5" customHeight="1">
      <c r="A1951" s="64"/>
      <c r="B1951" s="80" t="s">
        <v>18249</v>
      </c>
      <c r="C1951" s="81" t="str">
        <f>IFERROR(__xludf.DUMMYFUNCTION("""COMPUTED_VALUE"""),"philnooney")</f>
        <v>philnooney</v>
      </c>
      <c r="D1951" s="75">
        <f>IFERROR(__xludf.DUMMYFUNCTION("""COMPUTED_VALUE"""),0.0)</f>
        <v>0</v>
      </c>
      <c r="E1951" s="64"/>
      <c r="F1951" s="95"/>
      <c r="G1951" s="96"/>
      <c r="H1951" s="64"/>
      <c r="I1951" s="64"/>
      <c r="J1951" s="64"/>
      <c r="K1951" s="64"/>
      <c r="L1951" s="64"/>
    </row>
    <row r="1952" ht="16.5" customHeight="1">
      <c r="A1952" s="64"/>
      <c r="B1952" s="80" t="s">
        <v>18249</v>
      </c>
      <c r="C1952" s="81" t="str">
        <f>IFERROR(__xludf.DUMMYFUNCTION("""COMPUTED_VALUE"""),"phopfensperger")</f>
        <v>phopfensperger</v>
      </c>
      <c r="D1952" s="75">
        <f>IFERROR(__xludf.DUMMYFUNCTION("""COMPUTED_VALUE"""),0.0)</f>
        <v>0</v>
      </c>
      <c r="E1952" s="64"/>
      <c r="F1952" s="95"/>
      <c r="G1952" s="96"/>
      <c r="H1952" s="64"/>
      <c r="I1952" s="64"/>
      <c r="J1952" s="64"/>
      <c r="K1952" s="64"/>
      <c r="L1952" s="64"/>
    </row>
    <row r="1953" ht="16.5" customHeight="1">
      <c r="A1953" s="64"/>
      <c r="B1953" s="80" t="s">
        <v>18249</v>
      </c>
      <c r="C1953" s="81" t="str">
        <f>IFERROR(__xludf.DUMMYFUNCTION("""COMPUTED_VALUE"""),"piciniscoceltic")</f>
        <v>piciniscoceltic</v>
      </c>
      <c r="D1953" s="75">
        <f>IFERROR(__xludf.DUMMYFUNCTION("""COMPUTED_VALUE"""),0.0)</f>
        <v>0</v>
      </c>
      <c r="E1953" s="64"/>
      <c r="F1953" s="95"/>
      <c r="G1953" s="96"/>
      <c r="H1953" s="64"/>
      <c r="I1953" s="64"/>
      <c r="J1953" s="64"/>
      <c r="K1953" s="64"/>
      <c r="L1953" s="64"/>
    </row>
    <row r="1954" ht="16.5" customHeight="1">
      <c r="A1954" s="64"/>
      <c r="B1954" s="80" t="s">
        <v>18249</v>
      </c>
      <c r="C1954" s="81" t="str">
        <f>IFERROR(__xludf.DUMMYFUNCTION("""COMPUTED_VALUE"""),"pimlicat")</f>
        <v>pimlicat</v>
      </c>
      <c r="D1954" s="75">
        <f>IFERROR(__xludf.DUMMYFUNCTION("""COMPUTED_VALUE"""),0.0)</f>
        <v>0</v>
      </c>
      <c r="E1954" s="64"/>
      <c r="F1954" s="95"/>
      <c r="G1954" s="96"/>
      <c r="H1954" s="64"/>
      <c r="I1954" s="64"/>
      <c r="J1954" s="64"/>
      <c r="K1954" s="64"/>
      <c r="L1954" s="64"/>
    </row>
    <row r="1955" ht="16.5" customHeight="1">
      <c r="A1955" s="64"/>
      <c r="B1955" s="80" t="s">
        <v>18249</v>
      </c>
      <c r="C1955" s="81" t="str">
        <f>IFERROR(__xludf.DUMMYFUNCTION("""COMPUTED_VALUE"""),"pimp_creative")</f>
        <v>pimp_creative</v>
      </c>
      <c r="D1955" s="75">
        <f>IFERROR(__xludf.DUMMYFUNCTION("""COMPUTED_VALUE"""),0.0)</f>
        <v>0</v>
      </c>
      <c r="E1955" s="64"/>
      <c r="F1955" s="95"/>
      <c r="G1955" s="96"/>
      <c r="H1955" s="64"/>
      <c r="I1955" s="64"/>
      <c r="J1955" s="64"/>
      <c r="K1955" s="64"/>
      <c r="L1955" s="64"/>
    </row>
    <row r="1956" ht="16.5" customHeight="1">
      <c r="A1956" s="64"/>
      <c r="B1956" s="80" t="s">
        <v>18249</v>
      </c>
      <c r="C1956" s="81" t="str">
        <f>IFERROR(__xludf.DUMMYFUNCTION("""COMPUTED_VALUE"""),"pinklilyphoto")</f>
        <v>pinklilyphoto</v>
      </c>
      <c r="D1956" s="75">
        <f>IFERROR(__xludf.DUMMYFUNCTION("""COMPUTED_VALUE"""),0.0)</f>
        <v>0</v>
      </c>
      <c r="E1956" s="64"/>
      <c r="F1956" s="95"/>
      <c r="G1956" s="96"/>
      <c r="H1956" s="64"/>
      <c r="I1956" s="64"/>
      <c r="J1956" s="64"/>
      <c r="K1956" s="64"/>
      <c r="L1956" s="64"/>
    </row>
    <row r="1957" ht="16.5" customHeight="1">
      <c r="A1957" s="64"/>
      <c r="B1957" s="80" t="s">
        <v>18249</v>
      </c>
      <c r="C1957" s="81" t="str">
        <f>IFERROR(__xludf.DUMMYFUNCTION("""COMPUTED_VALUE"""),"pixieglas")</f>
        <v>pixieglas</v>
      </c>
      <c r="D1957" s="75">
        <f>IFERROR(__xludf.DUMMYFUNCTION("""COMPUTED_VALUE"""),0.0)</f>
        <v>0</v>
      </c>
      <c r="E1957" s="64"/>
      <c r="F1957" s="95"/>
      <c r="G1957" s="96"/>
      <c r="H1957" s="64"/>
      <c r="I1957" s="64"/>
      <c r="J1957" s="64"/>
      <c r="K1957" s="64"/>
      <c r="L1957" s="64"/>
    </row>
    <row r="1958" ht="16.5" customHeight="1">
      <c r="A1958" s="64"/>
      <c r="B1958" s="80" t="s">
        <v>18249</v>
      </c>
      <c r="C1958" s="81" t="str">
        <f>IFERROR(__xludf.DUMMYFUNCTION("""COMPUTED_VALUE"""),"pjd23272")</f>
        <v>pjd23272</v>
      </c>
      <c r="D1958" s="75">
        <f>IFERROR(__xludf.DUMMYFUNCTION("""COMPUTED_VALUE"""),0.0)</f>
        <v>0</v>
      </c>
      <c r="E1958" s="64"/>
      <c r="F1958" s="95"/>
      <c r="G1958" s="96"/>
      <c r="H1958" s="64"/>
      <c r="I1958" s="64"/>
      <c r="J1958" s="64"/>
      <c r="K1958" s="64"/>
      <c r="L1958" s="64"/>
    </row>
    <row r="1959" ht="16.5" customHeight="1">
      <c r="A1959" s="64"/>
      <c r="B1959" s="80" t="s">
        <v>18249</v>
      </c>
      <c r="C1959" s="81" t="str">
        <f>IFERROR(__xludf.DUMMYFUNCTION("""COMPUTED_VALUE"""),"pjr1007")</f>
        <v>pjr1007</v>
      </c>
      <c r="D1959" s="75">
        <f>IFERROR(__xludf.DUMMYFUNCTION("""COMPUTED_VALUE"""),0.0)</f>
        <v>0</v>
      </c>
      <c r="E1959" s="64"/>
      <c r="F1959" s="95"/>
      <c r="G1959" s="96"/>
      <c r="H1959" s="64"/>
      <c r="I1959" s="64"/>
      <c r="J1959" s="64"/>
      <c r="K1959" s="64"/>
      <c r="L1959" s="64"/>
    </row>
    <row r="1960" ht="16.5" customHeight="1">
      <c r="A1960" s="64"/>
      <c r="B1960" s="80" t="s">
        <v>18249</v>
      </c>
      <c r="C1960" s="81" t="str">
        <f>IFERROR(__xludf.DUMMYFUNCTION("""COMPUTED_VALUE"""),"pleadbeter")</f>
        <v>pleadbeter</v>
      </c>
      <c r="D1960" s="75">
        <f>IFERROR(__xludf.DUMMYFUNCTION("""COMPUTED_VALUE"""),0.0)</f>
        <v>0</v>
      </c>
      <c r="E1960" s="64"/>
      <c r="F1960" s="95"/>
      <c r="G1960" s="96"/>
      <c r="H1960" s="64"/>
      <c r="I1960" s="64"/>
      <c r="J1960" s="64"/>
      <c r="K1960" s="64"/>
      <c r="L1960" s="64"/>
    </row>
    <row r="1961" ht="16.5" customHeight="1">
      <c r="A1961" s="64"/>
      <c r="B1961" s="80" t="s">
        <v>18249</v>
      </c>
      <c r="C1961" s="81" t="str">
        <f>IFERROR(__xludf.DUMMYFUNCTION("""COMPUTED_VALUE"""),"pmeierprof")</f>
        <v>pmeierprof</v>
      </c>
      <c r="D1961" s="75">
        <f>IFERROR(__xludf.DUMMYFUNCTION("""COMPUTED_VALUE"""),0.0)</f>
        <v>0</v>
      </c>
      <c r="E1961" s="64"/>
      <c r="F1961" s="95"/>
      <c r="G1961" s="96"/>
      <c r="H1961" s="64"/>
      <c r="I1961" s="64"/>
      <c r="J1961" s="64"/>
      <c r="K1961" s="64"/>
      <c r="L1961" s="64"/>
    </row>
    <row r="1962" ht="16.5" customHeight="1">
      <c r="A1962" s="64"/>
      <c r="B1962" s="80" t="s">
        <v>18249</v>
      </c>
      <c r="C1962" s="81" t="str">
        <f>IFERROR(__xludf.DUMMYFUNCTION("""COMPUTED_VALUE"""),"polightbulb")</f>
        <v>polightbulb</v>
      </c>
      <c r="D1962" s="75">
        <f>IFERROR(__xludf.DUMMYFUNCTION("""COMPUTED_VALUE"""),0.0)</f>
        <v>0</v>
      </c>
      <c r="E1962" s="64"/>
      <c r="F1962" s="95"/>
      <c r="G1962" s="96"/>
      <c r="H1962" s="64"/>
      <c r="I1962" s="64"/>
      <c r="J1962" s="64"/>
      <c r="K1962" s="64"/>
      <c r="L1962" s="64"/>
    </row>
    <row r="1963" ht="16.5" customHeight="1">
      <c r="A1963" s="64"/>
      <c r="B1963" s="80" t="s">
        <v>18249</v>
      </c>
      <c r="C1963" s="81" t="str">
        <f>IFERROR(__xludf.DUMMYFUNCTION("""COMPUTED_VALUE"""),"political_wasp")</f>
        <v>political_wasp</v>
      </c>
      <c r="D1963" s="75">
        <f>IFERROR(__xludf.DUMMYFUNCTION("""COMPUTED_VALUE"""),0.0)</f>
        <v>0</v>
      </c>
      <c r="E1963" s="64"/>
      <c r="F1963" s="95"/>
      <c r="G1963" s="96"/>
      <c r="H1963" s="64"/>
      <c r="I1963" s="64"/>
      <c r="J1963" s="64"/>
      <c r="K1963" s="64"/>
      <c r="L1963" s="64"/>
    </row>
    <row r="1964" ht="16.5" customHeight="1">
      <c r="A1964" s="64"/>
      <c r="B1964" s="80" t="s">
        <v>18249</v>
      </c>
      <c r="C1964" s="81" t="str">
        <f>IFERROR(__xludf.DUMMYFUNCTION("""COMPUTED_VALUE"""),"pollyPRnow")</f>
        <v>pollyPRnow</v>
      </c>
      <c r="D1964" s="75">
        <f>IFERROR(__xludf.DUMMYFUNCTION("""COMPUTED_VALUE"""),0.0)</f>
        <v>0</v>
      </c>
      <c r="E1964" s="64"/>
      <c r="F1964" s="95"/>
      <c r="G1964" s="96"/>
      <c r="H1964" s="64"/>
      <c r="I1964" s="64"/>
      <c r="J1964" s="64"/>
      <c r="K1964" s="64"/>
      <c r="L1964" s="64"/>
    </row>
    <row r="1965" ht="16.5" customHeight="1">
      <c r="A1965" s="64"/>
      <c r="B1965" s="80" t="s">
        <v>18249</v>
      </c>
      <c r="C1965" s="81" t="str">
        <f>IFERROR(__xludf.DUMMYFUNCTION("""COMPUTED_VALUE"""),"polnyypesets")</f>
        <v>polnyypesets</v>
      </c>
      <c r="D1965" s="75">
        <f>IFERROR(__xludf.DUMMYFUNCTION("""COMPUTED_VALUE"""),0.0)</f>
        <v>0</v>
      </c>
      <c r="E1965" s="64"/>
      <c r="F1965" s="95"/>
      <c r="G1965" s="96"/>
      <c r="H1965" s="64"/>
      <c r="I1965" s="64"/>
      <c r="J1965" s="64"/>
      <c r="K1965" s="64"/>
      <c r="L1965" s="64"/>
    </row>
    <row r="1966" ht="16.5" customHeight="1">
      <c r="A1966" s="64"/>
      <c r="B1966" s="80" t="s">
        <v>18249</v>
      </c>
      <c r="C1966" s="81" t="str">
        <f>IFERROR(__xludf.DUMMYFUNCTION("""COMPUTED_VALUE"""),"polytwonk")</f>
        <v>polytwonk</v>
      </c>
      <c r="D1966" s="75">
        <f>IFERROR(__xludf.DUMMYFUNCTION("""COMPUTED_VALUE"""),0.0)</f>
        <v>0</v>
      </c>
      <c r="E1966" s="64"/>
      <c r="F1966" s="95"/>
      <c r="G1966" s="96"/>
      <c r="H1966" s="64"/>
      <c r="I1966" s="64"/>
      <c r="J1966" s="64"/>
      <c r="K1966" s="64"/>
      <c r="L1966" s="64"/>
    </row>
    <row r="1967" ht="16.5" customHeight="1">
      <c r="A1967" s="64"/>
      <c r="B1967" s="80" t="s">
        <v>18249</v>
      </c>
      <c r="C1967" s="81" t="str">
        <f>IFERROR(__xludf.DUMMYFUNCTION("""COMPUTED_VALUE"""),"positpolit")</f>
        <v>positpolit</v>
      </c>
      <c r="D1967" s="75">
        <f>IFERROR(__xludf.DUMMYFUNCTION("""COMPUTED_VALUE"""),0.0)</f>
        <v>0</v>
      </c>
      <c r="E1967" s="64"/>
      <c r="F1967" s="95"/>
      <c r="G1967" s="96"/>
      <c r="H1967" s="64"/>
      <c r="I1967" s="64"/>
      <c r="J1967" s="64"/>
      <c r="K1967" s="64"/>
      <c r="L1967" s="64"/>
    </row>
    <row r="1968" ht="16.5" customHeight="1">
      <c r="A1968" s="64"/>
      <c r="B1968" s="80" t="s">
        <v>18249</v>
      </c>
      <c r="C1968" s="81" t="str">
        <f>IFERROR(__xludf.DUMMYFUNCTION("""COMPUTED_VALUE"""),"ppadfiel")</f>
        <v>ppadfiel</v>
      </c>
      <c r="D1968" s="75">
        <f>IFERROR(__xludf.DUMMYFUNCTION("""COMPUTED_VALUE"""),0.0)</f>
        <v>0</v>
      </c>
      <c r="E1968" s="64"/>
      <c r="F1968" s="95"/>
      <c r="G1968" s="96"/>
      <c r="H1968" s="64"/>
      <c r="I1968" s="64"/>
      <c r="J1968" s="64"/>
      <c r="K1968" s="64"/>
      <c r="L1968" s="64"/>
    </row>
    <row r="1969" ht="16.5" customHeight="1">
      <c r="A1969" s="64"/>
      <c r="B1969" s="80" t="s">
        <v>18249</v>
      </c>
      <c r="C1969" s="81" t="str">
        <f>IFERROR(__xludf.DUMMYFUNCTION("""COMPUTED_VALUE"""),"prestwichpig")</f>
        <v>prestwichpig</v>
      </c>
      <c r="D1969" s="75">
        <f>IFERROR(__xludf.DUMMYFUNCTION("""COMPUTED_VALUE"""),0.0)</f>
        <v>0</v>
      </c>
      <c r="E1969" s="64"/>
      <c r="F1969" s="95"/>
      <c r="G1969" s="96"/>
      <c r="H1969" s="64"/>
      <c r="I1969" s="64"/>
      <c r="J1969" s="64"/>
      <c r="K1969" s="64"/>
      <c r="L1969" s="64"/>
    </row>
    <row r="1970" ht="16.5" customHeight="1">
      <c r="A1970" s="64"/>
      <c r="B1970" s="80" t="s">
        <v>18249</v>
      </c>
      <c r="C1970" s="81" t="str">
        <f>IFERROR(__xludf.DUMMYFUNCTION("""COMPUTED_VALUE"""),"proknifesharpe")</f>
        <v>proknifesharpe</v>
      </c>
      <c r="D1970" s="75">
        <f>IFERROR(__xludf.DUMMYFUNCTION("""COMPUTED_VALUE"""),0.0)</f>
        <v>0</v>
      </c>
      <c r="E1970" s="64"/>
      <c r="F1970" s="95"/>
      <c r="G1970" s="96"/>
      <c r="H1970" s="64"/>
      <c r="I1970" s="64"/>
      <c r="J1970" s="64"/>
      <c r="K1970" s="64"/>
      <c r="L1970" s="64"/>
    </row>
    <row r="1971" ht="16.5" customHeight="1">
      <c r="A1971" s="64"/>
      <c r="B1971" s="80" t="s">
        <v>18249</v>
      </c>
      <c r="C1971" s="81" t="str">
        <f>IFERROR(__xludf.DUMMYFUNCTION("""COMPUTED_VALUE"""),"pru_eu")</f>
        <v>pru_eu</v>
      </c>
      <c r="D1971" s="75">
        <f>IFERROR(__xludf.DUMMYFUNCTION("""COMPUTED_VALUE"""),0.0)</f>
        <v>0</v>
      </c>
      <c r="E1971" s="64"/>
      <c r="F1971" s="95"/>
      <c r="G1971" s="96"/>
      <c r="H1971" s="64"/>
      <c r="I1971" s="64"/>
      <c r="J1971" s="64"/>
      <c r="K1971" s="64"/>
      <c r="L1971" s="64"/>
    </row>
    <row r="1972" ht="16.5" customHeight="1">
      <c r="A1972" s="64"/>
      <c r="B1972" s="80" t="s">
        <v>18249</v>
      </c>
      <c r="C1972" s="81" t="str">
        <f>IFERROR(__xludf.DUMMYFUNCTION("""COMPUTED_VALUE"""),"pvsassone")</f>
        <v>pvsassone</v>
      </c>
      <c r="D1972" s="75">
        <f>IFERROR(__xludf.DUMMYFUNCTION("""COMPUTED_VALUE"""),0.0)</f>
        <v>0</v>
      </c>
      <c r="E1972" s="64"/>
      <c r="F1972" s="95"/>
      <c r="G1972" s="96"/>
      <c r="H1972" s="64"/>
      <c r="I1972" s="64"/>
      <c r="J1972" s="64"/>
      <c r="K1972" s="64"/>
      <c r="L1972" s="64"/>
    </row>
    <row r="1973" ht="16.5" customHeight="1">
      <c r="A1973" s="64"/>
      <c r="B1973" s="80" t="s">
        <v>18249</v>
      </c>
      <c r="C1973" s="81" t="str">
        <f>IFERROR(__xludf.DUMMYFUNCTION("""COMPUTED_VALUE"""),"pwlordalba")</f>
        <v>pwlordalba</v>
      </c>
      <c r="D1973" s="75">
        <f>IFERROR(__xludf.DUMMYFUNCTION("""COMPUTED_VALUE"""),0.0)</f>
        <v>0</v>
      </c>
      <c r="E1973" s="64"/>
      <c r="F1973" s="95"/>
      <c r="G1973" s="96"/>
      <c r="H1973" s="64"/>
      <c r="I1973" s="64"/>
      <c r="J1973" s="64"/>
      <c r="K1973" s="64"/>
      <c r="L1973" s="64"/>
    </row>
    <row r="1974" ht="16.5" customHeight="1">
      <c r="A1974" s="64"/>
      <c r="B1974" s="80" t="s">
        <v>18249</v>
      </c>
      <c r="C1974" s="81" t="str">
        <f>IFERROR(__xludf.DUMMYFUNCTION("""COMPUTED_VALUE"""),"pwsimerimiaw")</f>
        <v>pwsimerimiaw</v>
      </c>
      <c r="D1974" s="75">
        <f>IFERROR(__xludf.DUMMYFUNCTION("""COMPUTED_VALUE"""),0.0)</f>
        <v>0</v>
      </c>
      <c r="E1974" s="64"/>
      <c r="F1974" s="95"/>
      <c r="G1974" s="96"/>
      <c r="H1974" s="64"/>
      <c r="I1974" s="64"/>
      <c r="J1974" s="64"/>
      <c r="K1974" s="64"/>
      <c r="L1974" s="64"/>
    </row>
    <row r="1975" ht="16.5" customHeight="1">
      <c r="A1975" s="64"/>
      <c r="B1975" s="80" t="s">
        <v>18249</v>
      </c>
      <c r="C1975" s="81" t="str">
        <f>IFERROR(__xludf.DUMMYFUNCTION("""COMPUTED_VALUE"""),"pyle_lynne")</f>
        <v>pyle_lynne</v>
      </c>
      <c r="D1975" s="75">
        <f>IFERROR(__xludf.DUMMYFUNCTION("""COMPUTED_VALUE"""),0.0)</f>
        <v>0</v>
      </c>
      <c r="E1975" s="64"/>
      <c r="F1975" s="95"/>
      <c r="G1975" s="96"/>
      <c r="H1975" s="64"/>
      <c r="I1975" s="64"/>
      <c r="J1975" s="64"/>
      <c r="K1975" s="64"/>
      <c r="L1975" s="64"/>
    </row>
    <row r="1976" ht="16.5" customHeight="1">
      <c r="A1976" s="64"/>
      <c r="B1976" s="80" t="s">
        <v>18249</v>
      </c>
      <c r="C1976" s="81" t="str">
        <f>IFERROR(__xludf.DUMMYFUNCTION("""COMPUTED_VALUE"""),"qeensdale")</f>
        <v>qeensdale</v>
      </c>
      <c r="D1976" s="75">
        <f>IFERROR(__xludf.DUMMYFUNCTION("""COMPUTED_VALUE"""),0.0)</f>
        <v>0</v>
      </c>
      <c r="E1976" s="64"/>
      <c r="F1976" s="95"/>
      <c r="G1976" s="96"/>
      <c r="H1976" s="64"/>
      <c r="I1976" s="64"/>
      <c r="J1976" s="64"/>
      <c r="K1976" s="64"/>
      <c r="L1976" s="64"/>
    </row>
    <row r="1977" ht="16.5" customHeight="1">
      <c r="A1977" s="64"/>
      <c r="B1977" s="80" t="s">
        <v>18249</v>
      </c>
      <c r="C1977" s="81" t="str">
        <f>IFERROR(__xludf.DUMMYFUNCTION("""COMPUTED_VALUE"""),"quangels")</f>
        <v>quangels</v>
      </c>
      <c r="D1977" s="75">
        <f>IFERROR(__xludf.DUMMYFUNCTION("""COMPUTED_VALUE"""),0.0)</f>
        <v>0</v>
      </c>
      <c r="E1977" s="64"/>
      <c r="F1977" s="95"/>
      <c r="G1977" s="96"/>
      <c r="H1977" s="64"/>
      <c r="I1977" s="64"/>
      <c r="J1977" s="64"/>
      <c r="K1977" s="64"/>
      <c r="L1977" s="64"/>
    </row>
    <row r="1978" ht="16.5" customHeight="1">
      <c r="A1978" s="64"/>
      <c r="B1978" s="80" t="s">
        <v>18249</v>
      </c>
      <c r="C1978" s="81" t="str">
        <f>IFERROR(__xludf.DUMMYFUNCTION("""COMPUTED_VALUE"""),"r_bosch")</f>
        <v>r_bosch</v>
      </c>
      <c r="D1978" s="75">
        <f>IFERROR(__xludf.DUMMYFUNCTION("""COMPUTED_VALUE"""),0.0)</f>
        <v>0</v>
      </c>
      <c r="E1978" s="64"/>
      <c r="F1978" s="95"/>
      <c r="G1978" s="96"/>
      <c r="H1978" s="64"/>
      <c r="I1978" s="64"/>
      <c r="J1978" s="64"/>
      <c r="K1978" s="64"/>
      <c r="L1978" s="64"/>
    </row>
    <row r="1979" ht="16.5" customHeight="1">
      <c r="A1979" s="64"/>
      <c r="B1979" s="80" t="s">
        <v>18249</v>
      </c>
      <c r="C1979" s="81" t="str">
        <f>IFERROR(__xludf.DUMMYFUNCTION("""COMPUTED_VALUE"""),"rabaldor")</f>
        <v>rabaldor</v>
      </c>
      <c r="D1979" s="75">
        <f>IFERROR(__xludf.DUMMYFUNCTION("""COMPUTED_VALUE"""),0.0)</f>
        <v>0</v>
      </c>
      <c r="E1979" s="64"/>
      <c r="F1979" s="95"/>
      <c r="G1979" s="96"/>
      <c r="H1979" s="64"/>
      <c r="I1979" s="64"/>
      <c r="J1979" s="64"/>
      <c r="K1979" s="64"/>
      <c r="L1979" s="64"/>
    </row>
    <row r="1980" ht="16.5" customHeight="1">
      <c r="A1980" s="64"/>
      <c r="B1980" s="80" t="s">
        <v>18249</v>
      </c>
      <c r="C1980" s="81" t="str">
        <f>IFERROR(__xludf.DUMMYFUNCTION("""COMPUTED_VALUE"""),"rachelm77632546")</f>
        <v>rachelm77632546</v>
      </c>
      <c r="D1980" s="75">
        <f>IFERROR(__xludf.DUMMYFUNCTION("""COMPUTED_VALUE"""),0.0)</f>
        <v>0</v>
      </c>
      <c r="E1980" s="64"/>
      <c r="F1980" s="95"/>
      <c r="G1980" s="96"/>
      <c r="H1980" s="64"/>
      <c r="I1980" s="64"/>
      <c r="J1980" s="64"/>
      <c r="K1980" s="64"/>
      <c r="L1980" s="64"/>
    </row>
    <row r="1981" ht="16.5" customHeight="1">
      <c r="A1981" s="64"/>
      <c r="B1981" s="80" t="s">
        <v>18249</v>
      </c>
      <c r="C1981" s="81" t="str">
        <f>IFERROR(__xludf.DUMMYFUNCTION("""COMPUTED_VALUE"""),"rachhutch13")</f>
        <v>rachhutch13</v>
      </c>
      <c r="D1981" s="75">
        <f>IFERROR(__xludf.DUMMYFUNCTION("""COMPUTED_VALUE"""),0.0)</f>
        <v>0</v>
      </c>
      <c r="E1981" s="64"/>
      <c r="F1981" s="95"/>
      <c r="G1981" s="96"/>
      <c r="H1981" s="64"/>
      <c r="I1981" s="64"/>
      <c r="J1981" s="64"/>
      <c r="K1981" s="64"/>
      <c r="L1981" s="64"/>
    </row>
    <row r="1982" ht="16.5" customHeight="1">
      <c r="A1982" s="64"/>
      <c r="B1982" s="80" t="s">
        <v>18249</v>
      </c>
      <c r="C1982" s="81" t="str">
        <f>IFERROR(__xludf.DUMMYFUNCTION("""COMPUTED_VALUE"""),"radiofourfan")</f>
        <v>radiofourfan</v>
      </c>
      <c r="D1982" s="75">
        <f>IFERROR(__xludf.DUMMYFUNCTION("""COMPUTED_VALUE"""),0.0)</f>
        <v>0</v>
      </c>
      <c r="E1982" s="64"/>
      <c r="F1982" s="95"/>
      <c r="G1982" s="96"/>
      <c r="H1982" s="64"/>
      <c r="I1982" s="64"/>
      <c r="J1982" s="64"/>
      <c r="K1982" s="64"/>
      <c r="L1982" s="64"/>
    </row>
    <row r="1983" ht="16.5" customHeight="1">
      <c r="A1983" s="64"/>
      <c r="B1983" s="80" t="s">
        <v>18249</v>
      </c>
      <c r="C1983" s="81" t="str">
        <f>IFERROR(__xludf.DUMMYFUNCTION("""COMPUTED_VALUE"""),"rajni1959")</f>
        <v>rajni1959</v>
      </c>
      <c r="D1983" s="75">
        <f>IFERROR(__xludf.DUMMYFUNCTION("""COMPUTED_VALUE"""),0.0)</f>
        <v>0</v>
      </c>
      <c r="E1983" s="64"/>
      <c r="F1983" s="95"/>
      <c r="G1983" s="96"/>
      <c r="H1983" s="64"/>
      <c r="I1983" s="64"/>
      <c r="J1983" s="64"/>
      <c r="K1983" s="64"/>
      <c r="L1983" s="64"/>
    </row>
    <row r="1984" ht="16.5" customHeight="1">
      <c r="A1984" s="64"/>
      <c r="B1984" s="80" t="s">
        <v>18249</v>
      </c>
      <c r="C1984" s="81" t="str">
        <f>IFERROR(__xludf.DUMMYFUNCTION("""COMPUTED_VALUE"""),"ratcliffe_nick")</f>
        <v>ratcliffe_nick</v>
      </c>
      <c r="D1984" s="75">
        <f>IFERROR(__xludf.DUMMYFUNCTION("""COMPUTED_VALUE"""),0.0)</f>
        <v>0</v>
      </c>
      <c r="E1984" s="64"/>
      <c r="F1984" s="95"/>
      <c r="G1984" s="96"/>
      <c r="H1984" s="64"/>
      <c r="I1984" s="64"/>
      <c r="J1984" s="64"/>
      <c r="K1984" s="64"/>
      <c r="L1984" s="64"/>
    </row>
    <row r="1985" ht="16.5" customHeight="1">
      <c r="A1985" s="64"/>
      <c r="B1985" s="80" t="s">
        <v>18249</v>
      </c>
      <c r="C1985" s="81" t="str">
        <f>IFERROR(__xludf.DUMMYFUNCTION("""COMPUTED_VALUE"""),"rattaplan76")</f>
        <v>rattaplan76</v>
      </c>
      <c r="D1985" s="75">
        <f>IFERROR(__xludf.DUMMYFUNCTION("""COMPUTED_VALUE"""),0.0)</f>
        <v>0</v>
      </c>
      <c r="E1985" s="64"/>
      <c r="F1985" s="95"/>
      <c r="G1985" s="96"/>
      <c r="H1985" s="64"/>
      <c r="I1985" s="64"/>
      <c r="J1985" s="64"/>
      <c r="K1985" s="64"/>
      <c r="L1985" s="64"/>
    </row>
    <row r="1986" ht="16.5" customHeight="1">
      <c r="A1986" s="64"/>
      <c r="B1986" s="80" t="s">
        <v>18249</v>
      </c>
      <c r="C1986" s="81" t="str">
        <f>IFERROR(__xludf.DUMMYFUNCTION("""COMPUTED_VALUE"""),"re11ddy")</f>
        <v>re11ddy</v>
      </c>
      <c r="D1986" s="75">
        <f>IFERROR(__xludf.DUMMYFUNCTION("""COMPUTED_VALUE"""),0.0)</f>
        <v>0</v>
      </c>
      <c r="E1986" s="64"/>
      <c r="F1986" s="95"/>
      <c r="G1986" s="96"/>
      <c r="H1986" s="64"/>
      <c r="I1986" s="64"/>
      <c r="J1986" s="64"/>
      <c r="K1986" s="64"/>
      <c r="L1986" s="64"/>
    </row>
    <row r="1987" ht="16.5" customHeight="1">
      <c r="A1987" s="64"/>
      <c r="B1987" s="80" t="s">
        <v>18249</v>
      </c>
      <c r="C1987" s="81" t="str">
        <f>IFERROR(__xludf.DUMMYFUNCTION("""COMPUTED_VALUE"""),"realmumma2")</f>
        <v>realmumma2</v>
      </c>
      <c r="D1987" s="75">
        <f>IFERROR(__xludf.DUMMYFUNCTION("""COMPUTED_VALUE"""),0.0)</f>
        <v>0</v>
      </c>
      <c r="E1987" s="64"/>
      <c r="F1987" s="95"/>
      <c r="G1987" s="96"/>
      <c r="H1987" s="64"/>
      <c r="I1987" s="64"/>
      <c r="J1987" s="64"/>
      <c r="K1987" s="64"/>
      <c r="L1987" s="64"/>
    </row>
    <row r="1988" ht="16.5" customHeight="1">
      <c r="A1988" s="64"/>
      <c r="B1988" s="80" t="s">
        <v>18249</v>
      </c>
      <c r="C1988" s="81" t="str">
        <f>IFERROR(__xludf.DUMMYFUNCTION("""COMPUTED_VALUE"""),"rec777777")</f>
        <v>rec777777</v>
      </c>
      <c r="D1988" s="75">
        <f>IFERROR(__xludf.DUMMYFUNCTION("""COMPUTED_VALUE"""),0.0)</f>
        <v>0</v>
      </c>
      <c r="E1988" s="64"/>
      <c r="F1988" s="95"/>
      <c r="G1988" s="96"/>
      <c r="H1988" s="64"/>
      <c r="I1988" s="64"/>
      <c r="J1988" s="64"/>
      <c r="K1988" s="64"/>
      <c r="L1988" s="64"/>
    </row>
    <row r="1989" ht="16.5" customHeight="1">
      <c r="A1989" s="64"/>
      <c r="B1989" s="80" t="s">
        <v>18249</v>
      </c>
      <c r="C1989" s="81" t="str">
        <f>IFERROR(__xludf.DUMMYFUNCTION("""COMPUTED_VALUE"""),"redflame1960")</f>
        <v>redflame1960</v>
      </c>
      <c r="D1989" s="75">
        <f>IFERROR(__xludf.DUMMYFUNCTION("""COMPUTED_VALUE"""),0.0)</f>
        <v>0</v>
      </c>
      <c r="E1989" s="64"/>
      <c r="F1989" s="95"/>
      <c r="G1989" s="96"/>
      <c r="H1989" s="64"/>
      <c r="I1989" s="64"/>
      <c r="J1989" s="64"/>
      <c r="K1989" s="64"/>
      <c r="L1989" s="64"/>
    </row>
    <row r="1990" ht="16.5" customHeight="1">
      <c r="A1990" s="64"/>
      <c r="B1990" s="80" t="s">
        <v>18249</v>
      </c>
      <c r="C1990" s="81" t="str">
        <f>IFERROR(__xludf.DUMMYFUNCTION("""COMPUTED_VALUE"""),"redland15")</f>
        <v>redland15</v>
      </c>
      <c r="D1990" s="75">
        <f>IFERROR(__xludf.DUMMYFUNCTION("""COMPUTED_VALUE"""),0.0)</f>
        <v>0</v>
      </c>
      <c r="E1990" s="64"/>
      <c r="F1990" s="95"/>
      <c r="G1990" s="96"/>
      <c r="H1990" s="64"/>
      <c r="I1990" s="64"/>
      <c r="J1990" s="64"/>
      <c r="K1990" s="64"/>
      <c r="L1990" s="64"/>
    </row>
    <row r="1991" ht="16.5" customHeight="1">
      <c r="A1991" s="64"/>
      <c r="B1991" s="80" t="s">
        <v>18249</v>
      </c>
      <c r="C1991" s="81" t="str">
        <f>IFERROR(__xludf.DUMMYFUNCTION("""COMPUTED_VALUE"""),"reesprescribe")</f>
        <v>reesprescribe</v>
      </c>
      <c r="D1991" s="75">
        <f>IFERROR(__xludf.DUMMYFUNCTION("""COMPUTED_VALUE"""),0.0)</f>
        <v>0</v>
      </c>
      <c r="E1991" s="64"/>
      <c r="F1991" s="95"/>
      <c r="G1991" s="96"/>
      <c r="H1991" s="64"/>
      <c r="I1991" s="64"/>
      <c r="J1991" s="64"/>
      <c r="K1991" s="64"/>
      <c r="L1991" s="64"/>
    </row>
    <row r="1992" ht="16.5" customHeight="1">
      <c r="A1992" s="64"/>
      <c r="B1992" s="80" t="s">
        <v>18249</v>
      </c>
      <c r="C1992" s="81" t="str">
        <f>IFERROR(__xludf.DUMMYFUNCTION("""COMPUTED_VALUE"""),"relwofs54")</f>
        <v>relwofs54</v>
      </c>
      <c r="D1992" s="75">
        <f>IFERROR(__xludf.DUMMYFUNCTION("""COMPUTED_VALUE"""),0.0)</f>
        <v>0</v>
      </c>
      <c r="E1992" s="64"/>
      <c r="F1992" s="95"/>
      <c r="G1992" s="96"/>
      <c r="H1992" s="64"/>
      <c r="I1992" s="64"/>
      <c r="J1992" s="64"/>
      <c r="K1992" s="64"/>
      <c r="L1992" s="64"/>
    </row>
    <row r="1993" ht="16.5" customHeight="1">
      <c r="A1993" s="64"/>
      <c r="B1993" s="80" t="s">
        <v>18249</v>
      </c>
      <c r="C1993" s="81" t="str">
        <f>IFERROR(__xludf.DUMMYFUNCTION("""COMPUTED_VALUE"""),"remainophile")</f>
        <v>remainophile</v>
      </c>
      <c r="D1993" s="75">
        <f>IFERROR(__xludf.DUMMYFUNCTION("""COMPUTED_VALUE"""),0.0)</f>
        <v>0</v>
      </c>
      <c r="E1993" s="64"/>
      <c r="F1993" s="95"/>
      <c r="G1993" s="96"/>
      <c r="H1993" s="64"/>
      <c r="I1993" s="64"/>
      <c r="J1993" s="64"/>
      <c r="K1993" s="64"/>
      <c r="L1993" s="64"/>
    </row>
    <row r="1994" ht="16.5" customHeight="1">
      <c r="A1994" s="64"/>
      <c r="B1994" s="80" t="s">
        <v>18249</v>
      </c>
      <c r="C1994" s="81" t="str">
        <f>IFERROR(__xludf.DUMMYFUNCTION("""COMPUTED_VALUE"""),"revscott6")</f>
        <v>revscott6</v>
      </c>
      <c r="D1994" s="75">
        <f>IFERROR(__xludf.DUMMYFUNCTION("""COMPUTED_VALUE"""),0.0)</f>
        <v>0</v>
      </c>
      <c r="E1994" s="64"/>
      <c r="F1994" s="95"/>
      <c r="G1994" s="96"/>
      <c r="H1994" s="64"/>
      <c r="I1994" s="64"/>
      <c r="J1994" s="64"/>
      <c r="K1994" s="64"/>
      <c r="L1994" s="64"/>
    </row>
    <row r="1995" ht="16.5" customHeight="1">
      <c r="A1995" s="64"/>
      <c r="B1995" s="80" t="s">
        <v>18249</v>
      </c>
      <c r="C1995" s="81" t="str">
        <f>IFERROR(__xludf.DUMMYFUNCTION("""COMPUTED_VALUE"""),"reza_sharifii")</f>
        <v>reza_sharifii</v>
      </c>
      <c r="D1995" s="75">
        <f>IFERROR(__xludf.DUMMYFUNCTION("""COMPUTED_VALUE"""),0.0)</f>
        <v>0</v>
      </c>
      <c r="E1995" s="64"/>
      <c r="F1995" s="95"/>
      <c r="G1995" s="96"/>
      <c r="H1995" s="64"/>
      <c r="I1995" s="64"/>
      <c r="J1995" s="64"/>
      <c r="K1995" s="64"/>
      <c r="L1995" s="64"/>
    </row>
    <row r="1996" ht="16.5" customHeight="1">
      <c r="A1996" s="64"/>
      <c r="B1996" s="80" t="s">
        <v>18249</v>
      </c>
      <c r="C1996" s="81" t="str">
        <f>IFERROR(__xludf.DUMMYFUNCTION("""COMPUTED_VALUE"""),"richardbullard2")</f>
        <v>richardbullard2</v>
      </c>
      <c r="D1996" s="75">
        <f>IFERROR(__xludf.DUMMYFUNCTION("""COMPUTED_VALUE"""),0.0)</f>
        <v>0</v>
      </c>
      <c r="E1996" s="64"/>
      <c r="F1996" s="95"/>
      <c r="G1996" s="96"/>
      <c r="H1996" s="64"/>
      <c r="I1996" s="64"/>
      <c r="J1996" s="64"/>
      <c r="K1996" s="64"/>
      <c r="L1996" s="64"/>
    </row>
    <row r="1997" ht="16.5" customHeight="1">
      <c r="A1997" s="64"/>
      <c r="B1997" s="80" t="s">
        <v>18249</v>
      </c>
      <c r="C1997" s="81" t="str">
        <f>IFERROR(__xludf.DUMMYFUNCTION("""COMPUTED_VALUE"""),"richardcalhoun")</f>
        <v>richardcalhoun</v>
      </c>
      <c r="D1997" s="75">
        <f>IFERROR(__xludf.DUMMYFUNCTION("""COMPUTED_VALUE"""),0.0)</f>
        <v>0</v>
      </c>
      <c r="E1997" s="64"/>
      <c r="F1997" s="95"/>
      <c r="G1997" s="96"/>
      <c r="H1997" s="64"/>
      <c r="I1997" s="64"/>
      <c r="J1997" s="64"/>
      <c r="K1997" s="64"/>
      <c r="L1997" s="64"/>
    </row>
    <row r="1998" ht="16.5" customHeight="1">
      <c r="A1998" s="64"/>
      <c r="B1998" s="80" t="s">
        <v>18249</v>
      </c>
      <c r="C1998" s="81" t="str">
        <f>IFERROR(__xludf.DUMMYFUNCTION("""COMPUTED_VALUE"""),"richardpantlin")</f>
        <v>richardpantlin</v>
      </c>
      <c r="D1998" s="75">
        <f>IFERROR(__xludf.DUMMYFUNCTION("""COMPUTED_VALUE"""),0.0)</f>
        <v>0</v>
      </c>
      <c r="E1998" s="64"/>
      <c r="F1998" s="95"/>
      <c r="G1998" s="96"/>
      <c r="H1998" s="64"/>
      <c r="I1998" s="64"/>
      <c r="J1998" s="64"/>
      <c r="K1998" s="64"/>
      <c r="L1998" s="64"/>
    </row>
    <row r="1999" ht="16.5" customHeight="1">
      <c r="A1999" s="64"/>
      <c r="B1999" s="80" t="s">
        <v>18249</v>
      </c>
      <c r="C1999" s="81" t="str">
        <f>IFERROR(__xludf.DUMMYFUNCTION("""COMPUTED_VALUE"""),"richardvranch")</f>
        <v>richardvranch</v>
      </c>
      <c r="D1999" s="75">
        <f>IFERROR(__xludf.DUMMYFUNCTION("""COMPUTED_VALUE"""),0.0)</f>
        <v>0</v>
      </c>
      <c r="E1999" s="64"/>
      <c r="F1999" s="95"/>
      <c r="G1999" s="96"/>
      <c r="H1999" s="64"/>
      <c r="I1999" s="64"/>
      <c r="J1999" s="64"/>
      <c r="K1999" s="64"/>
      <c r="L1999" s="64"/>
    </row>
    <row r="2000" ht="16.5" customHeight="1">
      <c r="A2000" s="64"/>
      <c r="B2000" s="80" t="s">
        <v>18249</v>
      </c>
      <c r="C2000" s="81" t="str">
        <f>IFERROR(__xludf.DUMMYFUNCTION("""COMPUTED_VALUE"""),"rickglyn")</f>
        <v>rickglyn</v>
      </c>
      <c r="D2000" s="75">
        <f>IFERROR(__xludf.DUMMYFUNCTION("""COMPUTED_VALUE"""),0.0)</f>
        <v>0</v>
      </c>
      <c r="E2000" s="64"/>
      <c r="F2000" s="95"/>
      <c r="G2000" s="96"/>
      <c r="H2000" s="64"/>
      <c r="I2000" s="64"/>
      <c r="J2000" s="64"/>
      <c r="K2000" s="64"/>
      <c r="L2000" s="64"/>
    </row>
    <row r="2001" ht="16.5" customHeight="1">
      <c r="A2001" s="64"/>
      <c r="B2001" s="80" t="s">
        <v>18249</v>
      </c>
      <c r="C2001" s="81" t="str">
        <f>IFERROR(__xludf.DUMMYFUNCTION("""COMPUTED_VALUE"""),"riding_david")</f>
        <v>riding_david</v>
      </c>
      <c r="D2001" s="75">
        <f>IFERROR(__xludf.DUMMYFUNCTION("""COMPUTED_VALUE"""),0.0)</f>
        <v>0</v>
      </c>
      <c r="E2001" s="64"/>
      <c r="F2001" s="95"/>
      <c r="G2001" s="96"/>
      <c r="H2001" s="64"/>
      <c r="I2001" s="64"/>
      <c r="J2001" s="64"/>
      <c r="K2001" s="64"/>
      <c r="L2001" s="64"/>
    </row>
    <row r="2002" ht="16.5" customHeight="1">
      <c r="A2002" s="64"/>
      <c r="B2002" s="80" t="s">
        <v>18249</v>
      </c>
      <c r="C2002" s="81" t="str">
        <f>IFERROR(__xludf.DUMMYFUNCTION("""COMPUTED_VALUE"""),"rins2pworth")</f>
        <v>rins2pworth</v>
      </c>
      <c r="D2002" s="75">
        <f>IFERROR(__xludf.DUMMYFUNCTION("""COMPUTED_VALUE"""),0.0)</f>
        <v>0</v>
      </c>
      <c r="E2002" s="64"/>
      <c r="F2002" s="95"/>
      <c r="G2002" s="96"/>
      <c r="H2002" s="64"/>
      <c r="I2002" s="64"/>
      <c r="J2002" s="64"/>
      <c r="K2002" s="64"/>
      <c r="L2002" s="64"/>
    </row>
    <row r="2003" ht="16.5" customHeight="1">
      <c r="A2003" s="64"/>
      <c r="B2003" s="80" t="s">
        <v>18249</v>
      </c>
      <c r="C2003" s="81" t="str">
        <f>IFERROR(__xludf.DUMMYFUNCTION("""COMPUTED_VALUE"""),"rittster")</f>
        <v>rittster</v>
      </c>
      <c r="D2003" s="75">
        <f>IFERROR(__xludf.DUMMYFUNCTION("""COMPUTED_VALUE"""),0.0)</f>
        <v>0</v>
      </c>
      <c r="E2003" s="64"/>
      <c r="F2003" s="95"/>
      <c r="G2003" s="96"/>
      <c r="H2003" s="64"/>
      <c r="I2003" s="64"/>
      <c r="J2003" s="64"/>
      <c r="K2003" s="64"/>
      <c r="L2003" s="64"/>
    </row>
    <row r="2004" ht="16.5" customHeight="1">
      <c r="A2004" s="64"/>
      <c r="B2004" s="80" t="s">
        <v>18249</v>
      </c>
      <c r="C2004" s="81" t="str">
        <f>IFERROR(__xludf.DUMMYFUNCTION("""COMPUTED_VALUE"""),"roach_jeffrey")</f>
        <v>roach_jeffrey</v>
      </c>
      <c r="D2004" s="75">
        <f>IFERROR(__xludf.DUMMYFUNCTION("""COMPUTED_VALUE"""),0.0)</f>
        <v>0</v>
      </c>
      <c r="E2004" s="64"/>
      <c r="F2004" s="95"/>
      <c r="G2004" s="96"/>
      <c r="H2004" s="64"/>
      <c r="I2004" s="64"/>
      <c r="J2004" s="64"/>
      <c r="K2004" s="64"/>
      <c r="L2004" s="64"/>
    </row>
    <row r="2005" ht="16.5" customHeight="1">
      <c r="A2005" s="64"/>
      <c r="B2005" s="80" t="s">
        <v>18249</v>
      </c>
      <c r="C2005" s="81" t="str">
        <f>IFERROR(__xludf.DUMMYFUNCTION("""COMPUTED_VALUE"""),"robeagleSS")</f>
        <v>robeagleSS</v>
      </c>
      <c r="D2005" s="75">
        <f>IFERROR(__xludf.DUMMYFUNCTION("""COMPUTED_VALUE"""),0.0)</f>
        <v>0</v>
      </c>
      <c r="E2005" s="64"/>
      <c r="F2005" s="95"/>
      <c r="G2005" s="96"/>
      <c r="H2005" s="64"/>
      <c r="I2005" s="64"/>
      <c r="J2005" s="64"/>
      <c r="K2005" s="64"/>
      <c r="L2005" s="64"/>
    </row>
    <row r="2006" ht="16.5" customHeight="1">
      <c r="A2006" s="64"/>
      <c r="B2006" s="80" t="s">
        <v>18249</v>
      </c>
      <c r="C2006" s="81" t="str">
        <f>IFERROR(__xludf.DUMMYFUNCTION("""COMPUTED_VALUE"""),"robert0461")</f>
        <v>robert0461</v>
      </c>
      <c r="D2006" s="75">
        <f>IFERROR(__xludf.DUMMYFUNCTION("""COMPUTED_VALUE"""),0.0)</f>
        <v>0</v>
      </c>
      <c r="E2006" s="64"/>
      <c r="F2006" s="95"/>
      <c r="G2006" s="96"/>
      <c r="H2006" s="64"/>
      <c r="I2006" s="64"/>
      <c r="J2006" s="64"/>
      <c r="K2006" s="64"/>
      <c r="L2006" s="64"/>
    </row>
    <row r="2007" ht="16.5" customHeight="1">
      <c r="A2007" s="64"/>
      <c r="B2007" s="80" t="s">
        <v>18249</v>
      </c>
      <c r="C2007" s="81" t="str">
        <f>IFERROR(__xludf.DUMMYFUNCTION("""COMPUTED_VALUE"""),"robertsproggit")</f>
        <v>robertsproggit</v>
      </c>
      <c r="D2007" s="75">
        <f>IFERROR(__xludf.DUMMYFUNCTION("""COMPUTED_VALUE"""),0.0)</f>
        <v>0</v>
      </c>
      <c r="E2007" s="64"/>
      <c r="F2007" s="95"/>
      <c r="G2007" s="96"/>
      <c r="H2007" s="64"/>
      <c r="I2007" s="64"/>
      <c r="J2007" s="64"/>
      <c r="K2007" s="64"/>
      <c r="L2007" s="64"/>
    </row>
    <row r="2008" ht="16.5" customHeight="1">
      <c r="A2008" s="64"/>
      <c r="B2008" s="80" t="s">
        <v>18249</v>
      </c>
      <c r="C2008" s="81" t="str">
        <f>IFERROR(__xludf.DUMMYFUNCTION("""COMPUTED_VALUE"""),"robittybobnob")</f>
        <v>robittybobnob</v>
      </c>
      <c r="D2008" s="75">
        <f>IFERROR(__xludf.DUMMYFUNCTION("""COMPUTED_VALUE"""),0.0)</f>
        <v>0</v>
      </c>
      <c r="E2008" s="64"/>
      <c r="F2008" s="95"/>
      <c r="G2008" s="96"/>
      <c r="H2008" s="64"/>
      <c r="I2008" s="64"/>
      <c r="J2008" s="64"/>
      <c r="K2008" s="64"/>
      <c r="L2008" s="64"/>
    </row>
    <row r="2009" ht="16.5" customHeight="1">
      <c r="A2009" s="64"/>
      <c r="B2009" s="80" t="s">
        <v>18249</v>
      </c>
      <c r="C2009" s="81" t="str">
        <f>IFERROR(__xludf.DUMMYFUNCTION("""COMPUTED_VALUE"""),"roblwilson")</f>
        <v>roblwilson</v>
      </c>
      <c r="D2009" s="75">
        <f>IFERROR(__xludf.DUMMYFUNCTION("""COMPUTED_VALUE"""),0.0)</f>
        <v>0</v>
      </c>
      <c r="E2009" s="64"/>
      <c r="F2009" s="95"/>
      <c r="G2009" s="96"/>
      <c r="H2009" s="64"/>
      <c r="I2009" s="64"/>
      <c r="J2009" s="64"/>
      <c r="K2009" s="64"/>
      <c r="L2009" s="64"/>
    </row>
    <row r="2010" ht="16.5" customHeight="1">
      <c r="A2010" s="64"/>
      <c r="B2010" s="80" t="s">
        <v>18249</v>
      </c>
      <c r="C2010" s="81" t="str">
        <f>IFERROR(__xludf.DUMMYFUNCTION("""COMPUTED_VALUE"""),"rockymaporak")</f>
        <v>rockymaporak</v>
      </c>
      <c r="D2010" s="75">
        <f>IFERROR(__xludf.DUMMYFUNCTION("""COMPUTED_VALUE"""),0.0)</f>
        <v>0</v>
      </c>
      <c r="E2010" s="64"/>
      <c r="F2010" s="95"/>
      <c r="G2010" s="96"/>
      <c r="H2010" s="64"/>
      <c r="I2010" s="64"/>
      <c r="J2010" s="64"/>
      <c r="K2010" s="64"/>
      <c r="L2010" s="64"/>
    </row>
    <row r="2011" ht="16.5" customHeight="1">
      <c r="A2011" s="64"/>
      <c r="B2011" s="80" t="s">
        <v>18249</v>
      </c>
      <c r="C2011" s="81" t="str">
        <f>IFERROR(__xludf.DUMMYFUNCTION("""COMPUTED_VALUE"""),"rogerBrumUK")</f>
        <v>rogerBrumUK</v>
      </c>
      <c r="D2011" s="75">
        <f>IFERROR(__xludf.DUMMYFUNCTION("""COMPUTED_VALUE"""),0.0)</f>
        <v>0</v>
      </c>
      <c r="E2011" s="64"/>
      <c r="F2011" s="95"/>
      <c r="G2011" s="96"/>
      <c r="H2011" s="64"/>
      <c r="I2011" s="64"/>
      <c r="J2011" s="64"/>
      <c r="K2011" s="64"/>
      <c r="L2011" s="64"/>
    </row>
    <row r="2012" ht="16.5" customHeight="1">
      <c r="A2012" s="64"/>
      <c r="B2012" s="80" t="s">
        <v>18249</v>
      </c>
      <c r="C2012" s="81" t="str">
        <f>IFERROR(__xludf.DUMMYFUNCTION("""COMPUTED_VALUE"""),"roger_hash")</f>
        <v>roger_hash</v>
      </c>
      <c r="D2012" s="75">
        <f>IFERROR(__xludf.DUMMYFUNCTION("""COMPUTED_VALUE"""),0.0)</f>
        <v>0</v>
      </c>
      <c r="E2012" s="64"/>
      <c r="F2012" s="95"/>
      <c r="G2012" s="96"/>
      <c r="H2012" s="64"/>
      <c r="I2012" s="64"/>
      <c r="J2012" s="64"/>
      <c r="K2012" s="64"/>
      <c r="L2012" s="64"/>
    </row>
    <row r="2013" ht="16.5" customHeight="1">
      <c r="A2013" s="64"/>
      <c r="B2013" s="80" t="s">
        <v>18249</v>
      </c>
      <c r="C2013" s="81" t="str">
        <f>IFERROR(__xludf.DUMMYFUNCTION("""COMPUTED_VALUE"""),"roger_heywood")</f>
        <v>roger_heywood</v>
      </c>
      <c r="D2013" s="75">
        <f>IFERROR(__xludf.DUMMYFUNCTION("""COMPUTED_VALUE"""),0.0)</f>
        <v>0</v>
      </c>
      <c r="E2013" s="64"/>
      <c r="F2013" s="95"/>
      <c r="G2013" s="96"/>
      <c r="H2013" s="64"/>
      <c r="I2013" s="64"/>
      <c r="J2013" s="64"/>
      <c r="K2013" s="64"/>
      <c r="L2013" s="64"/>
    </row>
    <row r="2014" ht="16.5" customHeight="1">
      <c r="A2014" s="64"/>
      <c r="B2014" s="80" t="s">
        <v>18249</v>
      </c>
      <c r="C2014" s="81" t="str">
        <f>IFERROR(__xludf.DUMMYFUNCTION("""COMPUTED_VALUE"""),"rolandbullivant")</f>
        <v>rolandbullivant</v>
      </c>
      <c r="D2014" s="75">
        <f>IFERROR(__xludf.DUMMYFUNCTION("""COMPUTED_VALUE"""),0.0)</f>
        <v>0</v>
      </c>
      <c r="E2014" s="64"/>
      <c r="F2014" s="95"/>
      <c r="G2014" s="96"/>
      <c r="H2014" s="64"/>
      <c r="I2014" s="64"/>
      <c r="J2014" s="64"/>
      <c r="K2014" s="64"/>
      <c r="L2014" s="64"/>
    </row>
    <row r="2015" ht="16.5" customHeight="1">
      <c r="A2015" s="64"/>
      <c r="B2015" s="80" t="s">
        <v>18249</v>
      </c>
      <c r="C2015" s="81" t="str">
        <f>IFERROR(__xludf.DUMMYFUNCTION("""COMPUTED_VALUE"""),"ronbuch")</f>
        <v>ronbuch</v>
      </c>
      <c r="D2015" s="75">
        <f>IFERROR(__xludf.DUMMYFUNCTION("""COMPUTED_VALUE"""),0.0)</f>
        <v>0</v>
      </c>
      <c r="E2015" s="64"/>
      <c r="F2015" s="95"/>
      <c r="G2015" s="96"/>
      <c r="H2015" s="64"/>
      <c r="I2015" s="64"/>
      <c r="J2015" s="64"/>
      <c r="K2015" s="64"/>
      <c r="L2015" s="64"/>
    </row>
    <row r="2016" ht="16.5" customHeight="1">
      <c r="A2016" s="64"/>
      <c r="B2016" s="80" t="s">
        <v>18249</v>
      </c>
      <c r="C2016" s="81" t="str">
        <f>IFERROR(__xludf.DUMMYFUNCTION("""COMPUTED_VALUE"""),"rooftopdennis")</f>
        <v>rooftopdennis</v>
      </c>
      <c r="D2016" s="75">
        <f>IFERROR(__xludf.DUMMYFUNCTION("""COMPUTED_VALUE"""),0.0)</f>
        <v>0</v>
      </c>
      <c r="E2016" s="64"/>
      <c r="F2016" s="95"/>
      <c r="G2016" s="96"/>
      <c r="H2016" s="64"/>
      <c r="I2016" s="64"/>
      <c r="J2016" s="64"/>
      <c r="K2016" s="64"/>
      <c r="L2016" s="64"/>
    </row>
    <row r="2017" ht="16.5" customHeight="1">
      <c r="A2017" s="64"/>
      <c r="B2017" s="80" t="s">
        <v>18249</v>
      </c>
      <c r="C2017" s="81" t="str">
        <f>IFERROR(__xludf.DUMMYFUNCTION("""COMPUTED_VALUE"""),"rosalynemf")</f>
        <v>rosalynemf</v>
      </c>
      <c r="D2017" s="75">
        <f>IFERROR(__xludf.DUMMYFUNCTION("""COMPUTED_VALUE"""),0.0)</f>
        <v>0</v>
      </c>
      <c r="E2017" s="64"/>
      <c r="F2017" s="95"/>
      <c r="G2017" s="96"/>
      <c r="H2017" s="64"/>
      <c r="I2017" s="64"/>
      <c r="J2017" s="64"/>
      <c r="K2017" s="64"/>
      <c r="L2017" s="64"/>
    </row>
    <row r="2018" ht="16.5" customHeight="1">
      <c r="A2018" s="64"/>
      <c r="B2018" s="80" t="s">
        <v>18249</v>
      </c>
      <c r="C2018" s="81" t="str">
        <f>IFERROR(__xludf.DUMMYFUNCTION("""COMPUTED_VALUE"""),"rosepoet")</f>
        <v>rosepoet</v>
      </c>
      <c r="D2018" s="75">
        <f>IFERROR(__xludf.DUMMYFUNCTION("""COMPUTED_VALUE"""),0.0)</f>
        <v>0</v>
      </c>
      <c r="E2018" s="64"/>
      <c r="F2018" s="95"/>
      <c r="G2018" s="96"/>
      <c r="H2018" s="64"/>
      <c r="I2018" s="64"/>
      <c r="J2018" s="64"/>
      <c r="K2018" s="64"/>
      <c r="L2018" s="64"/>
    </row>
    <row r="2019" ht="16.5" customHeight="1">
      <c r="A2019" s="64"/>
      <c r="B2019" s="80" t="s">
        <v>18249</v>
      </c>
      <c r="C2019" s="81" t="str">
        <f>IFERROR(__xludf.DUMMYFUNCTION("""COMPUTED_VALUE"""),"rowanscott")</f>
        <v>rowanscott</v>
      </c>
      <c r="D2019" s="75">
        <f>IFERROR(__xludf.DUMMYFUNCTION("""COMPUTED_VALUE"""),0.0)</f>
        <v>0</v>
      </c>
      <c r="E2019" s="64"/>
      <c r="F2019" s="95"/>
      <c r="G2019" s="96"/>
      <c r="H2019" s="64"/>
      <c r="I2019" s="64"/>
      <c r="J2019" s="64"/>
      <c r="K2019" s="64"/>
      <c r="L2019" s="64"/>
    </row>
    <row r="2020" ht="16.5" customHeight="1">
      <c r="A2020" s="64"/>
      <c r="B2020" s="80" t="s">
        <v>18249</v>
      </c>
      <c r="C2020" s="81" t="str">
        <f>IFERROR(__xludf.DUMMYFUNCTION("""COMPUTED_VALUE"""),"roygrubb")</f>
        <v>roygrubb</v>
      </c>
      <c r="D2020" s="75">
        <f>IFERROR(__xludf.DUMMYFUNCTION("""COMPUTED_VALUE"""),0.0)</f>
        <v>0</v>
      </c>
      <c r="E2020" s="64"/>
      <c r="F2020" s="95"/>
      <c r="G2020" s="96"/>
      <c r="H2020" s="64"/>
      <c r="I2020" s="64"/>
      <c r="J2020" s="64"/>
      <c r="K2020" s="64"/>
      <c r="L2020" s="64"/>
    </row>
    <row r="2021" ht="16.5" customHeight="1">
      <c r="A2021" s="64"/>
      <c r="B2021" s="80" t="s">
        <v>18249</v>
      </c>
      <c r="C2021" s="81" t="str">
        <f>IFERROR(__xludf.DUMMYFUNCTION("""COMPUTED_VALUE"""),"rubyshoes18")</f>
        <v>rubyshoes18</v>
      </c>
      <c r="D2021" s="75">
        <f>IFERROR(__xludf.DUMMYFUNCTION("""COMPUTED_VALUE"""),0.0)</f>
        <v>0</v>
      </c>
      <c r="E2021" s="64"/>
      <c r="F2021" s="95"/>
      <c r="G2021" s="96"/>
      <c r="H2021" s="64"/>
      <c r="I2021" s="64"/>
      <c r="J2021" s="64"/>
      <c r="K2021" s="64"/>
      <c r="L2021" s="64"/>
    </row>
    <row r="2022" ht="16.5" customHeight="1">
      <c r="A2022" s="64"/>
      <c r="B2022" s="80" t="s">
        <v>18249</v>
      </c>
      <c r="C2022" s="81" t="str">
        <f>IFERROR(__xludf.DUMMYFUNCTION("""COMPUTED_VALUE"""),"rudadu57")</f>
        <v>rudadu57</v>
      </c>
      <c r="D2022" s="75">
        <f>IFERROR(__xludf.DUMMYFUNCTION("""COMPUTED_VALUE"""),0.0)</f>
        <v>0</v>
      </c>
      <c r="E2022" s="64"/>
      <c r="F2022" s="95"/>
      <c r="G2022" s="96"/>
      <c r="H2022" s="64"/>
      <c r="I2022" s="64"/>
      <c r="J2022" s="64"/>
      <c r="K2022" s="64"/>
      <c r="L2022" s="64"/>
    </row>
    <row r="2023" ht="16.5" customHeight="1">
      <c r="A2023" s="64"/>
      <c r="B2023" s="80" t="s">
        <v>18249</v>
      </c>
      <c r="C2023" s="81" t="str">
        <f>IFERROR(__xludf.DUMMYFUNCTION("""COMPUTED_VALUE"""),"ruth_humble")</f>
        <v>ruth_humble</v>
      </c>
      <c r="D2023" s="75">
        <f>IFERROR(__xludf.DUMMYFUNCTION("""COMPUTED_VALUE"""),0.0)</f>
        <v>0</v>
      </c>
      <c r="E2023" s="64"/>
      <c r="F2023" s="95"/>
      <c r="G2023" s="96"/>
      <c r="H2023" s="64"/>
      <c r="I2023" s="64"/>
      <c r="J2023" s="64"/>
      <c r="K2023" s="64"/>
      <c r="L2023" s="64"/>
    </row>
    <row r="2024" ht="16.5" customHeight="1">
      <c r="A2024" s="64"/>
      <c r="B2024" s="80" t="s">
        <v>18249</v>
      </c>
      <c r="C2024" s="81" t="str">
        <f>IFERROR(__xludf.DUMMYFUNCTION("""COMPUTED_VALUE"""),"ryanjean77")</f>
        <v>ryanjean77</v>
      </c>
      <c r="D2024" s="75">
        <f>IFERROR(__xludf.DUMMYFUNCTION("""COMPUTED_VALUE"""),0.0)</f>
        <v>0</v>
      </c>
      <c r="E2024" s="64"/>
      <c r="F2024" s="95"/>
      <c r="G2024" s="96"/>
      <c r="H2024" s="64"/>
      <c r="I2024" s="64"/>
      <c r="J2024" s="64"/>
      <c r="K2024" s="64"/>
      <c r="L2024" s="64"/>
    </row>
    <row r="2025" ht="16.5" customHeight="1">
      <c r="A2025" s="64"/>
      <c r="B2025" s="80" t="s">
        <v>18249</v>
      </c>
      <c r="C2025" s="81" t="str">
        <f>IFERROR(__xludf.DUMMYFUNCTION("""COMPUTED_VALUE"""),"salima_yenbou")</f>
        <v>salima_yenbou</v>
      </c>
      <c r="D2025" s="75">
        <f>IFERROR(__xludf.DUMMYFUNCTION("""COMPUTED_VALUE"""),0.0)</f>
        <v>0</v>
      </c>
      <c r="E2025" s="64"/>
      <c r="F2025" s="95"/>
      <c r="G2025" s="96"/>
      <c r="H2025" s="64"/>
      <c r="I2025" s="64"/>
      <c r="J2025" s="64"/>
      <c r="K2025" s="64"/>
      <c r="L2025" s="64"/>
    </row>
    <row r="2026" ht="16.5" customHeight="1">
      <c r="A2026" s="64"/>
      <c r="B2026" s="80" t="s">
        <v>18249</v>
      </c>
      <c r="C2026" s="81" t="str">
        <f>IFERROR(__xludf.DUMMYFUNCTION("""COMPUTED_VALUE"""),"sally_steel_")</f>
        <v>sally_steel_</v>
      </c>
      <c r="D2026" s="75">
        <f>IFERROR(__xludf.DUMMYFUNCTION("""COMPUTED_VALUE"""),0.0)</f>
        <v>0</v>
      </c>
      <c r="E2026" s="64"/>
      <c r="F2026" s="95"/>
      <c r="G2026" s="96"/>
      <c r="H2026" s="64"/>
      <c r="I2026" s="64"/>
      <c r="J2026" s="64"/>
      <c r="K2026" s="64"/>
      <c r="L2026" s="64"/>
    </row>
    <row r="2027" ht="16.5" customHeight="1">
      <c r="A2027" s="64"/>
      <c r="B2027" s="80" t="s">
        <v>18249</v>
      </c>
      <c r="C2027" s="81" t="str">
        <f>IFERROR(__xludf.DUMMYFUNCTION("""COMPUTED_VALUE"""),"sallyhoughton20")</f>
        <v>sallyhoughton20</v>
      </c>
      <c r="D2027" s="75">
        <f>IFERROR(__xludf.DUMMYFUNCTION("""COMPUTED_VALUE"""),0.0)</f>
        <v>0</v>
      </c>
      <c r="E2027" s="64"/>
      <c r="F2027" s="95"/>
      <c r="G2027" s="96"/>
      <c r="H2027" s="64"/>
      <c r="I2027" s="64"/>
      <c r="J2027" s="64"/>
      <c r="K2027" s="64"/>
      <c r="L2027" s="64"/>
    </row>
    <row r="2028" ht="16.5" customHeight="1">
      <c r="A2028" s="64"/>
      <c r="B2028" s="80" t="s">
        <v>18249</v>
      </c>
      <c r="C2028" s="81" t="str">
        <f>IFERROR(__xludf.DUMMYFUNCTION("""COMPUTED_VALUE"""),"salmehta")</f>
        <v>salmehta</v>
      </c>
      <c r="D2028" s="75">
        <f>IFERROR(__xludf.DUMMYFUNCTION("""COMPUTED_VALUE"""),0.0)</f>
        <v>0</v>
      </c>
      <c r="E2028" s="64"/>
      <c r="F2028" s="95"/>
      <c r="G2028" s="96"/>
      <c r="H2028" s="64"/>
      <c r="I2028" s="64"/>
      <c r="J2028" s="64"/>
      <c r="K2028" s="64"/>
      <c r="L2028" s="64"/>
    </row>
    <row r="2029" ht="16.5" customHeight="1">
      <c r="A2029" s="64"/>
      <c r="B2029" s="80" t="s">
        <v>18249</v>
      </c>
      <c r="C2029" s="81" t="str">
        <f>IFERROR(__xludf.DUMMYFUNCTION("""COMPUTED_VALUE"""),"saltyliquorice")</f>
        <v>saltyliquorice</v>
      </c>
      <c r="D2029" s="75">
        <f>IFERROR(__xludf.DUMMYFUNCTION("""COMPUTED_VALUE"""),0.0)</f>
        <v>0</v>
      </c>
      <c r="E2029" s="64"/>
      <c r="F2029" s="95"/>
      <c r="G2029" s="96"/>
      <c r="H2029" s="64"/>
      <c r="I2029" s="64"/>
      <c r="J2029" s="64"/>
      <c r="K2029" s="64"/>
      <c r="L2029" s="64"/>
    </row>
    <row r="2030" ht="16.5" customHeight="1">
      <c r="A2030" s="64"/>
      <c r="B2030" s="80" t="s">
        <v>18249</v>
      </c>
      <c r="C2030" s="81" t="str">
        <f>IFERROR(__xludf.DUMMYFUNCTION("""COMPUTED_VALUE"""),"sammwittings")</f>
        <v>sammwittings</v>
      </c>
      <c r="D2030" s="75">
        <f>IFERROR(__xludf.DUMMYFUNCTION("""COMPUTED_VALUE"""),0.0)</f>
        <v>0</v>
      </c>
      <c r="E2030" s="64"/>
      <c r="F2030" s="95"/>
      <c r="G2030" s="96"/>
      <c r="H2030" s="64"/>
      <c r="I2030" s="64"/>
      <c r="J2030" s="64"/>
      <c r="K2030" s="64"/>
      <c r="L2030" s="64"/>
    </row>
    <row r="2031" ht="16.5" customHeight="1">
      <c r="A2031" s="64"/>
      <c r="B2031" s="80" t="s">
        <v>18249</v>
      </c>
      <c r="C2031" s="81" t="str">
        <f>IFERROR(__xludf.DUMMYFUNCTION("""COMPUTED_VALUE"""),"samuelbhfaure")</f>
        <v>samuelbhfaure</v>
      </c>
      <c r="D2031" s="75">
        <f>IFERROR(__xludf.DUMMYFUNCTION("""COMPUTED_VALUE"""),0.0)</f>
        <v>0</v>
      </c>
      <c r="E2031" s="64"/>
      <c r="F2031" s="95"/>
      <c r="G2031" s="96"/>
      <c r="H2031" s="64"/>
      <c r="I2031" s="64"/>
      <c r="J2031" s="64"/>
      <c r="K2031" s="64"/>
      <c r="L2031" s="64"/>
    </row>
    <row r="2032" ht="16.5" customHeight="1">
      <c r="A2032" s="64"/>
      <c r="B2032" s="80" t="s">
        <v>18249</v>
      </c>
      <c r="C2032" s="81" t="str">
        <f>IFERROR(__xludf.DUMMYFUNCTION("""COMPUTED_VALUE"""),"sandra4646")</f>
        <v>sandra4646</v>
      </c>
      <c r="D2032" s="75">
        <f>IFERROR(__xludf.DUMMYFUNCTION("""COMPUTED_VALUE"""),0.0)</f>
        <v>0</v>
      </c>
      <c r="E2032" s="64"/>
      <c r="F2032" s="95"/>
      <c r="G2032" s="96"/>
      <c r="H2032" s="64"/>
      <c r="I2032" s="64"/>
      <c r="J2032" s="64"/>
      <c r="K2032" s="64"/>
      <c r="L2032" s="64"/>
    </row>
    <row r="2033" ht="16.5" customHeight="1">
      <c r="A2033" s="64"/>
      <c r="B2033" s="80" t="s">
        <v>18249</v>
      </c>
      <c r="C2033" s="81" t="str">
        <f>IFERROR(__xludf.DUMMYFUNCTION("""COMPUTED_VALUE"""),"sarah324109")</f>
        <v>sarah324109</v>
      </c>
      <c r="D2033" s="75">
        <f>IFERROR(__xludf.DUMMYFUNCTION("""COMPUTED_VALUE"""),0.0)</f>
        <v>0</v>
      </c>
      <c r="E2033" s="64"/>
      <c r="F2033" s="95"/>
      <c r="G2033" s="96"/>
      <c r="H2033" s="64"/>
      <c r="I2033" s="64"/>
      <c r="J2033" s="64"/>
      <c r="K2033" s="64"/>
      <c r="L2033" s="64"/>
    </row>
    <row r="2034" ht="16.5" customHeight="1">
      <c r="A2034" s="64"/>
      <c r="B2034" s="80" t="s">
        <v>18249</v>
      </c>
      <c r="C2034" s="81" t="str">
        <f>IFERROR(__xludf.DUMMYFUNCTION("""COMPUTED_VALUE"""),"sarahcraig52")</f>
        <v>sarahcraig52</v>
      </c>
      <c r="D2034" s="75">
        <f>IFERROR(__xludf.DUMMYFUNCTION("""COMPUTED_VALUE"""),0.0)</f>
        <v>0</v>
      </c>
      <c r="E2034" s="64"/>
      <c r="F2034" s="95"/>
      <c r="G2034" s="96"/>
      <c r="H2034" s="64"/>
      <c r="I2034" s="64"/>
      <c r="J2034" s="64"/>
      <c r="K2034" s="64"/>
      <c r="L2034" s="64"/>
    </row>
    <row r="2035" ht="16.5" customHeight="1">
      <c r="A2035" s="64"/>
      <c r="B2035" s="80" t="s">
        <v>18249</v>
      </c>
      <c r="C2035" s="81" t="str">
        <f>IFERROR(__xludf.DUMMYFUNCTION("""COMPUTED_VALUE"""),"sarahflyme")</f>
        <v>sarahflyme</v>
      </c>
      <c r="D2035" s="75">
        <f>IFERROR(__xludf.DUMMYFUNCTION("""COMPUTED_VALUE"""),0.0)</f>
        <v>0</v>
      </c>
      <c r="E2035" s="64"/>
      <c r="F2035" s="95"/>
      <c r="G2035" s="96"/>
      <c r="H2035" s="64"/>
      <c r="I2035" s="64"/>
      <c r="J2035" s="64"/>
      <c r="K2035" s="64"/>
      <c r="L2035" s="64"/>
    </row>
    <row r="2036" ht="16.5" customHeight="1">
      <c r="A2036" s="64"/>
      <c r="B2036" s="80" t="s">
        <v>18249</v>
      </c>
      <c r="C2036" s="81" t="str">
        <f>IFERROR(__xludf.DUMMYFUNCTION("""COMPUTED_VALUE"""),"sarahgollin")</f>
        <v>sarahgollin</v>
      </c>
      <c r="D2036" s="75">
        <f>IFERROR(__xludf.DUMMYFUNCTION("""COMPUTED_VALUE"""),0.0)</f>
        <v>0</v>
      </c>
      <c r="E2036" s="64"/>
      <c r="F2036" s="95"/>
      <c r="G2036" s="96"/>
      <c r="H2036" s="64"/>
      <c r="I2036" s="64"/>
      <c r="J2036" s="64"/>
      <c r="K2036" s="64"/>
      <c r="L2036" s="64"/>
    </row>
    <row r="2037" ht="16.5" customHeight="1">
      <c r="A2037" s="64"/>
      <c r="B2037" s="80" t="s">
        <v>18249</v>
      </c>
      <c r="C2037" s="81" t="str">
        <f>IFERROR(__xludf.DUMMYFUNCTION("""COMPUTED_VALUE"""),"sarahhw65")</f>
        <v>sarahhw65</v>
      </c>
      <c r="D2037" s="75">
        <f>IFERROR(__xludf.DUMMYFUNCTION("""COMPUTED_VALUE"""),0.0)</f>
        <v>0</v>
      </c>
      <c r="E2037" s="64"/>
      <c r="F2037" s="95"/>
      <c r="G2037" s="96"/>
      <c r="H2037" s="64"/>
      <c r="I2037" s="64"/>
      <c r="J2037" s="64"/>
      <c r="K2037" s="64"/>
      <c r="L2037" s="64"/>
    </row>
    <row r="2038" ht="16.5" customHeight="1">
      <c r="A2038" s="64"/>
      <c r="B2038" s="80" t="s">
        <v>18249</v>
      </c>
      <c r="C2038" s="81" t="str">
        <f>IFERROR(__xludf.DUMMYFUNCTION("""COMPUTED_VALUE"""),"sarahkcoleman")</f>
        <v>sarahkcoleman</v>
      </c>
      <c r="D2038" s="75">
        <f>IFERROR(__xludf.DUMMYFUNCTION("""COMPUTED_VALUE"""),0.0)</f>
        <v>0</v>
      </c>
      <c r="E2038" s="64"/>
      <c r="F2038" s="95"/>
      <c r="G2038" s="96"/>
      <c r="H2038" s="64"/>
      <c r="I2038" s="64"/>
      <c r="J2038" s="64"/>
      <c r="K2038" s="64"/>
      <c r="L2038" s="64"/>
    </row>
    <row r="2039" ht="16.5" customHeight="1">
      <c r="A2039" s="64"/>
      <c r="B2039" s="80" t="s">
        <v>18249</v>
      </c>
      <c r="C2039" s="81" t="str">
        <f>IFERROR(__xludf.DUMMYFUNCTION("""COMPUTED_VALUE"""),"sarahma50398302")</f>
        <v>sarahma50398302</v>
      </c>
      <c r="D2039" s="75">
        <f>IFERROR(__xludf.DUMMYFUNCTION("""COMPUTED_VALUE"""),0.0)</f>
        <v>0</v>
      </c>
      <c r="E2039" s="64"/>
      <c r="F2039" s="95"/>
      <c r="G2039" s="96"/>
      <c r="H2039" s="64"/>
      <c r="I2039" s="64"/>
      <c r="J2039" s="64"/>
      <c r="K2039" s="64"/>
      <c r="L2039" s="64"/>
    </row>
    <row r="2040" ht="16.5" customHeight="1">
      <c r="A2040" s="64"/>
      <c r="B2040" s="80" t="s">
        <v>18249</v>
      </c>
      <c r="C2040" s="81" t="str">
        <f>IFERROR(__xludf.DUMMYFUNCTION("""COMPUTED_VALUE"""),"sarahtturvey")</f>
        <v>sarahtturvey</v>
      </c>
      <c r="D2040" s="75">
        <f>IFERROR(__xludf.DUMMYFUNCTION("""COMPUTED_VALUE"""),0.0)</f>
        <v>0</v>
      </c>
      <c r="E2040" s="64"/>
      <c r="F2040" s="95"/>
      <c r="G2040" s="96"/>
      <c r="H2040" s="64"/>
      <c r="I2040" s="64"/>
      <c r="J2040" s="64"/>
      <c r="K2040" s="64"/>
      <c r="L2040" s="64"/>
    </row>
    <row r="2041" ht="16.5" customHeight="1">
      <c r="A2041" s="64"/>
      <c r="B2041" s="80" t="s">
        <v>18249</v>
      </c>
      <c r="C2041" s="81" t="str">
        <f>IFERROR(__xludf.DUMMYFUNCTION("""COMPUTED_VALUE"""),"saveyokohama")</f>
        <v>saveyokohama</v>
      </c>
      <c r="D2041" s="75">
        <f>IFERROR(__xludf.DUMMYFUNCTION("""COMPUTED_VALUE"""),0.0)</f>
        <v>0</v>
      </c>
      <c r="E2041" s="64"/>
      <c r="F2041" s="95"/>
      <c r="G2041" s="96"/>
      <c r="H2041" s="64"/>
      <c r="I2041" s="64"/>
      <c r="J2041" s="64"/>
      <c r="K2041" s="64"/>
      <c r="L2041" s="64"/>
    </row>
    <row r="2042" ht="16.5" customHeight="1">
      <c r="A2042" s="64"/>
      <c r="B2042" s="80" t="s">
        <v>18249</v>
      </c>
      <c r="C2042" s="81" t="str">
        <f>IFERROR(__xludf.DUMMYFUNCTION("""COMPUTED_VALUE"""),"sball11")</f>
        <v>sball11</v>
      </c>
      <c r="D2042" s="75">
        <f>IFERROR(__xludf.DUMMYFUNCTION("""COMPUTED_VALUE"""),0.0)</f>
        <v>0</v>
      </c>
      <c r="E2042" s="64"/>
      <c r="F2042" s="95"/>
      <c r="G2042" s="96"/>
      <c r="H2042" s="64"/>
      <c r="I2042" s="64"/>
      <c r="J2042" s="64"/>
      <c r="K2042" s="64"/>
      <c r="L2042" s="64"/>
    </row>
    <row r="2043" ht="16.5" customHeight="1">
      <c r="A2043" s="64"/>
      <c r="B2043" s="80" t="s">
        <v>18249</v>
      </c>
      <c r="C2043" s="81" t="str">
        <f>IFERROR(__xludf.DUMMYFUNCTION("""COMPUTED_VALUE"""),"sbh214")</f>
        <v>sbh214</v>
      </c>
      <c r="D2043" s="75">
        <f>IFERROR(__xludf.DUMMYFUNCTION("""COMPUTED_VALUE"""),0.0)</f>
        <v>0</v>
      </c>
      <c r="E2043" s="64"/>
      <c r="F2043" s="95"/>
      <c r="G2043" s="96"/>
      <c r="H2043" s="64"/>
      <c r="I2043" s="64"/>
      <c r="J2043" s="64"/>
      <c r="K2043" s="64"/>
      <c r="L2043" s="64"/>
    </row>
    <row r="2044" ht="16.5" customHeight="1">
      <c r="A2044" s="64"/>
      <c r="B2044" s="80" t="s">
        <v>18249</v>
      </c>
      <c r="C2044" s="81" t="str">
        <f>IFERROR(__xludf.DUMMYFUNCTION("""COMPUTED_VALUE"""),"sccpen")</f>
        <v>sccpen</v>
      </c>
      <c r="D2044" s="75">
        <f>IFERROR(__xludf.DUMMYFUNCTION("""COMPUTED_VALUE"""),0.0)</f>
        <v>0</v>
      </c>
      <c r="E2044" s="64"/>
      <c r="F2044" s="95"/>
      <c r="G2044" s="96"/>
      <c r="H2044" s="64"/>
      <c r="I2044" s="64"/>
      <c r="J2044" s="64"/>
      <c r="K2044" s="64"/>
      <c r="L2044" s="64"/>
    </row>
    <row r="2045" ht="16.5" customHeight="1">
      <c r="A2045" s="64"/>
      <c r="B2045" s="80" t="s">
        <v>18249</v>
      </c>
      <c r="C2045" s="81" t="str">
        <f>IFERROR(__xludf.DUMMYFUNCTION("""COMPUTED_VALUE"""),"schulzee3")</f>
        <v>schulzee3</v>
      </c>
      <c r="D2045" s="75">
        <f>IFERROR(__xludf.DUMMYFUNCTION("""COMPUTED_VALUE"""),0.0)</f>
        <v>0</v>
      </c>
      <c r="E2045" s="64"/>
      <c r="F2045" s="95"/>
      <c r="G2045" s="96"/>
      <c r="H2045" s="64"/>
      <c r="I2045" s="64"/>
      <c r="J2045" s="64"/>
      <c r="K2045" s="64"/>
      <c r="L2045" s="64"/>
    </row>
    <row r="2046" ht="16.5" customHeight="1">
      <c r="A2046" s="64"/>
      <c r="B2046" s="80" t="s">
        <v>18249</v>
      </c>
      <c r="C2046" s="81" t="str">
        <f>IFERROR(__xludf.DUMMYFUNCTION("""COMPUTED_VALUE"""),"scienceorgod")</f>
        <v>scienceorgod</v>
      </c>
      <c r="D2046" s="75">
        <f>IFERROR(__xludf.DUMMYFUNCTION("""COMPUTED_VALUE"""),0.0)</f>
        <v>0</v>
      </c>
      <c r="E2046" s="64"/>
      <c r="F2046" s="95"/>
      <c r="G2046" s="96"/>
      <c r="H2046" s="64"/>
      <c r="I2046" s="64"/>
      <c r="J2046" s="64"/>
      <c r="K2046" s="64"/>
      <c r="L2046" s="64"/>
    </row>
    <row r="2047" ht="16.5" customHeight="1">
      <c r="A2047" s="64"/>
      <c r="B2047" s="80" t="s">
        <v>18249</v>
      </c>
      <c r="C2047" s="81" t="str">
        <f>IFERROR(__xludf.DUMMYFUNCTION("""COMPUTED_VALUE"""),"scook2003")</f>
        <v>scook2003</v>
      </c>
      <c r="D2047" s="75">
        <f>IFERROR(__xludf.DUMMYFUNCTION("""COMPUTED_VALUE"""),0.0)</f>
        <v>0</v>
      </c>
      <c r="E2047" s="64"/>
      <c r="F2047" s="95"/>
      <c r="G2047" s="96"/>
      <c r="H2047" s="64"/>
      <c r="I2047" s="64"/>
      <c r="J2047" s="64"/>
      <c r="K2047" s="64"/>
      <c r="L2047" s="64"/>
    </row>
    <row r="2048" ht="16.5" customHeight="1">
      <c r="A2048" s="64"/>
      <c r="B2048" s="80" t="s">
        <v>18249</v>
      </c>
      <c r="C2048" s="81" t="str">
        <f>IFERROR(__xludf.DUMMYFUNCTION("""COMPUTED_VALUE"""),"scotlandbest")</f>
        <v>scotlandbest</v>
      </c>
      <c r="D2048" s="75">
        <f>IFERROR(__xludf.DUMMYFUNCTION("""COMPUTED_VALUE"""),0.0)</f>
        <v>0</v>
      </c>
      <c r="E2048" s="64"/>
      <c r="F2048" s="95"/>
      <c r="G2048" s="96"/>
      <c r="H2048" s="64"/>
      <c r="I2048" s="64"/>
      <c r="J2048" s="64"/>
      <c r="K2048" s="64"/>
      <c r="L2048" s="64"/>
    </row>
    <row r="2049" ht="16.5" customHeight="1">
      <c r="A2049" s="64"/>
      <c r="B2049" s="80" t="s">
        <v>18249</v>
      </c>
      <c r="C2049" s="81" t="str">
        <f>IFERROR(__xludf.DUMMYFUNCTION("""COMPUTED_VALUE"""),"scott_and_ball")</f>
        <v>scott_and_ball</v>
      </c>
      <c r="D2049" s="75">
        <f>IFERROR(__xludf.DUMMYFUNCTION("""COMPUTED_VALUE"""),0.0)</f>
        <v>0</v>
      </c>
      <c r="E2049" s="64"/>
      <c r="F2049" s="95"/>
      <c r="G2049" s="96"/>
      <c r="H2049" s="64"/>
      <c r="I2049" s="64"/>
      <c r="J2049" s="64"/>
      <c r="K2049" s="64"/>
      <c r="L2049" s="64"/>
    </row>
    <row r="2050" ht="16.5" customHeight="1">
      <c r="A2050" s="64"/>
      <c r="B2050" s="80" t="s">
        <v>18249</v>
      </c>
      <c r="C2050" s="81" t="str">
        <f>IFERROR(__xludf.DUMMYFUNCTION("""COMPUTED_VALUE"""),"scottklogie1")</f>
        <v>scottklogie1</v>
      </c>
      <c r="D2050" s="75">
        <f>IFERROR(__xludf.DUMMYFUNCTION("""COMPUTED_VALUE"""),0.0)</f>
        <v>0</v>
      </c>
      <c r="E2050" s="64"/>
      <c r="F2050" s="95"/>
      <c r="G2050" s="96"/>
      <c r="H2050" s="64"/>
      <c r="I2050" s="64"/>
      <c r="J2050" s="64"/>
      <c r="K2050" s="64"/>
      <c r="L2050" s="64"/>
    </row>
    <row r="2051" ht="16.5" customHeight="1">
      <c r="A2051" s="64"/>
      <c r="B2051" s="80" t="s">
        <v>18249</v>
      </c>
      <c r="C2051" s="81" t="str">
        <f>IFERROR(__xludf.DUMMYFUNCTION("""COMPUTED_VALUE"""),"semajmrx")</f>
        <v>semajmrx</v>
      </c>
      <c r="D2051" s="75">
        <f>IFERROR(__xludf.DUMMYFUNCTION("""COMPUTED_VALUE"""),0.0)</f>
        <v>0</v>
      </c>
      <c r="E2051" s="64"/>
      <c r="F2051" s="95"/>
      <c r="G2051" s="96"/>
      <c r="H2051" s="64"/>
      <c r="I2051" s="64"/>
      <c r="J2051" s="64"/>
      <c r="K2051" s="64"/>
      <c r="L2051" s="64"/>
    </row>
    <row r="2052" ht="16.5" customHeight="1">
      <c r="A2052" s="64"/>
      <c r="B2052" s="80" t="s">
        <v>18249</v>
      </c>
      <c r="C2052" s="81" t="str">
        <f>IFERROR(__xludf.DUMMYFUNCTION("""COMPUTED_VALUE"""),"sen_j59")</f>
        <v>sen_j59</v>
      </c>
      <c r="D2052" s="75">
        <f>IFERROR(__xludf.DUMMYFUNCTION("""COMPUTED_VALUE"""),0.0)</f>
        <v>0</v>
      </c>
      <c r="E2052" s="64"/>
      <c r="F2052" s="95"/>
      <c r="G2052" s="96"/>
      <c r="H2052" s="64"/>
      <c r="I2052" s="64"/>
      <c r="J2052" s="64"/>
      <c r="K2052" s="64"/>
      <c r="L2052" s="64"/>
    </row>
    <row r="2053" ht="16.5" customHeight="1">
      <c r="A2053" s="64"/>
      <c r="B2053" s="80" t="s">
        <v>18249</v>
      </c>
      <c r="C2053" s="81" t="str">
        <f>IFERROR(__xludf.DUMMYFUNCTION("""COMPUTED_VALUE"""),"shabrockman")</f>
        <v>shabrockman</v>
      </c>
      <c r="D2053" s="75">
        <f>IFERROR(__xludf.DUMMYFUNCTION("""COMPUTED_VALUE"""),0.0)</f>
        <v>0</v>
      </c>
      <c r="E2053" s="64"/>
      <c r="F2053" s="95"/>
      <c r="G2053" s="96"/>
      <c r="H2053" s="64"/>
      <c r="I2053" s="64"/>
      <c r="J2053" s="64"/>
      <c r="K2053" s="64"/>
      <c r="L2053" s="64"/>
    </row>
    <row r="2054" ht="16.5" customHeight="1">
      <c r="A2054" s="64"/>
      <c r="B2054" s="80" t="s">
        <v>18249</v>
      </c>
      <c r="C2054" s="81" t="str">
        <f>IFERROR(__xludf.DUMMYFUNCTION("""COMPUTED_VALUE"""),"shaun_smith99")</f>
        <v>shaun_smith99</v>
      </c>
      <c r="D2054" s="75">
        <f>IFERROR(__xludf.DUMMYFUNCTION("""COMPUTED_VALUE"""),0.0)</f>
        <v>0</v>
      </c>
      <c r="E2054" s="64"/>
      <c r="F2054" s="95"/>
      <c r="G2054" s="96"/>
      <c r="H2054" s="64"/>
      <c r="I2054" s="64"/>
      <c r="J2054" s="64"/>
      <c r="K2054" s="64"/>
      <c r="L2054" s="64"/>
    </row>
    <row r="2055" ht="16.5" customHeight="1">
      <c r="A2055" s="64"/>
      <c r="B2055" s="80" t="s">
        <v>18249</v>
      </c>
      <c r="C2055" s="81" t="str">
        <f>IFERROR(__xludf.DUMMYFUNCTION("""COMPUTED_VALUE"""),"shellymott1")</f>
        <v>shellymott1</v>
      </c>
      <c r="D2055" s="75">
        <f>IFERROR(__xludf.DUMMYFUNCTION("""COMPUTED_VALUE"""),0.0)</f>
        <v>0</v>
      </c>
      <c r="E2055" s="64"/>
      <c r="F2055" s="95"/>
      <c r="G2055" s="96"/>
      <c r="H2055" s="64"/>
      <c r="I2055" s="64"/>
      <c r="J2055" s="64"/>
      <c r="K2055" s="64"/>
      <c r="L2055" s="64"/>
    </row>
    <row r="2056" ht="16.5" customHeight="1">
      <c r="A2056" s="64"/>
      <c r="B2056" s="80" t="s">
        <v>18249</v>
      </c>
      <c r="C2056" s="81" t="str">
        <f>IFERROR(__xludf.DUMMYFUNCTION("""COMPUTED_VALUE"""),"shestews44")</f>
        <v>shestews44</v>
      </c>
      <c r="D2056" s="75">
        <f>IFERROR(__xludf.DUMMYFUNCTION("""COMPUTED_VALUE"""),0.0)</f>
        <v>0</v>
      </c>
      <c r="E2056" s="64"/>
      <c r="F2056" s="95"/>
      <c r="G2056" s="96"/>
      <c r="H2056" s="64"/>
      <c r="I2056" s="64"/>
      <c r="J2056" s="64"/>
      <c r="K2056" s="64"/>
      <c r="L2056" s="64"/>
    </row>
    <row r="2057" ht="16.5" customHeight="1">
      <c r="A2057" s="64"/>
      <c r="B2057" s="80" t="s">
        <v>18249</v>
      </c>
      <c r="C2057" s="81" t="str">
        <f>IFERROR(__xludf.DUMMYFUNCTION("""COMPUTED_VALUE"""),"shimtunley")</f>
        <v>shimtunley</v>
      </c>
      <c r="D2057" s="75">
        <f>IFERROR(__xludf.DUMMYFUNCTION("""COMPUTED_VALUE"""),0.0)</f>
        <v>0</v>
      </c>
      <c r="E2057" s="64"/>
      <c r="F2057" s="95"/>
      <c r="G2057" s="96"/>
      <c r="H2057" s="64"/>
      <c r="I2057" s="64"/>
      <c r="J2057" s="64"/>
      <c r="K2057" s="64"/>
      <c r="L2057" s="64"/>
    </row>
    <row r="2058" ht="16.5" customHeight="1">
      <c r="A2058" s="64"/>
      <c r="B2058" s="80" t="s">
        <v>18249</v>
      </c>
      <c r="C2058" s="81" t="str">
        <f>IFERROR(__xludf.DUMMYFUNCTION("""COMPUTED_VALUE"""),"shindaej")</f>
        <v>shindaej</v>
      </c>
      <c r="D2058" s="75">
        <f>IFERROR(__xludf.DUMMYFUNCTION("""COMPUTED_VALUE"""),0.0)</f>
        <v>0</v>
      </c>
      <c r="E2058" s="64"/>
      <c r="F2058" s="95"/>
      <c r="G2058" s="96"/>
      <c r="H2058" s="64"/>
      <c r="I2058" s="64"/>
      <c r="J2058" s="64"/>
      <c r="K2058" s="64"/>
      <c r="L2058" s="64"/>
    </row>
    <row r="2059" ht="16.5" customHeight="1">
      <c r="A2059" s="64"/>
      <c r="B2059" s="80" t="s">
        <v>18249</v>
      </c>
      <c r="C2059" s="81" t="str">
        <f>IFERROR(__xludf.DUMMYFUNCTION("""COMPUTED_VALUE"""),"shopinitis")</f>
        <v>shopinitis</v>
      </c>
      <c r="D2059" s="75">
        <f>IFERROR(__xludf.DUMMYFUNCTION("""COMPUTED_VALUE"""),0.0)</f>
        <v>0</v>
      </c>
      <c r="E2059" s="64"/>
      <c r="F2059" s="95"/>
      <c r="G2059" s="96"/>
      <c r="H2059" s="64"/>
      <c r="I2059" s="64"/>
      <c r="J2059" s="64"/>
      <c r="K2059" s="64"/>
      <c r="L2059" s="64"/>
    </row>
    <row r="2060" ht="16.5" customHeight="1">
      <c r="A2060" s="64"/>
      <c r="B2060" s="80" t="s">
        <v>18249</v>
      </c>
      <c r="C2060" s="81" t="str">
        <f>IFERROR(__xludf.DUMMYFUNCTION("""COMPUTED_VALUE"""),"shotwithspirit")</f>
        <v>shotwithspirit</v>
      </c>
      <c r="D2060" s="75">
        <f>IFERROR(__xludf.DUMMYFUNCTION("""COMPUTED_VALUE"""),0.0)</f>
        <v>0</v>
      </c>
      <c r="E2060" s="64"/>
      <c r="F2060" s="95"/>
      <c r="G2060" s="96"/>
      <c r="H2060" s="64"/>
      <c r="I2060" s="64"/>
      <c r="J2060" s="64"/>
      <c r="K2060" s="64"/>
      <c r="L2060" s="64"/>
    </row>
    <row r="2061" ht="16.5" customHeight="1">
      <c r="A2061" s="64"/>
      <c r="B2061" s="80" t="s">
        <v>18249</v>
      </c>
      <c r="C2061" s="81" t="str">
        <f>IFERROR(__xludf.DUMMYFUNCTION("""COMPUTED_VALUE"""),"simeoncho")</f>
        <v>simeoncho</v>
      </c>
      <c r="D2061" s="75">
        <f>IFERROR(__xludf.DUMMYFUNCTION("""COMPUTED_VALUE"""),0.0)</f>
        <v>0</v>
      </c>
      <c r="E2061" s="64"/>
      <c r="F2061" s="95"/>
      <c r="G2061" s="96"/>
      <c r="H2061" s="64"/>
      <c r="I2061" s="64"/>
      <c r="J2061" s="64"/>
      <c r="K2061" s="64"/>
      <c r="L2061" s="64"/>
    </row>
    <row r="2062" ht="16.5" customHeight="1">
      <c r="A2062" s="64"/>
      <c r="B2062" s="80" t="s">
        <v>18249</v>
      </c>
      <c r="C2062" s="81" t="str">
        <f>IFERROR(__xludf.DUMMYFUNCTION("""COMPUTED_VALUE"""),"simonanddonna")</f>
        <v>simonanddonna</v>
      </c>
      <c r="D2062" s="75">
        <f>IFERROR(__xludf.DUMMYFUNCTION("""COMPUTED_VALUE"""),0.0)</f>
        <v>0</v>
      </c>
      <c r="E2062" s="64"/>
      <c r="F2062" s="95"/>
      <c r="G2062" s="96"/>
      <c r="H2062" s="64"/>
      <c r="I2062" s="64"/>
      <c r="J2062" s="64"/>
      <c r="K2062" s="64"/>
      <c r="L2062" s="64"/>
    </row>
    <row r="2063" ht="16.5" customHeight="1">
      <c r="A2063" s="64"/>
      <c r="B2063" s="80" t="s">
        <v>18249</v>
      </c>
      <c r="C2063" s="81" t="str">
        <f>IFERROR(__xludf.DUMMYFUNCTION("""COMPUTED_VALUE"""),"simondebrux")</f>
        <v>simondebrux</v>
      </c>
      <c r="D2063" s="75">
        <f>IFERROR(__xludf.DUMMYFUNCTION("""COMPUTED_VALUE"""),0.0)</f>
        <v>0</v>
      </c>
      <c r="E2063" s="64"/>
      <c r="F2063" s="95"/>
      <c r="G2063" s="96"/>
      <c r="H2063" s="64"/>
      <c r="I2063" s="64"/>
      <c r="J2063" s="64"/>
      <c r="K2063" s="64"/>
      <c r="L2063" s="64"/>
    </row>
    <row r="2064" ht="16.5" customHeight="1">
      <c r="A2064" s="64"/>
      <c r="B2064" s="80" t="s">
        <v>18249</v>
      </c>
      <c r="C2064" s="81" t="str">
        <f>IFERROR(__xludf.DUMMYFUNCTION("""COMPUTED_VALUE"""),"simunch1")</f>
        <v>simunch1</v>
      </c>
      <c r="D2064" s="75">
        <f>IFERROR(__xludf.DUMMYFUNCTION("""COMPUTED_VALUE"""),0.0)</f>
        <v>0</v>
      </c>
      <c r="E2064" s="64"/>
      <c r="F2064" s="95"/>
      <c r="G2064" s="96"/>
      <c r="H2064" s="64"/>
      <c r="I2064" s="64"/>
      <c r="J2064" s="64"/>
      <c r="K2064" s="64"/>
      <c r="L2064" s="64"/>
    </row>
    <row r="2065" ht="16.5" customHeight="1">
      <c r="A2065" s="64"/>
      <c r="B2065" s="80" t="s">
        <v>18249</v>
      </c>
      <c r="C2065" s="81" t="str">
        <f>IFERROR(__xludf.DUMMYFUNCTION("""COMPUTED_VALUE"""),"sineadcflanagan")</f>
        <v>sineadcflanagan</v>
      </c>
      <c r="D2065" s="75">
        <f>IFERROR(__xludf.DUMMYFUNCTION("""COMPUTED_VALUE"""),0.0)</f>
        <v>0</v>
      </c>
      <c r="E2065" s="64"/>
      <c r="F2065" s="95"/>
      <c r="G2065" s="96"/>
      <c r="H2065" s="64"/>
      <c r="I2065" s="64"/>
      <c r="J2065" s="64"/>
      <c r="K2065" s="64"/>
      <c r="L2065" s="64"/>
    </row>
    <row r="2066" ht="16.5" customHeight="1">
      <c r="A2066" s="64"/>
      <c r="B2066" s="80" t="s">
        <v>18249</v>
      </c>
      <c r="C2066" s="81" t="str">
        <f>IFERROR(__xludf.DUMMYFUNCTION("""COMPUTED_VALUE"""),"sjharley")</f>
        <v>sjharley</v>
      </c>
      <c r="D2066" s="75">
        <f>IFERROR(__xludf.DUMMYFUNCTION("""COMPUTED_VALUE"""),0.0)</f>
        <v>0</v>
      </c>
      <c r="E2066" s="64"/>
      <c r="F2066" s="95"/>
      <c r="G2066" s="96"/>
      <c r="H2066" s="64"/>
      <c r="I2066" s="64"/>
      <c r="J2066" s="64"/>
      <c r="K2066" s="64"/>
      <c r="L2066" s="64"/>
    </row>
    <row r="2067" ht="16.5" customHeight="1">
      <c r="A2067" s="64"/>
      <c r="B2067" s="80" t="s">
        <v>18249</v>
      </c>
      <c r="C2067" s="81" t="str">
        <f>IFERROR(__xludf.DUMMYFUNCTION("""COMPUTED_VALUE"""),"skamugasa")</f>
        <v>skamugasa</v>
      </c>
      <c r="D2067" s="75">
        <f>IFERROR(__xludf.DUMMYFUNCTION("""COMPUTED_VALUE"""),0.0)</f>
        <v>0</v>
      </c>
      <c r="E2067" s="64"/>
      <c r="F2067" s="95"/>
      <c r="G2067" s="96"/>
      <c r="H2067" s="64"/>
      <c r="I2067" s="64"/>
      <c r="J2067" s="64"/>
      <c r="K2067" s="64"/>
      <c r="L2067" s="64"/>
    </row>
    <row r="2068" ht="16.5" customHeight="1">
      <c r="A2068" s="64"/>
      <c r="B2068" s="80" t="s">
        <v>18249</v>
      </c>
      <c r="C2068" s="81" t="str">
        <f>IFERROR(__xludf.DUMMYFUNCTION("""COMPUTED_VALUE"""),"skhowden")</f>
        <v>skhowden</v>
      </c>
      <c r="D2068" s="75">
        <f>IFERROR(__xludf.DUMMYFUNCTION("""COMPUTED_VALUE"""),0.0)</f>
        <v>0</v>
      </c>
      <c r="E2068" s="64"/>
      <c r="F2068" s="95"/>
      <c r="G2068" s="96"/>
      <c r="H2068" s="64"/>
      <c r="I2068" s="64"/>
      <c r="J2068" s="64"/>
      <c r="K2068" s="64"/>
      <c r="L2068" s="64"/>
    </row>
    <row r="2069" ht="16.5" customHeight="1">
      <c r="A2069" s="64"/>
      <c r="B2069" s="80" t="s">
        <v>18249</v>
      </c>
      <c r="C2069" s="81" t="str">
        <f>IFERROR(__xludf.DUMMYFUNCTION("""COMPUTED_VALUE"""),"skoris")</f>
        <v>skoris</v>
      </c>
      <c r="D2069" s="75">
        <f>IFERROR(__xludf.DUMMYFUNCTION("""COMPUTED_VALUE"""),0.0)</f>
        <v>0</v>
      </c>
      <c r="E2069" s="64"/>
      <c r="F2069" s="95"/>
      <c r="G2069" s="96"/>
      <c r="H2069" s="64"/>
      <c r="I2069" s="64"/>
      <c r="J2069" s="64"/>
      <c r="K2069" s="64"/>
      <c r="L2069" s="64"/>
    </row>
    <row r="2070" ht="16.5" customHeight="1">
      <c r="A2070" s="64"/>
      <c r="B2070" s="80" t="s">
        <v>18249</v>
      </c>
      <c r="C2070" s="81" t="str">
        <f>IFERROR(__xludf.DUMMYFUNCTION("""COMPUTED_VALUE"""),"slaine3000")</f>
        <v>slaine3000</v>
      </c>
      <c r="D2070" s="75">
        <f>IFERROR(__xludf.DUMMYFUNCTION("""COMPUTED_VALUE"""),0.0)</f>
        <v>0</v>
      </c>
      <c r="E2070" s="64"/>
      <c r="F2070" s="95"/>
      <c r="G2070" s="96"/>
      <c r="H2070" s="64"/>
      <c r="I2070" s="64"/>
      <c r="J2070" s="64"/>
      <c r="K2070" s="64"/>
      <c r="L2070" s="64"/>
    </row>
    <row r="2071" ht="16.5" customHeight="1">
      <c r="A2071" s="64"/>
      <c r="B2071" s="80" t="s">
        <v>18249</v>
      </c>
      <c r="C2071" s="81" t="str">
        <f>IFERROR(__xludf.DUMMYFUNCTION("""COMPUTED_VALUE"""),"slasherphobe")</f>
        <v>slasherphobe</v>
      </c>
      <c r="D2071" s="75">
        <f>IFERROR(__xludf.DUMMYFUNCTION("""COMPUTED_VALUE"""),0.0)</f>
        <v>0</v>
      </c>
      <c r="E2071" s="64"/>
      <c r="F2071" s="95"/>
      <c r="G2071" s="96"/>
      <c r="H2071" s="64"/>
      <c r="I2071" s="64"/>
      <c r="J2071" s="64"/>
      <c r="K2071" s="64"/>
      <c r="L2071" s="64"/>
    </row>
    <row r="2072" ht="16.5" customHeight="1">
      <c r="A2072" s="64"/>
      <c r="B2072" s="80" t="s">
        <v>18249</v>
      </c>
      <c r="C2072" s="81" t="str">
        <f>IFERROR(__xludf.DUMMYFUNCTION("""COMPUTED_VALUE"""),"slashmcglasham")</f>
        <v>slashmcglasham</v>
      </c>
      <c r="D2072" s="75">
        <f>IFERROR(__xludf.DUMMYFUNCTION("""COMPUTED_VALUE"""),0.0)</f>
        <v>0</v>
      </c>
      <c r="E2072" s="64"/>
      <c r="F2072" s="95"/>
      <c r="G2072" s="96"/>
      <c r="H2072" s="64"/>
      <c r="I2072" s="64"/>
      <c r="J2072" s="64"/>
      <c r="K2072" s="64"/>
      <c r="L2072" s="64"/>
    </row>
    <row r="2073" ht="16.5" customHeight="1">
      <c r="A2073" s="64"/>
      <c r="B2073" s="80" t="s">
        <v>18249</v>
      </c>
      <c r="C2073" s="81" t="str">
        <f>IFERROR(__xludf.DUMMYFUNCTION("""COMPUTED_VALUE"""),"sltfion")</f>
        <v>sltfion</v>
      </c>
      <c r="D2073" s="75">
        <f>IFERROR(__xludf.DUMMYFUNCTION("""COMPUTED_VALUE"""),0.0)</f>
        <v>0</v>
      </c>
      <c r="E2073" s="64"/>
      <c r="F2073" s="95"/>
      <c r="G2073" s="96"/>
      <c r="H2073" s="64"/>
      <c r="I2073" s="64"/>
      <c r="J2073" s="64"/>
      <c r="K2073" s="64"/>
      <c r="L2073" s="64"/>
    </row>
    <row r="2074" ht="16.5" customHeight="1">
      <c r="A2074" s="64"/>
      <c r="B2074" s="80" t="s">
        <v>18249</v>
      </c>
      <c r="C2074" s="81" t="str">
        <f>IFERROR(__xludf.DUMMYFUNCTION("""COMPUTED_VALUE"""),"sludge0407")</f>
        <v>sludge0407</v>
      </c>
      <c r="D2074" s="75">
        <f>IFERROR(__xludf.DUMMYFUNCTION("""COMPUTED_VALUE"""),0.0)</f>
        <v>0</v>
      </c>
      <c r="E2074" s="64"/>
      <c r="F2074" s="95"/>
      <c r="G2074" s="96"/>
      <c r="H2074" s="64"/>
      <c r="I2074" s="64"/>
      <c r="J2074" s="64"/>
      <c r="K2074" s="64"/>
      <c r="L2074" s="64"/>
    </row>
    <row r="2075" ht="16.5" customHeight="1">
      <c r="A2075" s="64"/>
      <c r="B2075" s="80" t="s">
        <v>18249</v>
      </c>
      <c r="C2075" s="81" t="str">
        <f>IFERROR(__xludf.DUMMYFUNCTION("""COMPUTED_VALUE"""),"smcc1954")</f>
        <v>smcc1954</v>
      </c>
      <c r="D2075" s="75">
        <f>IFERROR(__xludf.DUMMYFUNCTION("""COMPUTED_VALUE"""),0.0)</f>
        <v>0</v>
      </c>
      <c r="E2075" s="64"/>
      <c r="F2075" s="95"/>
      <c r="G2075" s="96"/>
      <c r="H2075" s="64"/>
      <c r="I2075" s="64"/>
      <c r="J2075" s="64"/>
      <c r="K2075" s="64"/>
      <c r="L2075" s="64"/>
    </row>
    <row r="2076" ht="16.5" customHeight="1">
      <c r="A2076" s="64"/>
      <c r="B2076" s="80" t="s">
        <v>18249</v>
      </c>
      <c r="C2076" s="81" t="str">
        <f>IFERROR(__xludf.DUMMYFUNCTION("""COMPUTED_VALUE"""),"socialmissfit3")</f>
        <v>socialmissfit3</v>
      </c>
      <c r="D2076" s="75">
        <f>IFERROR(__xludf.DUMMYFUNCTION("""COMPUTED_VALUE"""),0.0)</f>
        <v>0</v>
      </c>
      <c r="E2076" s="64"/>
      <c r="F2076" s="95"/>
      <c r="G2076" s="96"/>
      <c r="H2076" s="64"/>
      <c r="I2076" s="64"/>
      <c r="J2076" s="64"/>
      <c r="K2076" s="64"/>
      <c r="L2076" s="64"/>
    </row>
    <row r="2077" ht="16.5" customHeight="1">
      <c r="A2077" s="64"/>
      <c r="B2077" s="80" t="s">
        <v>18249</v>
      </c>
      <c r="C2077" s="81" t="str">
        <f>IFERROR(__xludf.DUMMYFUNCTION("""COMPUTED_VALUE"""),"solentstars")</f>
        <v>solentstars</v>
      </c>
      <c r="D2077" s="75">
        <f>IFERROR(__xludf.DUMMYFUNCTION("""COMPUTED_VALUE"""),0.0)</f>
        <v>0</v>
      </c>
      <c r="E2077" s="64"/>
      <c r="F2077" s="95"/>
      <c r="G2077" s="96"/>
      <c r="H2077" s="64"/>
      <c r="I2077" s="64"/>
      <c r="J2077" s="64"/>
      <c r="K2077" s="64"/>
      <c r="L2077" s="64"/>
    </row>
    <row r="2078" ht="16.5" customHeight="1">
      <c r="A2078" s="64"/>
      <c r="B2078" s="80" t="s">
        <v>18249</v>
      </c>
      <c r="C2078" s="81" t="str">
        <f>IFERROR(__xludf.DUMMYFUNCTION("""COMPUTED_VALUE"""),"solutionistAl")</f>
        <v>solutionistAl</v>
      </c>
      <c r="D2078" s="75">
        <f>IFERROR(__xludf.DUMMYFUNCTION("""COMPUTED_VALUE"""),0.0)</f>
        <v>0</v>
      </c>
      <c r="E2078" s="64"/>
      <c r="F2078" s="95"/>
      <c r="G2078" s="96"/>
      <c r="H2078" s="64"/>
      <c r="I2078" s="64"/>
      <c r="J2078" s="64"/>
      <c r="K2078" s="64"/>
      <c r="L2078" s="64"/>
    </row>
    <row r="2079" ht="16.5" customHeight="1">
      <c r="A2079" s="64"/>
      <c r="B2079" s="80" t="s">
        <v>18249</v>
      </c>
      <c r="C2079" s="81" t="str">
        <f>IFERROR(__xludf.DUMMYFUNCTION("""COMPUTED_VALUE"""),"somechewlip")</f>
        <v>somechewlip</v>
      </c>
      <c r="D2079" s="75">
        <f>IFERROR(__xludf.DUMMYFUNCTION("""COMPUTED_VALUE"""),0.0)</f>
        <v>0</v>
      </c>
      <c r="E2079" s="64"/>
      <c r="F2079" s="95"/>
      <c r="G2079" s="96"/>
      <c r="H2079" s="64"/>
      <c r="I2079" s="64"/>
      <c r="J2079" s="64"/>
      <c r="K2079" s="64"/>
      <c r="L2079" s="64"/>
    </row>
    <row r="2080" ht="16.5" customHeight="1">
      <c r="A2080" s="64"/>
      <c r="B2080" s="80" t="s">
        <v>18249</v>
      </c>
      <c r="C2080" s="81" t="str">
        <f>IFERROR(__xludf.DUMMYFUNCTION("""COMPUTED_VALUE"""),"soundabuse")</f>
        <v>soundabuse</v>
      </c>
      <c r="D2080" s="75">
        <f>IFERROR(__xludf.DUMMYFUNCTION("""COMPUTED_VALUE"""),0.0)</f>
        <v>0</v>
      </c>
      <c r="E2080" s="64"/>
      <c r="F2080" s="95"/>
      <c r="G2080" s="96"/>
      <c r="H2080" s="64"/>
      <c r="I2080" s="64"/>
      <c r="J2080" s="64"/>
      <c r="K2080" s="64"/>
      <c r="L2080" s="64"/>
    </row>
    <row r="2081" ht="16.5" customHeight="1">
      <c r="A2081" s="64"/>
      <c r="B2081" s="80" t="s">
        <v>18249</v>
      </c>
      <c r="C2081" s="81" t="str">
        <f>IFERROR(__xludf.DUMMYFUNCTION("""COMPUTED_VALUE"""),"south_n_sunny")</f>
        <v>south_n_sunny</v>
      </c>
      <c r="D2081" s="75">
        <f>IFERROR(__xludf.DUMMYFUNCTION("""COMPUTED_VALUE"""),0.0)</f>
        <v>0</v>
      </c>
      <c r="E2081" s="64"/>
      <c r="F2081" s="95"/>
      <c r="G2081" s="96"/>
      <c r="H2081" s="64"/>
      <c r="I2081" s="64"/>
      <c r="J2081" s="64"/>
      <c r="K2081" s="64"/>
      <c r="L2081" s="64"/>
    </row>
    <row r="2082" ht="16.5" customHeight="1">
      <c r="A2082" s="64"/>
      <c r="B2082" s="80" t="s">
        <v>18249</v>
      </c>
      <c r="C2082" s="81" t="str">
        <f>IFERROR(__xludf.DUMMYFUNCTION("""COMPUTED_VALUE"""),"spaghjunc")</f>
        <v>spaghjunc</v>
      </c>
      <c r="D2082" s="75">
        <f>IFERROR(__xludf.DUMMYFUNCTION("""COMPUTED_VALUE"""),0.0)</f>
        <v>0</v>
      </c>
      <c r="E2082" s="64"/>
      <c r="F2082" s="95"/>
      <c r="G2082" s="96"/>
      <c r="H2082" s="64"/>
      <c r="I2082" s="64"/>
      <c r="J2082" s="64"/>
      <c r="K2082" s="64"/>
      <c r="L2082" s="64"/>
    </row>
    <row r="2083" ht="16.5" customHeight="1">
      <c r="A2083" s="64"/>
      <c r="B2083" s="80" t="s">
        <v>18249</v>
      </c>
      <c r="C2083" s="81" t="str">
        <f>IFERROR(__xludf.DUMMYFUNCTION("""COMPUTED_VALUE"""),"spencerh06")</f>
        <v>spencerh06</v>
      </c>
      <c r="D2083" s="75">
        <f>IFERROR(__xludf.DUMMYFUNCTION("""COMPUTED_VALUE"""),0.0)</f>
        <v>0</v>
      </c>
      <c r="E2083" s="64"/>
      <c r="F2083" s="95"/>
      <c r="G2083" s="96"/>
      <c r="H2083" s="64"/>
      <c r="I2083" s="64"/>
      <c r="J2083" s="64"/>
      <c r="K2083" s="64"/>
      <c r="L2083" s="64"/>
    </row>
    <row r="2084" ht="16.5" customHeight="1">
      <c r="A2084" s="64"/>
      <c r="B2084" s="80" t="s">
        <v>18249</v>
      </c>
      <c r="C2084" s="81" t="str">
        <f>IFERROR(__xludf.DUMMYFUNCTION("""COMPUTED_VALUE"""),"spjw1")</f>
        <v>spjw1</v>
      </c>
      <c r="D2084" s="75">
        <f>IFERROR(__xludf.DUMMYFUNCTION("""COMPUTED_VALUE"""),0.0)</f>
        <v>0</v>
      </c>
      <c r="E2084" s="64"/>
      <c r="F2084" s="95"/>
      <c r="G2084" s="96"/>
      <c r="H2084" s="64"/>
      <c r="I2084" s="64"/>
      <c r="J2084" s="64"/>
      <c r="K2084" s="64"/>
      <c r="L2084" s="64"/>
    </row>
    <row r="2085" ht="16.5" customHeight="1">
      <c r="A2085" s="64"/>
      <c r="B2085" s="80" t="s">
        <v>18249</v>
      </c>
      <c r="C2085" s="81" t="str">
        <f>IFERROR(__xludf.DUMMYFUNCTION("""COMPUTED_VALUE"""),"stancbgreen")</f>
        <v>stancbgreen</v>
      </c>
      <c r="D2085" s="75">
        <f>IFERROR(__xludf.DUMMYFUNCTION("""COMPUTED_VALUE"""),0.0)</f>
        <v>0</v>
      </c>
      <c r="E2085" s="64"/>
      <c r="F2085" s="95"/>
      <c r="G2085" s="96"/>
      <c r="H2085" s="64"/>
      <c r="I2085" s="64"/>
      <c r="J2085" s="64"/>
      <c r="K2085" s="64"/>
      <c r="L2085" s="64"/>
    </row>
    <row r="2086" ht="16.5" customHeight="1">
      <c r="A2086" s="64"/>
      <c r="B2086" s="80" t="s">
        <v>18249</v>
      </c>
      <c r="C2086" s="81" t="str">
        <f>IFERROR(__xludf.DUMMYFUNCTION("""COMPUTED_VALUE"""),"stardancerMike")</f>
        <v>stardancerMike</v>
      </c>
      <c r="D2086" s="75">
        <f>IFERROR(__xludf.DUMMYFUNCTION("""COMPUTED_VALUE"""),0.0)</f>
        <v>0</v>
      </c>
      <c r="E2086" s="64"/>
      <c r="F2086" s="95"/>
      <c r="G2086" s="96"/>
      <c r="H2086" s="64"/>
      <c r="I2086" s="64"/>
      <c r="J2086" s="64"/>
      <c r="K2086" s="64"/>
      <c r="L2086" s="64"/>
    </row>
    <row r="2087" ht="16.5" customHeight="1">
      <c r="A2087" s="64"/>
      <c r="B2087" s="80" t="s">
        <v>18249</v>
      </c>
      <c r="C2087" s="81" t="str">
        <f>IFERROR(__xludf.DUMMYFUNCTION("""COMPUTED_VALUE"""),"stephelle50")</f>
        <v>stephelle50</v>
      </c>
      <c r="D2087" s="75">
        <f>IFERROR(__xludf.DUMMYFUNCTION("""COMPUTED_VALUE"""),0.0)</f>
        <v>0</v>
      </c>
      <c r="E2087" s="64"/>
      <c r="F2087" s="95"/>
      <c r="G2087" s="96"/>
      <c r="H2087" s="64"/>
      <c r="I2087" s="64"/>
      <c r="J2087" s="64"/>
      <c r="K2087" s="64"/>
      <c r="L2087" s="64"/>
    </row>
    <row r="2088" ht="16.5" customHeight="1">
      <c r="A2088" s="64"/>
      <c r="B2088" s="80" t="s">
        <v>18249</v>
      </c>
      <c r="C2088" s="81" t="str">
        <f>IFERROR(__xludf.DUMMYFUNCTION("""COMPUTED_VALUE"""),"stephen501")</f>
        <v>stephen501</v>
      </c>
      <c r="D2088" s="75">
        <f>IFERROR(__xludf.DUMMYFUNCTION("""COMPUTED_VALUE"""),0.0)</f>
        <v>0</v>
      </c>
      <c r="E2088" s="64"/>
      <c r="F2088" s="95"/>
      <c r="G2088" s="96"/>
      <c r="H2088" s="64"/>
      <c r="I2088" s="64"/>
      <c r="J2088" s="64"/>
      <c r="K2088" s="64"/>
      <c r="L2088" s="64"/>
    </row>
    <row r="2089" ht="16.5" customHeight="1">
      <c r="A2089" s="64"/>
      <c r="B2089" s="80" t="s">
        <v>18249</v>
      </c>
      <c r="C2089" s="81" t="str">
        <f>IFERROR(__xludf.DUMMYFUNCTION("""COMPUTED_VALUE"""),"stephga5")</f>
        <v>stephga5</v>
      </c>
      <c r="D2089" s="75">
        <f>IFERROR(__xludf.DUMMYFUNCTION("""COMPUTED_VALUE"""),0.0)</f>
        <v>0</v>
      </c>
      <c r="E2089" s="64"/>
      <c r="F2089" s="95"/>
      <c r="G2089" s="96"/>
      <c r="H2089" s="64"/>
      <c r="I2089" s="64"/>
      <c r="J2089" s="64"/>
      <c r="K2089" s="64"/>
      <c r="L2089" s="64"/>
    </row>
    <row r="2090" ht="16.5" customHeight="1">
      <c r="A2090" s="64"/>
      <c r="B2090" s="80" t="s">
        <v>18249</v>
      </c>
      <c r="C2090" s="81" t="str">
        <f>IFERROR(__xludf.DUMMYFUNCTION("""COMPUTED_VALUE"""),"sterramilk")</f>
        <v>sterramilk</v>
      </c>
      <c r="D2090" s="75">
        <f>IFERROR(__xludf.DUMMYFUNCTION("""COMPUTED_VALUE"""),0.0)</f>
        <v>0</v>
      </c>
      <c r="E2090" s="64"/>
      <c r="F2090" s="95"/>
      <c r="G2090" s="96"/>
      <c r="H2090" s="64"/>
      <c r="I2090" s="64"/>
      <c r="J2090" s="64"/>
      <c r="K2090" s="64"/>
      <c r="L2090" s="64"/>
    </row>
    <row r="2091" ht="16.5" customHeight="1">
      <c r="A2091" s="64"/>
      <c r="B2091" s="80" t="s">
        <v>18249</v>
      </c>
      <c r="C2091" s="81" t="str">
        <f>IFERROR(__xludf.DUMMYFUNCTION("""COMPUTED_VALUE"""),"stevec009")</f>
        <v>stevec009</v>
      </c>
      <c r="D2091" s="75">
        <f>IFERROR(__xludf.DUMMYFUNCTION("""COMPUTED_VALUE"""),0.0)</f>
        <v>0</v>
      </c>
      <c r="E2091" s="64"/>
      <c r="F2091" s="95"/>
      <c r="G2091" s="96"/>
      <c r="H2091" s="64"/>
      <c r="I2091" s="64"/>
      <c r="J2091" s="64"/>
      <c r="K2091" s="64"/>
      <c r="L2091" s="64"/>
    </row>
    <row r="2092" ht="16.5" customHeight="1">
      <c r="A2092" s="64"/>
      <c r="B2092" s="80" t="s">
        <v>18249</v>
      </c>
      <c r="C2092" s="81" t="str">
        <f>IFERROR(__xludf.DUMMYFUNCTION("""COMPUTED_VALUE"""),"stevescullion")</f>
        <v>stevescullion</v>
      </c>
      <c r="D2092" s="75">
        <f>IFERROR(__xludf.DUMMYFUNCTION("""COMPUTED_VALUE"""),0.0)</f>
        <v>0</v>
      </c>
      <c r="E2092" s="64"/>
      <c r="F2092" s="95"/>
      <c r="G2092" s="96"/>
      <c r="H2092" s="64"/>
      <c r="I2092" s="64"/>
      <c r="J2092" s="64"/>
      <c r="K2092" s="64"/>
      <c r="L2092" s="64"/>
    </row>
    <row r="2093" ht="16.5" customHeight="1">
      <c r="A2093" s="64"/>
      <c r="B2093" s="80" t="s">
        <v>18249</v>
      </c>
      <c r="C2093" s="81" t="str">
        <f>IFERROR(__xludf.DUMMYFUNCTION("""COMPUTED_VALUE"""),"steviemcbride")</f>
        <v>steviemcbride</v>
      </c>
      <c r="D2093" s="75">
        <f>IFERROR(__xludf.DUMMYFUNCTION("""COMPUTED_VALUE"""),0.0)</f>
        <v>0</v>
      </c>
      <c r="E2093" s="64"/>
      <c r="F2093" s="95"/>
      <c r="G2093" s="96"/>
      <c r="H2093" s="64"/>
      <c r="I2093" s="64"/>
      <c r="J2093" s="64"/>
      <c r="K2093" s="64"/>
      <c r="L2093" s="64"/>
    </row>
    <row r="2094" ht="16.5" customHeight="1">
      <c r="A2094" s="64"/>
      <c r="B2094" s="80" t="s">
        <v>18249</v>
      </c>
      <c r="C2094" s="81" t="str">
        <f>IFERROR(__xludf.DUMMYFUNCTION("""COMPUTED_VALUE"""),"stevieone3")</f>
        <v>stevieone3</v>
      </c>
      <c r="D2094" s="75">
        <f>IFERROR(__xludf.DUMMYFUNCTION("""COMPUTED_VALUE"""),0.0)</f>
        <v>0</v>
      </c>
      <c r="E2094" s="64"/>
      <c r="F2094" s="95"/>
      <c r="G2094" s="96"/>
      <c r="H2094" s="64"/>
      <c r="I2094" s="64"/>
      <c r="J2094" s="64"/>
      <c r="K2094" s="64"/>
      <c r="L2094" s="64"/>
    </row>
    <row r="2095" ht="16.5" customHeight="1">
      <c r="A2095" s="64"/>
      <c r="B2095" s="80" t="s">
        <v>18249</v>
      </c>
      <c r="C2095" s="81" t="str">
        <f>IFERROR(__xludf.DUMMYFUNCTION("""COMPUTED_VALUE"""),"stitwit")</f>
        <v>stitwit</v>
      </c>
      <c r="D2095" s="75">
        <f>IFERROR(__xludf.DUMMYFUNCTION("""COMPUTED_VALUE"""),0.0)</f>
        <v>0</v>
      </c>
      <c r="E2095" s="64"/>
      <c r="F2095" s="95"/>
      <c r="G2095" s="96"/>
      <c r="H2095" s="64"/>
      <c r="I2095" s="64"/>
      <c r="J2095" s="64"/>
      <c r="K2095" s="64"/>
      <c r="L2095" s="64"/>
    </row>
    <row r="2096" ht="16.5" customHeight="1">
      <c r="A2096" s="64"/>
      <c r="B2096" s="80" t="s">
        <v>18249</v>
      </c>
      <c r="C2096" s="81" t="str">
        <f>IFERROR(__xludf.DUMMYFUNCTION("""COMPUTED_VALUE"""),"stoner1968")</f>
        <v>stoner1968</v>
      </c>
      <c r="D2096" s="75">
        <f>IFERROR(__xludf.DUMMYFUNCTION("""COMPUTED_VALUE"""),0.0)</f>
        <v>0</v>
      </c>
      <c r="E2096" s="64"/>
      <c r="F2096" s="95"/>
      <c r="G2096" s="96"/>
      <c r="H2096" s="64"/>
      <c r="I2096" s="64"/>
      <c r="J2096" s="64"/>
      <c r="K2096" s="64"/>
      <c r="L2096" s="64"/>
    </row>
    <row r="2097" ht="16.5" customHeight="1">
      <c r="A2097" s="64"/>
      <c r="B2097" s="80" t="s">
        <v>18249</v>
      </c>
      <c r="C2097" s="81" t="str">
        <f>IFERROR(__xludf.DUMMYFUNCTION("""COMPUTED_VALUE"""),"strange_al")</f>
        <v>strange_al</v>
      </c>
      <c r="D2097" s="75">
        <f>IFERROR(__xludf.DUMMYFUNCTION("""COMPUTED_VALUE"""),0.0)</f>
        <v>0</v>
      </c>
      <c r="E2097" s="64"/>
      <c r="F2097" s="95"/>
      <c r="G2097" s="96"/>
      <c r="H2097" s="64"/>
      <c r="I2097" s="64"/>
      <c r="J2097" s="64"/>
      <c r="K2097" s="64"/>
      <c r="L2097" s="64"/>
    </row>
    <row r="2098" ht="16.5" customHeight="1">
      <c r="A2098" s="64"/>
      <c r="B2098" s="80" t="s">
        <v>18249</v>
      </c>
      <c r="C2098" s="81" t="str">
        <f>IFERROR(__xludf.DUMMYFUNCTION("""COMPUTED_VALUE"""),"stroppypanda")</f>
        <v>stroppypanda</v>
      </c>
      <c r="D2098" s="75">
        <f>IFERROR(__xludf.DUMMYFUNCTION("""COMPUTED_VALUE"""),0.0)</f>
        <v>0</v>
      </c>
      <c r="E2098" s="64"/>
      <c r="F2098" s="95"/>
      <c r="G2098" s="96"/>
      <c r="H2098" s="64"/>
      <c r="I2098" s="64"/>
      <c r="J2098" s="64"/>
      <c r="K2098" s="64"/>
      <c r="L2098" s="64"/>
    </row>
    <row r="2099" ht="16.5" customHeight="1">
      <c r="A2099" s="64"/>
      <c r="B2099" s="80" t="s">
        <v>18249</v>
      </c>
      <c r="C2099" s="81" t="str">
        <f>IFERROR(__xludf.DUMMYFUNCTION("""COMPUTED_VALUE"""),"strupy")</f>
        <v>strupy</v>
      </c>
      <c r="D2099" s="75">
        <f>IFERROR(__xludf.DUMMYFUNCTION("""COMPUTED_VALUE"""),0.0)</f>
        <v>0</v>
      </c>
      <c r="E2099" s="64"/>
      <c r="F2099" s="95"/>
      <c r="G2099" s="96"/>
      <c r="H2099" s="64"/>
      <c r="I2099" s="64"/>
      <c r="J2099" s="64"/>
      <c r="K2099" s="64"/>
      <c r="L2099" s="64"/>
    </row>
    <row r="2100" ht="16.5" customHeight="1">
      <c r="A2100" s="64"/>
      <c r="B2100" s="80" t="s">
        <v>18249</v>
      </c>
      <c r="C2100" s="81" t="str">
        <f>IFERROR(__xludf.DUMMYFUNCTION("""COMPUTED_VALUE"""),"stuartfmckee1")</f>
        <v>stuartfmckee1</v>
      </c>
      <c r="D2100" s="75">
        <f>IFERROR(__xludf.DUMMYFUNCTION("""COMPUTED_VALUE"""),0.0)</f>
        <v>0</v>
      </c>
      <c r="E2100" s="64"/>
      <c r="F2100" s="95"/>
      <c r="G2100" s="96"/>
      <c r="H2100" s="64"/>
      <c r="I2100" s="64"/>
      <c r="J2100" s="64"/>
      <c r="K2100" s="64"/>
      <c r="L2100" s="64"/>
    </row>
    <row r="2101" ht="16.5" customHeight="1">
      <c r="A2101" s="64"/>
      <c r="B2101" s="80" t="s">
        <v>18249</v>
      </c>
      <c r="C2101" s="81" t="str">
        <f>IFERROR(__xludf.DUMMYFUNCTION("""COMPUTED_VALUE"""),"stuartprideaux")</f>
        <v>stuartprideaux</v>
      </c>
      <c r="D2101" s="75">
        <f>IFERROR(__xludf.DUMMYFUNCTION("""COMPUTED_VALUE"""),0.0)</f>
        <v>0</v>
      </c>
      <c r="E2101" s="64"/>
      <c r="F2101" s="95"/>
      <c r="G2101" s="96"/>
      <c r="H2101" s="64"/>
      <c r="I2101" s="64"/>
      <c r="J2101" s="64"/>
      <c r="K2101" s="64"/>
      <c r="L2101" s="64"/>
    </row>
    <row r="2102" ht="16.5" customHeight="1">
      <c r="A2102" s="64"/>
      <c r="B2102" s="80" t="s">
        <v>18249</v>
      </c>
      <c r="C2102" s="81" t="str">
        <f>IFERROR(__xludf.DUMMYFUNCTION("""COMPUTED_VALUE"""),"stuindy")</f>
        <v>stuindy</v>
      </c>
      <c r="D2102" s="75">
        <f>IFERROR(__xludf.DUMMYFUNCTION("""COMPUTED_VALUE"""),0.0)</f>
        <v>0</v>
      </c>
      <c r="E2102" s="64"/>
      <c r="F2102" s="95"/>
      <c r="G2102" s="96"/>
      <c r="H2102" s="64"/>
      <c r="I2102" s="64"/>
      <c r="J2102" s="64"/>
      <c r="K2102" s="64"/>
      <c r="L2102" s="64"/>
    </row>
    <row r="2103" ht="16.5" customHeight="1">
      <c r="A2103" s="64"/>
      <c r="B2103" s="80" t="s">
        <v>18249</v>
      </c>
      <c r="C2103" s="81" t="str">
        <f>IFERROR(__xludf.DUMMYFUNCTION("""COMPUTED_VALUE"""),"stultarna")</f>
        <v>stultarna</v>
      </c>
      <c r="D2103" s="75">
        <f>IFERROR(__xludf.DUMMYFUNCTION("""COMPUTED_VALUE"""),0.0)</f>
        <v>0</v>
      </c>
      <c r="E2103" s="64"/>
      <c r="F2103" s="95"/>
      <c r="G2103" s="96"/>
      <c r="H2103" s="64"/>
      <c r="I2103" s="64"/>
      <c r="J2103" s="64"/>
      <c r="K2103" s="64"/>
      <c r="L2103" s="64"/>
    </row>
    <row r="2104" ht="16.5" customHeight="1">
      <c r="A2104" s="64"/>
      <c r="B2104" s="80" t="s">
        <v>18249</v>
      </c>
      <c r="C2104" s="81" t="str">
        <f>IFERROR(__xludf.DUMMYFUNCTION("""COMPUTED_VALUE"""),"suecor")</f>
        <v>suecor</v>
      </c>
      <c r="D2104" s="75">
        <f>IFERROR(__xludf.DUMMYFUNCTION("""COMPUTED_VALUE"""),0.0)</f>
        <v>0</v>
      </c>
      <c r="E2104" s="64"/>
      <c r="F2104" s="95"/>
      <c r="G2104" s="96"/>
      <c r="H2104" s="64"/>
      <c r="I2104" s="64"/>
      <c r="J2104" s="64"/>
      <c r="K2104" s="64"/>
      <c r="L2104" s="64"/>
    </row>
    <row r="2105" ht="16.5" customHeight="1">
      <c r="A2105" s="64"/>
      <c r="B2105" s="80" t="s">
        <v>18249</v>
      </c>
      <c r="C2105" s="81" t="str">
        <f>IFERROR(__xludf.DUMMYFUNCTION("""COMPUTED_VALUE"""),"suecresswell01")</f>
        <v>suecresswell01</v>
      </c>
      <c r="D2105" s="75">
        <f>IFERROR(__xludf.DUMMYFUNCTION("""COMPUTED_VALUE"""),0.0)</f>
        <v>0</v>
      </c>
      <c r="E2105" s="64"/>
      <c r="F2105" s="95"/>
      <c r="G2105" s="96"/>
      <c r="H2105" s="64"/>
      <c r="I2105" s="64"/>
      <c r="J2105" s="64"/>
      <c r="K2105" s="64"/>
      <c r="L2105" s="64"/>
    </row>
    <row r="2106" ht="16.5" customHeight="1">
      <c r="A2106" s="64"/>
      <c r="B2106" s="80" t="s">
        <v>18249</v>
      </c>
      <c r="C2106" s="81" t="str">
        <f>IFERROR(__xludf.DUMMYFUNCTION("""COMPUTED_VALUE"""),"superdupedoodle")</f>
        <v>superdupedoodle</v>
      </c>
      <c r="D2106" s="75">
        <f>IFERROR(__xludf.DUMMYFUNCTION("""COMPUTED_VALUE"""),0.0)</f>
        <v>0</v>
      </c>
      <c r="E2106" s="64"/>
      <c r="F2106" s="95"/>
      <c r="G2106" s="96"/>
      <c r="H2106" s="64"/>
      <c r="I2106" s="64"/>
      <c r="J2106" s="64"/>
      <c r="K2106" s="64"/>
      <c r="L2106" s="64"/>
    </row>
    <row r="2107" ht="16.5" customHeight="1">
      <c r="A2107" s="64"/>
      <c r="B2107" s="80" t="s">
        <v>18249</v>
      </c>
      <c r="C2107" s="81" t="str">
        <f>IFERROR(__xludf.DUMMYFUNCTION("""COMPUTED_VALUE"""),"susiereaphoto")</f>
        <v>susiereaphoto</v>
      </c>
      <c r="D2107" s="75">
        <f>IFERROR(__xludf.DUMMYFUNCTION("""COMPUTED_VALUE"""),0.0)</f>
        <v>0</v>
      </c>
      <c r="E2107" s="64"/>
      <c r="F2107" s="95"/>
      <c r="G2107" s="96"/>
      <c r="H2107" s="64"/>
      <c r="I2107" s="64"/>
      <c r="J2107" s="64"/>
      <c r="K2107" s="64"/>
      <c r="L2107" s="64"/>
    </row>
    <row r="2108" ht="16.5" customHeight="1">
      <c r="A2108" s="64"/>
      <c r="B2108" s="80" t="s">
        <v>18249</v>
      </c>
      <c r="C2108" s="81" t="str">
        <f>IFERROR(__xludf.DUMMYFUNCTION("""COMPUTED_VALUE"""),"susyJack123")</f>
        <v>susyJack123</v>
      </c>
      <c r="D2108" s="75">
        <f>IFERROR(__xludf.DUMMYFUNCTION("""COMPUTED_VALUE"""),0.0)</f>
        <v>0</v>
      </c>
      <c r="E2108" s="64"/>
      <c r="F2108" s="95"/>
      <c r="G2108" s="96"/>
      <c r="H2108" s="64"/>
      <c r="I2108" s="64"/>
      <c r="J2108" s="64"/>
      <c r="K2108" s="64"/>
      <c r="L2108" s="64"/>
    </row>
    <row r="2109" ht="16.5" customHeight="1">
      <c r="A2109" s="64"/>
      <c r="B2109" s="80" t="s">
        <v>18249</v>
      </c>
      <c r="C2109" s="81" t="str">
        <f>IFERROR(__xludf.DUMMYFUNCTION("""COMPUTED_VALUE"""),"suthers")</f>
        <v>suthers</v>
      </c>
      <c r="D2109" s="75">
        <f>IFERROR(__xludf.DUMMYFUNCTION("""COMPUTED_VALUE"""),0.0)</f>
        <v>0</v>
      </c>
      <c r="E2109" s="64"/>
      <c r="F2109" s="95"/>
      <c r="G2109" s="96"/>
      <c r="H2109" s="64"/>
      <c r="I2109" s="64"/>
      <c r="J2109" s="64"/>
      <c r="K2109" s="64"/>
      <c r="L2109" s="64"/>
    </row>
    <row r="2110" ht="16.5" customHeight="1">
      <c r="A2110" s="64"/>
      <c r="B2110" s="80" t="s">
        <v>18249</v>
      </c>
      <c r="C2110" s="81" t="str">
        <f>IFERROR(__xludf.DUMMYFUNCTION("""COMPUTED_VALUE"""),"suzeb57")</f>
        <v>suzeb57</v>
      </c>
      <c r="D2110" s="75">
        <f>IFERROR(__xludf.DUMMYFUNCTION("""COMPUTED_VALUE"""),0.0)</f>
        <v>0</v>
      </c>
      <c r="E2110" s="64"/>
      <c r="F2110" s="95"/>
      <c r="G2110" s="96"/>
      <c r="H2110" s="64"/>
      <c r="I2110" s="64"/>
      <c r="J2110" s="64"/>
      <c r="K2110" s="64"/>
      <c r="L2110" s="64"/>
    </row>
    <row r="2111" ht="16.5" customHeight="1">
      <c r="A2111" s="64"/>
      <c r="B2111" s="80" t="s">
        <v>18249</v>
      </c>
      <c r="C2111" s="81" t="str">
        <f>IFERROR(__xludf.DUMMYFUNCTION("""COMPUTED_VALUE"""),"svelji")</f>
        <v>svelji</v>
      </c>
      <c r="D2111" s="75">
        <f>IFERROR(__xludf.DUMMYFUNCTION("""COMPUTED_VALUE"""),0.0)</f>
        <v>0</v>
      </c>
      <c r="E2111" s="64"/>
      <c r="F2111" s="95"/>
      <c r="G2111" s="96"/>
      <c r="H2111" s="64"/>
      <c r="I2111" s="64"/>
      <c r="J2111" s="64"/>
      <c r="K2111" s="64"/>
      <c r="L2111" s="64"/>
    </row>
    <row r="2112" ht="16.5" customHeight="1">
      <c r="A2112" s="64"/>
      <c r="B2112" s="80" t="s">
        <v>18249</v>
      </c>
      <c r="C2112" s="81" t="str">
        <f>IFERROR(__xludf.DUMMYFUNCTION("""COMPUTED_VALUE"""),"swanseagds")</f>
        <v>swanseagds</v>
      </c>
      <c r="D2112" s="75">
        <f>IFERROR(__xludf.DUMMYFUNCTION("""COMPUTED_VALUE"""),0.0)</f>
        <v>0</v>
      </c>
      <c r="E2112" s="64"/>
      <c r="F2112" s="95"/>
      <c r="G2112" s="96"/>
      <c r="H2112" s="64"/>
      <c r="I2112" s="64"/>
      <c r="J2112" s="64"/>
      <c r="K2112" s="64"/>
      <c r="L2112" s="64"/>
    </row>
    <row r="2113" ht="16.5" customHeight="1">
      <c r="A2113" s="64"/>
      <c r="B2113" s="80" t="s">
        <v>18249</v>
      </c>
      <c r="C2113" s="81" t="str">
        <f>IFERROR(__xludf.DUMMYFUNCTION("""COMPUTED_VALUE"""),"swishthedragon")</f>
        <v>swishthedragon</v>
      </c>
      <c r="D2113" s="75">
        <f>IFERROR(__xludf.DUMMYFUNCTION("""COMPUTED_VALUE"""),0.0)</f>
        <v>0</v>
      </c>
      <c r="E2113" s="64"/>
      <c r="F2113" s="95"/>
      <c r="G2113" s="96"/>
      <c r="H2113" s="64"/>
      <c r="I2113" s="64"/>
      <c r="J2113" s="64"/>
      <c r="K2113" s="64"/>
      <c r="L2113" s="64"/>
    </row>
    <row r="2114" ht="16.5" customHeight="1">
      <c r="A2114" s="64"/>
      <c r="B2114" s="80" t="s">
        <v>18249</v>
      </c>
      <c r="C2114" s="81" t="str">
        <f>IFERROR(__xludf.DUMMYFUNCTION("""COMPUTED_VALUE"""),"swpp12")</f>
        <v>swpp12</v>
      </c>
      <c r="D2114" s="75">
        <f>IFERROR(__xludf.DUMMYFUNCTION("""COMPUTED_VALUE"""),0.0)</f>
        <v>0</v>
      </c>
      <c r="E2114" s="64"/>
      <c r="F2114" s="95"/>
      <c r="G2114" s="96"/>
      <c r="H2114" s="64"/>
      <c r="I2114" s="64"/>
      <c r="J2114" s="64"/>
      <c r="K2114" s="64"/>
      <c r="L2114" s="64"/>
    </row>
    <row r="2115" ht="16.5" customHeight="1">
      <c r="A2115" s="64"/>
      <c r="B2115" s="80" t="s">
        <v>18249</v>
      </c>
      <c r="C2115" s="81" t="str">
        <f>IFERROR(__xludf.DUMMYFUNCTION("""COMPUTED_VALUE"""),"sydturner1")</f>
        <v>sydturner1</v>
      </c>
      <c r="D2115" s="75">
        <f>IFERROR(__xludf.DUMMYFUNCTION("""COMPUTED_VALUE"""),0.0)</f>
        <v>0</v>
      </c>
      <c r="E2115" s="64"/>
      <c r="F2115" s="95"/>
      <c r="G2115" s="96"/>
      <c r="H2115" s="64"/>
      <c r="I2115" s="64"/>
      <c r="J2115" s="64"/>
      <c r="K2115" s="64"/>
      <c r="L2115" s="64"/>
    </row>
    <row r="2116" ht="16.5" customHeight="1">
      <c r="A2116" s="64"/>
      <c r="B2116" s="80" t="s">
        <v>18249</v>
      </c>
      <c r="C2116" s="81" t="str">
        <f>IFERROR(__xludf.DUMMYFUNCTION("""COMPUTED_VALUE"""),"systonhouse")</f>
        <v>systonhouse</v>
      </c>
      <c r="D2116" s="75">
        <f>IFERROR(__xludf.DUMMYFUNCTION("""COMPUTED_VALUE"""),0.0)</f>
        <v>0</v>
      </c>
      <c r="E2116" s="64"/>
      <c r="F2116" s="95"/>
      <c r="G2116" s="96"/>
      <c r="H2116" s="64"/>
      <c r="I2116" s="64"/>
      <c r="J2116" s="64"/>
      <c r="K2116" s="64"/>
      <c r="L2116" s="64"/>
    </row>
    <row r="2117" ht="16.5" customHeight="1">
      <c r="A2117" s="64"/>
      <c r="B2117" s="80" t="s">
        <v>18249</v>
      </c>
      <c r="C2117" s="81" t="str">
        <f>IFERROR(__xludf.DUMMYFUNCTION("""COMPUTED_VALUE"""),"t_pressland")</f>
        <v>t_pressland</v>
      </c>
      <c r="D2117" s="75">
        <f>IFERROR(__xludf.DUMMYFUNCTION("""COMPUTED_VALUE"""),0.0)</f>
        <v>0</v>
      </c>
      <c r="E2117" s="64"/>
      <c r="F2117" s="95"/>
      <c r="G2117" s="96"/>
      <c r="H2117" s="64"/>
      <c r="I2117" s="64"/>
      <c r="J2117" s="64"/>
      <c r="K2117" s="64"/>
      <c r="L2117" s="64"/>
    </row>
    <row r="2118" ht="16.5" customHeight="1">
      <c r="A2118" s="64"/>
      <c r="B2118" s="80" t="s">
        <v>18249</v>
      </c>
      <c r="C2118" s="81" t="str">
        <f>IFERROR(__xludf.DUMMYFUNCTION("""COMPUTED_VALUE"""),"tad123")</f>
        <v>tad123</v>
      </c>
      <c r="D2118" s="75">
        <f>IFERROR(__xludf.DUMMYFUNCTION("""COMPUTED_VALUE"""),0.0)</f>
        <v>0</v>
      </c>
      <c r="E2118" s="64"/>
      <c r="F2118" s="95"/>
      <c r="G2118" s="96"/>
      <c r="H2118" s="64"/>
      <c r="I2118" s="64"/>
      <c r="J2118" s="64"/>
      <c r="K2118" s="64"/>
      <c r="L2118" s="64"/>
    </row>
    <row r="2119" ht="16.5" customHeight="1">
      <c r="A2119" s="64"/>
      <c r="B2119" s="80" t="s">
        <v>18249</v>
      </c>
      <c r="C2119" s="81" t="str">
        <f>IFERROR(__xludf.DUMMYFUNCTION("""COMPUTED_VALUE"""),"tanita_tikaram")</f>
        <v>tanita_tikaram</v>
      </c>
      <c r="D2119" s="75">
        <f>IFERROR(__xludf.DUMMYFUNCTION("""COMPUTED_VALUE"""),0.0)</f>
        <v>0</v>
      </c>
      <c r="E2119" s="64"/>
      <c r="F2119" s="95"/>
      <c r="G2119" s="96"/>
      <c r="H2119" s="64"/>
      <c r="I2119" s="64"/>
      <c r="J2119" s="64"/>
      <c r="K2119" s="64"/>
      <c r="L2119" s="64"/>
    </row>
    <row r="2120" ht="16.5" customHeight="1">
      <c r="A2120" s="64"/>
      <c r="B2120" s="80" t="s">
        <v>18249</v>
      </c>
      <c r="C2120" s="81" t="str">
        <f>IFERROR(__xludf.DUMMYFUNCTION("""COMPUTED_VALUE"""),"tarisgal42")</f>
        <v>tarisgal42</v>
      </c>
      <c r="D2120" s="75">
        <f>IFERROR(__xludf.DUMMYFUNCTION("""COMPUTED_VALUE"""),0.0)</f>
        <v>0</v>
      </c>
      <c r="E2120" s="64"/>
      <c r="F2120" s="95"/>
      <c r="G2120" s="96"/>
      <c r="H2120" s="64"/>
      <c r="I2120" s="64"/>
      <c r="J2120" s="64"/>
      <c r="K2120" s="64"/>
      <c r="L2120" s="64"/>
    </row>
    <row r="2121" ht="16.5" customHeight="1">
      <c r="A2121" s="64"/>
      <c r="B2121" s="80" t="s">
        <v>18249</v>
      </c>
      <c r="C2121" s="81" t="str">
        <f>IFERROR(__xludf.DUMMYFUNCTION("""COMPUTED_VALUE"""),"tartancobweb")</f>
        <v>tartancobweb</v>
      </c>
      <c r="D2121" s="75">
        <f>IFERROR(__xludf.DUMMYFUNCTION("""COMPUTED_VALUE"""),0.0)</f>
        <v>0</v>
      </c>
      <c r="E2121" s="64"/>
      <c r="F2121" s="95"/>
      <c r="G2121" s="96"/>
      <c r="H2121" s="64"/>
      <c r="I2121" s="64"/>
      <c r="J2121" s="64"/>
      <c r="K2121" s="64"/>
      <c r="L2121" s="64"/>
    </row>
    <row r="2122" ht="16.5" customHeight="1">
      <c r="A2122" s="64"/>
      <c r="B2122" s="80" t="s">
        <v>18249</v>
      </c>
      <c r="C2122" s="81" t="str">
        <f>IFERROR(__xludf.DUMMYFUNCTION("""COMPUTED_VALUE"""),"taylorkwinship")</f>
        <v>taylorkwinship</v>
      </c>
      <c r="D2122" s="75">
        <f>IFERROR(__xludf.DUMMYFUNCTION("""COMPUTED_VALUE"""),0.0)</f>
        <v>0</v>
      </c>
      <c r="E2122" s="64"/>
      <c r="F2122" s="95"/>
      <c r="G2122" s="96"/>
      <c r="H2122" s="64"/>
      <c r="I2122" s="64"/>
      <c r="J2122" s="64"/>
      <c r="K2122" s="64"/>
      <c r="L2122" s="64"/>
    </row>
    <row r="2123" ht="16.5" customHeight="1">
      <c r="A2123" s="64"/>
      <c r="B2123" s="80" t="s">
        <v>18249</v>
      </c>
      <c r="C2123" s="81" t="str">
        <f>IFERROR(__xludf.DUMMYFUNCTION("""COMPUTED_VALUE"""),"teablott")</f>
        <v>teablott</v>
      </c>
      <c r="D2123" s="75">
        <f>IFERROR(__xludf.DUMMYFUNCTION("""COMPUTED_VALUE"""),0.0)</f>
        <v>0</v>
      </c>
      <c r="E2123" s="64"/>
      <c r="F2123" s="95"/>
      <c r="G2123" s="96"/>
      <c r="H2123" s="64"/>
      <c r="I2123" s="64"/>
      <c r="J2123" s="64"/>
      <c r="K2123" s="64"/>
      <c r="L2123" s="64"/>
    </row>
    <row r="2124" ht="16.5" customHeight="1">
      <c r="A2124" s="64"/>
      <c r="B2124" s="80" t="s">
        <v>18249</v>
      </c>
      <c r="C2124" s="81" t="str">
        <f>IFERROR(__xludf.DUMMYFUNCTION("""COMPUTED_VALUE"""),"tearea13")</f>
        <v>tearea13</v>
      </c>
      <c r="D2124" s="75">
        <f>IFERROR(__xludf.DUMMYFUNCTION("""COMPUTED_VALUE"""),0.0)</f>
        <v>0</v>
      </c>
      <c r="E2124" s="64"/>
      <c r="F2124" s="95"/>
      <c r="G2124" s="96"/>
      <c r="H2124" s="64"/>
      <c r="I2124" s="64"/>
      <c r="J2124" s="64"/>
      <c r="K2124" s="64"/>
      <c r="L2124" s="64"/>
    </row>
    <row r="2125" ht="16.5" customHeight="1">
      <c r="A2125" s="64"/>
      <c r="B2125" s="80" t="s">
        <v>18249</v>
      </c>
      <c r="C2125" s="81" t="str">
        <f>IFERROR(__xludf.DUMMYFUNCTION("""COMPUTED_VALUE"""),"telmckeown")</f>
        <v>telmckeown</v>
      </c>
      <c r="D2125" s="75">
        <f>IFERROR(__xludf.DUMMYFUNCTION("""COMPUTED_VALUE"""),0.0)</f>
        <v>0</v>
      </c>
      <c r="E2125" s="64"/>
      <c r="F2125" s="95"/>
      <c r="G2125" s="96"/>
      <c r="H2125" s="64"/>
      <c r="I2125" s="64"/>
      <c r="J2125" s="64"/>
      <c r="K2125" s="64"/>
      <c r="L2125" s="64"/>
    </row>
    <row r="2126" ht="16.5" customHeight="1">
      <c r="A2126" s="64"/>
      <c r="B2126" s="80" t="s">
        <v>18249</v>
      </c>
      <c r="C2126" s="81" t="str">
        <f>IFERROR(__xludf.DUMMYFUNCTION("""COMPUTED_VALUE"""),"the_dantona")</f>
        <v>the_dantona</v>
      </c>
      <c r="D2126" s="75">
        <f>IFERROR(__xludf.DUMMYFUNCTION("""COMPUTED_VALUE"""),0.0)</f>
        <v>0</v>
      </c>
      <c r="E2126" s="64"/>
      <c r="F2126" s="95"/>
      <c r="G2126" s="96"/>
      <c r="H2126" s="64"/>
      <c r="I2126" s="64"/>
      <c r="J2126" s="64"/>
      <c r="K2126" s="64"/>
      <c r="L2126" s="64"/>
    </row>
    <row r="2127" ht="16.5" customHeight="1">
      <c r="A2127" s="64"/>
      <c r="B2127" s="80" t="s">
        <v>18249</v>
      </c>
      <c r="C2127" s="81" t="str">
        <f>IFERROR(__xludf.DUMMYFUNCTION("""COMPUTED_VALUE"""),"thedragonaunt")</f>
        <v>thedragonaunt</v>
      </c>
      <c r="D2127" s="75">
        <f>IFERROR(__xludf.DUMMYFUNCTION("""COMPUTED_VALUE"""),0.0)</f>
        <v>0</v>
      </c>
      <c r="E2127" s="64"/>
      <c r="F2127" s="95"/>
      <c r="G2127" s="96"/>
      <c r="H2127" s="64"/>
      <c r="I2127" s="64"/>
      <c r="J2127" s="64"/>
      <c r="K2127" s="64"/>
      <c r="L2127" s="64"/>
    </row>
    <row r="2128" ht="16.5" customHeight="1">
      <c r="A2128" s="64"/>
      <c r="B2128" s="80" t="s">
        <v>18249</v>
      </c>
      <c r="C2128" s="81" t="str">
        <f>IFERROR(__xludf.DUMMYFUNCTION("""COMPUTED_VALUE"""),"thefossiler")</f>
        <v>thefossiler</v>
      </c>
      <c r="D2128" s="75">
        <f>IFERROR(__xludf.DUMMYFUNCTION("""COMPUTED_VALUE"""),0.0)</f>
        <v>0</v>
      </c>
      <c r="E2128" s="64"/>
      <c r="F2128" s="95"/>
      <c r="G2128" s="96"/>
      <c r="H2128" s="64"/>
      <c r="I2128" s="64"/>
      <c r="J2128" s="64"/>
      <c r="K2128" s="64"/>
      <c r="L2128" s="64"/>
    </row>
    <row r="2129" ht="16.5" customHeight="1">
      <c r="A2129" s="64"/>
      <c r="B2129" s="80" t="s">
        <v>18249</v>
      </c>
      <c r="C2129" s="81" t="str">
        <f>IFERROR(__xludf.DUMMYFUNCTION("""COMPUTED_VALUE"""),"thelastaerie")</f>
        <v>thelastaerie</v>
      </c>
      <c r="D2129" s="75">
        <f>IFERROR(__xludf.DUMMYFUNCTION("""COMPUTED_VALUE"""),0.0)</f>
        <v>0</v>
      </c>
      <c r="E2129" s="64"/>
      <c r="F2129" s="95"/>
      <c r="G2129" s="96"/>
      <c r="H2129" s="64"/>
      <c r="I2129" s="64"/>
      <c r="J2129" s="64"/>
      <c r="K2129" s="64"/>
      <c r="L2129" s="64"/>
    </row>
    <row r="2130" ht="16.5" customHeight="1">
      <c r="A2130" s="64"/>
      <c r="B2130" s="80" t="s">
        <v>18249</v>
      </c>
      <c r="C2130" s="81" t="str">
        <f>IFERROR(__xludf.DUMMYFUNCTION("""COMPUTED_VALUE"""),"themarkloan")</f>
        <v>themarkloan</v>
      </c>
      <c r="D2130" s="75">
        <f>IFERROR(__xludf.DUMMYFUNCTION("""COMPUTED_VALUE"""),0.0)</f>
        <v>0</v>
      </c>
      <c r="E2130" s="64"/>
      <c r="F2130" s="95"/>
      <c r="G2130" s="96"/>
      <c r="H2130" s="64"/>
      <c r="I2130" s="64"/>
      <c r="J2130" s="64"/>
      <c r="K2130" s="64"/>
      <c r="L2130" s="64"/>
    </row>
    <row r="2131" ht="16.5" customHeight="1">
      <c r="A2131" s="64"/>
      <c r="B2131" s="80" t="s">
        <v>18249</v>
      </c>
      <c r="C2131" s="81" t="str">
        <f>IFERROR(__xludf.DUMMYFUNCTION("""COMPUTED_VALUE"""),"thepetermesser")</f>
        <v>thepetermesser</v>
      </c>
      <c r="D2131" s="75">
        <f>IFERROR(__xludf.DUMMYFUNCTION("""COMPUTED_VALUE"""),0.0)</f>
        <v>0</v>
      </c>
      <c r="E2131" s="64"/>
      <c r="F2131" s="95"/>
      <c r="G2131" s="96"/>
      <c r="H2131" s="64"/>
      <c r="I2131" s="64"/>
      <c r="J2131" s="64"/>
      <c r="K2131" s="64"/>
      <c r="L2131" s="64"/>
    </row>
    <row r="2132" ht="16.5" customHeight="1">
      <c r="A2132" s="64"/>
      <c r="B2132" s="80" t="s">
        <v>18249</v>
      </c>
      <c r="C2132" s="81" t="str">
        <f>IFERROR(__xludf.DUMMYFUNCTION("""COMPUTED_VALUE"""),"theradgeygadgey")</f>
        <v>theradgeygadgey</v>
      </c>
      <c r="D2132" s="75">
        <f>IFERROR(__xludf.DUMMYFUNCTION("""COMPUTED_VALUE"""),0.0)</f>
        <v>0</v>
      </c>
      <c r="E2132" s="64"/>
      <c r="F2132" s="95"/>
      <c r="G2132" s="96"/>
      <c r="H2132" s="64"/>
      <c r="I2132" s="64"/>
      <c r="J2132" s="64"/>
      <c r="K2132" s="64"/>
      <c r="L2132" s="64"/>
    </row>
    <row r="2133" ht="16.5" customHeight="1">
      <c r="A2133" s="64"/>
      <c r="B2133" s="80" t="s">
        <v>18249</v>
      </c>
      <c r="C2133" s="81" t="str">
        <f>IFERROR(__xludf.DUMMYFUNCTION("""COMPUTED_VALUE"""),"therealdaverich")</f>
        <v>therealdaverich</v>
      </c>
      <c r="D2133" s="75">
        <f>IFERROR(__xludf.DUMMYFUNCTION("""COMPUTED_VALUE"""),0.0)</f>
        <v>0</v>
      </c>
      <c r="E2133" s="64"/>
      <c r="F2133" s="95"/>
      <c r="G2133" s="96"/>
      <c r="H2133" s="64"/>
      <c r="I2133" s="64"/>
      <c r="J2133" s="64"/>
      <c r="K2133" s="64"/>
      <c r="L2133" s="64"/>
    </row>
    <row r="2134" ht="16.5" customHeight="1">
      <c r="A2134" s="64"/>
      <c r="B2134" s="80" t="s">
        <v>18249</v>
      </c>
      <c r="C2134" s="81" t="str">
        <f>IFERROR(__xludf.DUMMYFUNCTION("""COMPUTED_VALUE"""),"therealkaz01")</f>
        <v>therealkaz01</v>
      </c>
      <c r="D2134" s="75">
        <f>IFERROR(__xludf.DUMMYFUNCTION("""COMPUTED_VALUE"""),0.0)</f>
        <v>0</v>
      </c>
      <c r="E2134" s="64"/>
      <c r="F2134" s="95"/>
      <c r="G2134" s="96"/>
      <c r="H2134" s="64"/>
      <c r="I2134" s="64"/>
      <c r="J2134" s="64"/>
      <c r="K2134" s="64"/>
      <c r="L2134" s="64"/>
    </row>
    <row r="2135" ht="16.5" customHeight="1">
      <c r="A2135" s="64"/>
      <c r="B2135" s="80" t="s">
        <v>18249</v>
      </c>
      <c r="C2135" s="81" t="str">
        <f>IFERROR(__xludf.DUMMYFUNCTION("""COMPUTED_VALUE"""),"thestefanmann")</f>
        <v>thestefanmann</v>
      </c>
      <c r="D2135" s="75">
        <f>IFERROR(__xludf.DUMMYFUNCTION("""COMPUTED_VALUE"""),0.0)</f>
        <v>0</v>
      </c>
      <c r="E2135" s="64"/>
      <c r="F2135" s="95"/>
      <c r="G2135" s="96"/>
      <c r="H2135" s="64"/>
      <c r="I2135" s="64"/>
      <c r="J2135" s="64"/>
      <c r="K2135" s="64"/>
      <c r="L2135" s="64"/>
    </row>
    <row r="2136" ht="16.5" customHeight="1">
      <c r="A2136" s="64"/>
      <c r="B2136" s="80" t="s">
        <v>18249</v>
      </c>
      <c r="C2136" s="81" t="str">
        <f>IFERROR(__xludf.DUMMYFUNCTION("""COMPUTED_VALUE"""),"thetakappa73")</f>
        <v>thetakappa73</v>
      </c>
      <c r="D2136" s="75">
        <f>IFERROR(__xludf.DUMMYFUNCTION("""COMPUTED_VALUE"""),0.0)</f>
        <v>0</v>
      </c>
      <c r="E2136" s="64"/>
      <c r="F2136" s="95"/>
      <c r="G2136" s="96"/>
      <c r="H2136" s="64"/>
      <c r="I2136" s="64"/>
      <c r="J2136" s="64"/>
      <c r="K2136" s="64"/>
      <c r="L2136" s="64"/>
    </row>
    <row r="2137" ht="16.5" customHeight="1">
      <c r="A2137" s="64"/>
      <c r="B2137" s="80" t="s">
        <v>18249</v>
      </c>
      <c r="C2137" s="81" t="str">
        <f>IFERROR(__xludf.DUMMYFUNCTION("""COMPUTED_VALUE"""),"thetopcaptain")</f>
        <v>thetopcaptain</v>
      </c>
      <c r="D2137" s="75">
        <f>IFERROR(__xludf.DUMMYFUNCTION("""COMPUTED_VALUE"""),0.0)</f>
        <v>0</v>
      </c>
      <c r="E2137" s="64"/>
      <c r="F2137" s="95"/>
      <c r="G2137" s="96"/>
      <c r="H2137" s="64"/>
      <c r="I2137" s="64"/>
      <c r="J2137" s="64"/>
      <c r="K2137" s="64"/>
      <c r="L2137" s="64"/>
    </row>
    <row r="2138" ht="16.5" customHeight="1">
      <c r="A2138" s="64"/>
      <c r="B2138" s="80" t="s">
        <v>18249</v>
      </c>
      <c r="C2138" s="81" t="str">
        <f>IFERROR(__xludf.DUMMYFUNCTION("""COMPUTED_VALUE"""),"thinkingiamwait")</f>
        <v>thinkingiamwait</v>
      </c>
      <c r="D2138" s="75">
        <f>IFERROR(__xludf.DUMMYFUNCTION("""COMPUTED_VALUE"""),0.0)</f>
        <v>0</v>
      </c>
      <c r="E2138" s="64"/>
      <c r="F2138" s="95"/>
      <c r="G2138" s="96"/>
      <c r="H2138" s="64"/>
      <c r="I2138" s="64"/>
      <c r="J2138" s="64"/>
      <c r="K2138" s="64"/>
      <c r="L2138" s="64"/>
    </row>
    <row r="2139" ht="16.5" customHeight="1">
      <c r="A2139" s="64"/>
      <c r="B2139" s="80" t="s">
        <v>18249</v>
      </c>
      <c r="C2139" s="81" t="str">
        <f>IFERROR(__xludf.DUMMYFUNCTION("""COMPUTED_VALUE"""),"thomaslynda123")</f>
        <v>thomaslynda123</v>
      </c>
      <c r="D2139" s="75">
        <f>IFERROR(__xludf.DUMMYFUNCTION("""COMPUTED_VALUE"""),0.0)</f>
        <v>0</v>
      </c>
      <c r="E2139" s="64"/>
      <c r="F2139" s="95"/>
      <c r="G2139" s="96"/>
      <c r="H2139" s="64"/>
      <c r="I2139" s="64"/>
      <c r="J2139" s="64"/>
      <c r="K2139" s="64"/>
      <c r="L2139" s="64"/>
    </row>
    <row r="2140" ht="16.5" customHeight="1">
      <c r="A2140" s="64"/>
      <c r="B2140" s="80" t="s">
        <v>18249</v>
      </c>
      <c r="C2140" s="81" t="str">
        <f>IFERROR(__xludf.DUMMYFUNCTION("""COMPUTED_VALUE"""),"tiger_ayres")</f>
        <v>tiger_ayres</v>
      </c>
      <c r="D2140" s="75">
        <f>IFERROR(__xludf.DUMMYFUNCTION("""COMPUTED_VALUE"""),0.0)</f>
        <v>0</v>
      </c>
      <c r="E2140" s="64"/>
      <c r="F2140" s="95"/>
      <c r="G2140" s="96"/>
      <c r="H2140" s="64"/>
      <c r="I2140" s="64"/>
      <c r="J2140" s="64"/>
      <c r="K2140" s="64"/>
      <c r="L2140" s="64"/>
    </row>
    <row r="2141" ht="16.5" customHeight="1">
      <c r="A2141" s="64"/>
      <c r="B2141" s="80" t="s">
        <v>18249</v>
      </c>
      <c r="C2141" s="81" t="str">
        <f>IFERROR(__xludf.DUMMYFUNCTION("""COMPUTED_VALUE"""),"tim_urbancrap")</f>
        <v>tim_urbancrap</v>
      </c>
      <c r="D2141" s="75">
        <f>IFERROR(__xludf.DUMMYFUNCTION("""COMPUTED_VALUE"""),0.0)</f>
        <v>0</v>
      </c>
      <c r="E2141" s="64"/>
      <c r="F2141" s="95"/>
      <c r="G2141" s="96"/>
      <c r="H2141" s="64"/>
      <c r="I2141" s="64"/>
      <c r="J2141" s="64"/>
      <c r="K2141" s="64"/>
      <c r="L2141" s="64"/>
    </row>
    <row r="2142" ht="16.5" customHeight="1">
      <c r="A2142" s="64"/>
      <c r="B2142" s="80" t="s">
        <v>18249</v>
      </c>
      <c r="C2142" s="81" t="str">
        <f>IFERROR(__xludf.DUMMYFUNCTION("""COMPUTED_VALUE"""),"timg33")</f>
        <v>timg33</v>
      </c>
      <c r="D2142" s="75">
        <f>IFERROR(__xludf.DUMMYFUNCTION("""COMPUTED_VALUE"""),0.0)</f>
        <v>0</v>
      </c>
      <c r="E2142" s="64"/>
      <c r="F2142" s="95"/>
      <c r="G2142" s="96"/>
      <c r="H2142" s="64"/>
      <c r="I2142" s="64"/>
      <c r="J2142" s="64"/>
      <c r="K2142" s="64"/>
      <c r="L2142" s="64"/>
    </row>
    <row r="2143" ht="16.5" customHeight="1">
      <c r="A2143" s="64"/>
      <c r="B2143" s="80" t="s">
        <v>18249</v>
      </c>
      <c r="C2143" s="81" t="str">
        <f>IFERROR(__xludf.DUMMYFUNCTION("""COMPUTED_VALUE"""),"timolarch")</f>
        <v>timolarch</v>
      </c>
      <c r="D2143" s="75">
        <f>IFERROR(__xludf.DUMMYFUNCTION("""COMPUTED_VALUE"""),0.0)</f>
        <v>0</v>
      </c>
      <c r="E2143" s="64"/>
      <c r="F2143" s="95"/>
      <c r="G2143" s="96"/>
      <c r="H2143" s="64"/>
      <c r="I2143" s="64"/>
      <c r="J2143" s="64"/>
      <c r="K2143" s="64"/>
      <c r="L2143" s="64"/>
    </row>
    <row r="2144" ht="16.5" customHeight="1">
      <c r="A2144" s="64"/>
      <c r="B2144" s="80" t="s">
        <v>18249</v>
      </c>
      <c r="C2144" s="81" t="str">
        <f>IFERROR(__xludf.DUMMYFUNCTION("""COMPUTED_VALUE"""),"tintin9990")</f>
        <v>tintin9990</v>
      </c>
      <c r="D2144" s="75">
        <f>IFERROR(__xludf.DUMMYFUNCTION("""COMPUTED_VALUE"""),0.0)</f>
        <v>0</v>
      </c>
      <c r="E2144" s="64"/>
      <c r="F2144" s="95"/>
      <c r="G2144" s="96"/>
      <c r="H2144" s="64"/>
      <c r="I2144" s="64"/>
      <c r="J2144" s="64"/>
      <c r="K2144" s="64"/>
      <c r="L2144" s="64"/>
    </row>
    <row r="2145" ht="16.5" customHeight="1">
      <c r="A2145" s="64"/>
      <c r="B2145" s="80" t="s">
        <v>18249</v>
      </c>
      <c r="C2145" s="81" t="str">
        <f>IFERROR(__xludf.DUMMYFUNCTION("""COMPUTED_VALUE"""),"toadflaxmillion")</f>
        <v>toadflaxmillion</v>
      </c>
      <c r="D2145" s="75">
        <f>IFERROR(__xludf.DUMMYFUNCTION("""COMPUTED_VALUE"""),0.0)</f>
        <v>0</v>
      </c>
      <c r="E2145" s="64"/>
      <c r="F2145" s="95"/>
      <c r="G2145" s="96"/>
      <c r="H2145" s="64"/>
      <c r="I2145" s="64"/>
      <c r="J2145" s="64"/>
      <c r="K2145" s="64"/>
      <c r="L2145" s="64"/>
    </row>
    <row r="2146" ht="16.5" customHeight="1">
      <c r="A2146" s="64"/>
      <c r="B2146" s="80" t="s">
        <v>18249</v>
      </c>
      <c r="C2146" s="81" t="str">
        <f>IFERROR(__xludf.DUMMYFUNCTION("""COMPUTED_VALUE"""),"toadovision")</f>
        <v>toadovision</v>
      </c>
      <c r="D2146" s="75">
        <f>IFERROR(__xludf.DUMMYFUNCTION("""COMPUTED_VALUE"""),0.0)</f>
        <v>0</v>
      </c>
      <c r="E2146" s="64"/>
      <c r="F2146" s="95"/>
      <c r="G2146" s="96"/>
      <c r="H2146" s="64"/>
      <c r="I2146" s="64"/>
      <c r="J2146" s="64"/>
      <c r="K2146" s="64"/>
      <c r="L2146" s="64"/>
    </row>
    <row r="2147" ht="16.5" customHeight="1">
      <c r="A2147" s="64"/>
      <c r="B2147" s="80" t="s">
        <v>18249</v>
      </c>
      <c r="C2147" s="81" t="str">
        <f>IFERROR(__xludf.DUMMYFUNCTION("""COMPUTED_VALUE"""),"tober70986277")</f>
        <v>tober70986277</v>
      </c>
      <c r="D2147" s="75">
        <f>IFERROR(__xludf.DUMMYFUNCTION("""COMPUTED_VALUE"""),0.0)</f>
        <v>0</v>
      </c>
      <c r="E2147" s="64"/>
      <c r="F2147" s="95"/>
      <c r="G2147" s="96"/>
      <c r="H2147" s="64"/>
      <c r="I2147" s="64"/>
      <c r="J2147" s="64"/>
      <c r="K2147" s="64"/>
      <c r="L2147" s="64"/>
    </row>
    <row r="2148" ht="16.5" customHeight="1">
      <c r="A2148" s="64"/>
      <c r="B2148" s="80" t="s">
        <v>18249</v>
      </c>
      <c r="C2148" s="81" t="str">
        <f>IFERROR(__xludf.DUMMYFUNCTION("""COMPUTED_VALUE"""),"tobyh45")</f>
        <v>tobyh45</v>
      </c>
      <c r="D2148" s="75">
        <f>IFERROR(__xludf.DUMMYFUNCTION("""COMPUTED_VALUE"""),0.0)</f>
        <v>0</v>
      </c>
      <c r="E2148" s="64"/>
      <c r="F2148" s="95"/>
      <c r="G2148" s="96"/>
      <c r="H2148" s="64"/>
      <c r="I2148" s="64"/>
      <c r="J2148" s="64"/>
      <c r="K2148" s="64"/>
      <c r="L2148" s="64"/>
    </row>
    <row r="2149" ht="16.5" customHeight="1">
      <c r="A2149" s="64"/>
      <c r="B2149" s="80" t="s">
        <v>18249</v>
      </c>
      <c r="C2149" s="81" t="str">
        <f>IFERROR(__xludf.DUMMYFUNCTION("""COMPUTED_VALUE"""),"tobymutz101")</f>
        <v>tobymutz101</v>
      </c>
      <c r="D2149" s="75">
        <f>IFERROR(__xludf.DUMMYFUNCTION("""COMPUTED_VALUE"""),0.0)</f>
        <v>0</v>
      </c>
      <c r="E2149" s="64"/>
      <c r="F2149" s="95"/>
      <c r="G2149" s="96"/>
      <c r="H2149" s="64"/>
      <c r="I2149" s="64"/>
      <c r="J2149" s="64"/>
      <c r="K2149" s="64"/>
      <c r="L2149" s="64"/>
    </row>
    <row r="2150" ht="16.5" customHeight="1">
      <c r="A2150" s="64"/>
      <c r="B2150" s="80" t="s">
        <v>18249</v>
      </c>
      <c r="C2150" s="81" t="str">
        <f>IFERROR(__xludf.DUMMYFUNCTION("""COMPUTED_VALUE"""),"tom_tomrayner")</f>
        <v>tom_tomrayner</v>
      </c>
      <c r="D2150" s="75">
        <f>IFERROR(__xludf.DUMMYFUNCTION("""COMPUTED_VALUE"""),0.0)</f>
        <v>0</v>
      </c>
      <c r="E2150" s="64"/>
      <c r="F2150" s="95"/>
      <c r="G2150" s="96"/>
      <c r="H2150" s="64"/>
      <c r="I2150" s="64"/>
      <c r="J2150" s="64"/>
      <c r="K2150" s="64"/>
      <c r="L2150" s="64"/>
    </row>
    <row r="2151" ht="16.5" customHeight="1">
      <c r="A2151" s="64"/>
      <c r="B2151" s="80" t="s">
        <v>18249</v>
      </c>
      <c r="C2151" s="81" t="str">
        <f>IFERROR(__xludf.DUMMYFUNCTION("""COMPUTED_VALUE"""),"tomm_baldwin")</f>
        <v>tomm_baldwin</v>
      </c>
      <c r="D2151" s="75">
        <f>IFERROR(__xludf.DUMMYFUNCTION("""COMPUTED_VALUE"""),0.0)</f>
        <v>0</v>
      </c>
      <c r="E2151" s="64"/>
      <c r="F2151" s="95"/>
      <c r="G2151" s="96"/>
      <c r="H2151" s="64"/>
      <c r="I2151" s="64"/>
      <c r="J2151" s="64"/>
      <c r="K2151" s="64"/>
      <c r="L2151" s="64"/>
    </row>
    <row r="2152" ht="16.5" customHeight="1">
      <c r="A2152" s="64"/>
      <c r="B2152" s="80" t="s">
        <v>18249</v>
      </c>
      <c r="C2152" s="81" t="str">
        <f>IFERROR(__xludf.DUMMYFUNCTION("""COMPUTED_VALUE"""),"tommy54w")</f>
        <v>tommy54w</v>
      </c>
      <c r="D2152" s="75">
        <f>IFERROR(__xludf.DUMMYFUNCTION("""COMPUTED_VALUE"""),0.0)</f>
        <v>0</v>
      </c>
      <c r="E2152" s="64"/>
      <c r="F2152" s="95"/>
      <c r="G2152" s="96"/>
      <c r="H2152" s="64"/>
      <c r="I2152" s="64"/>
      <c r="J2152" s="64"/>
      <c r="K2152" s="64"/>
      <c r="L2152" s="64"/>
    </row>
    <row r="2153" ht="16.5" customHeight="1">
      <c r="A2153" s="64"/>
      <c r="B2153" s="80" t="s">
        <v>18249</v>
      </c>
      <c r="C2153" s="81" t="str">
        <f>IFERROR(__xludf.DUMMYFUNCTION("""COMPUTED_VALUE"""),"tomprimrose")</f>
        <v>tomprimrose</v>
      </c>
      <c r="D2153" s="75">
        <f>IFERROR(__xludf.DUMMYFUNCTION("""COMPUTED_VALUE"""),0.0)</f>
        <v>0</v>
      </c>
      <c r="E2153" s="64"/>
      <c r="F2153" s="95"/>
      <c r="G2153" s="96"/>
      <c r="H2153" s="64"/>
      <c r="I2153" s="64"/>
      <c r="J2153" s="64"/>
      <c r="K2153" s="64"/>
      <c r="L2153" s="64"/>
    </row>
    <row r="2154" ht="16.5" customHeight="1">
      <c r="A2154" s="64"/>
      <c r="B2154" s="80" t="s">
        <v>18249</v>
      </c>
      <c r="C2154" s="81" t="str">
        <f>IFERROR(__xludf.DUMMYFUNCTION("""COMPUTED_VALUE"""),"tomski_hiscox")</f>
        <v>tomski_hiscox</v>
      </c>
      <c r="D2154" s="75">
        <f>IFERROR(__xludf.DUMMYFUNCTION("""COMPUTED_VALUE"""),0.0)</f>
        <v>0</v>
      </c>
      <c r="E2154" s="64"/>
      <c r="F2154" s="95"/>
      <c r="G2154" s="96"/>
      <c r="H2154" s="64"/>
      <c r="I2154" s="64"/>
      <c r="J2154" s="64"/>
      <c r="K2154" s="64"/>
      <c r="L2154" s="64"/>
    </row>
    <row r="2155" ht="16.5" customHeight="1">
      <c r="A2155" s="64"/>
      <c r="B2155" s="80" t="s">
        <v>18249</v>
      </c>
      <c r="C2155" s="81" t="str">
        <f>IFERROR(__xludf.DUMMYFUNCTION("""COMPUTED_VALUE"""),"tonyach1972")</f>
        <v>tonyach1972</v>
      </c>
      <c r="D2155" s="75">
        <f>IFERROR(__xludf.DUMMYFUNCTION("""COMPUTED_VALUE"""),0.0)</f>
        <v>0</v>
      </c>
      <c r="E2155" s="64"/>
      <c r="F2155" s="95"/>
      <c r="G2155" s="96"/>
      <c r="H2155" s="64"/>
      <c r="I2155" s="64"/>
      <c r="J2155" s="64"/>
      <c r="K2155" s="64"/>
      <c r="L2155" s="64"/>
    </row>
    <row r="2156" ht="16.5" customHeight="1">
      <c r="A2156" s="64"/>
      <c r="B2156" s="80" t="s">
        <v>18249</v>
      </c>
      <c r="C2156" s="81" t="str">
        <f>IFERROR(__xludf.DUMMYFUNCTION("""COMPUTED_VALUE"""),"tonybohan")</f>
        <v>tonybohan</v>
      </c>
      <c r="D2156" s="75">
        <f>IFERROR(__xludf.DUMMYFUNCTION("""COMPUTED_VALUE"""),0.0)</f>
        <v>0</v>
      </c>
      <c r="E2156" s="64"/>
      <c r="F2156" s="95"/>
      <c r="G2156" s="96"/>
      <c r="H2156" s="64"/>
      <c r="I2156" s="64"/>
      <c r="J2156" s="64"/>
      <c r="K2156" s="64"/>
      <c r="L2156" s="64"/>
    </row>
    <row r="2157" ht="16.5" customHeight="1">
      <c r="A2157" s="64"/>
      <c r="B2157" s="80" t="s">
        <v>18249</v>
      </c>
      <c r="C2157" s="81" t="str">
        <f>IFERROR(__xludf.DUMMYFUNCTION("""COMPUTED_VALUE"""),"tonybwlch")</f>
        <v>tonybwlch</v>
      </c>
      <c r="D2157" s="75">
        <f>IFERROR(__xludf.DUMMYFUNCTION("""COMPUTED_VALUE"""),0.0)</f>
        <v>0</v>
      </c>
      <c r="E2157" s="64"/>
      <c r="F2157" s="95"/>
      <c r="G2157" s="96"/>
      <c r="H2157" s="64"/>
      <c r="I2157" s="64"/>
      <c r="J2157" s="64"/>
      <c r="K2157" s="64"/>
      <c r="L2157" s="64"/>
    </row>
    <row r="2158" ht="16.5" customHeight="1">
      <c r="A2158" s="64"/>
      <c r="B2158" s="80" t="s">
        <v>18249</v>
      </c>
      <c r="C2158" s="81" t="str">
        <f>IFERROR(__xludf.DUMMYFUNCTION("""COMPUTED_VALUE"""),"tonydoyle57")</f>
        <v>tonydoyle57</v>
      </c>
      <c r="D2158" s="75">
        <f>IFERROR(__xludf.DUMMYFUNCTION("""COMPUTED_VALUE"""),0.0)</f>
        <v>0</v>
      </c>
      <c r="E2158" s="64"/>
      <c r="F2158" s="95"/>
      <c r="G2158" s="96"/>
      <c r="H2158" s="64"/>
      <c r="I2158" s="64"/>
      <c r="J2158" s="64"/>
      <c r="K2158" s="64"/>
      <c r="L2158" s="64"/>
    </row>
    <row r="2159" ht="16.5" customHeight="1">
      <c r="A2159" s="64"/>
      <c r="B2159" s="80" t="s">
        <v>18249</v>
      </c>
      <c r="C2159" s="81" t="str">
        <f>IFERROR(__xludf.DUMMYFUNCTION("""COMPUTED_VALUE"""),"tonyforde007")</f>
        <v>tonyforde007</v>
      </c>
      <c r="D2159" s="75">
        <f>IFERROR(__xludf.DUMMYFUNCTION("""COMPUTED_VALUE"""),0.0)</f>
        <v>0</v>
      </c>
      <c r="E2159" s="64"/>
      <c r="F2159" s="95"/>
      <c r="G2159" s="96"/>
      <c r="H2159" s="64"/>
      <c r="I2159" s="64"/>
      <c r="J2159" s="64"/>
      <c r="K2159" s="64"/>
      <c r="L2159" s="64"/>
    </row>
    <row r="2160" ht="16.5" customHeight="1">
      <c r="A2160" s="64"/>
      <c r="B2160" s="80" t="s">
        <v>18249</v>
      </c>
      <c r="C2160" s="81" t="str">
        <f>IFERROR(__xludf.DUMMYFUNCTION("""COMPUTED_VALUE"""),"toomuchbrexit")</f>
        <v>toomuchbrexit</v>
      </c>
      <c r="D2160" s="75">
        <f>IFERROR(__xludf.DUMMYFUNCTION("""COMPUTED_VALUE"""),0.0)</f>
        <v>0</v>
      </c>
      <c r="E2160" s="64"/>
      <c r="F2160" s="95"/>
      <c r="G2160" s="96"/>
      <c r="H2160" s="64"/>
      <c r="I2160" s="64"/>
      <c r="J2160" s="64"/>
      <c r="K2160" s="64"/>
      <c r="L2160" s="64"/>
    </row>
    <row r="2161" ht="16.5" customHeight="1">
      <c r="A2161" s="64"/>
      <c r="B2161" s="80" t="s">
        <v>18249</v>
      </c>
      <c r="C2161" s="81" t="str">
        <f>IFERROR(__xludf.DUMMYFUNCTION("""COMPUTED_VALUE"""),"tory_lies")</f>
        <v>tory_lies</v>
      </c>
      <c r="D2161" s="75">
        <f>IFERROR(__xludf.DUMMYFUNCTION("""COMPUTED_VALUE"""),0.0)</f>
        <v>0</v>
      </c>
      <c r="E2161" s="64"/>
      <c r="F2161" s="95"/>
      <c r="G2161" s="96"/>
      <c r="H2161" s="64"/>
      <c r="I2161" s="64"/>
      <c r="J2161" s="64"/>
      <c r="K2161" s="64"/>
      <c r="L2161" s="64"/>
    </row>
    <row r="2162" ht="16.5" customHeight="1">
      <c r="A2162" s="64"/>
      <c r="B2162" s="80" t="s">
        <v>18249</v>
      </c>
      <c r="C2162" s="81" t="str">
        <f>IFERROR(__xludf.DUMMYFUNCTION("""COMPUTED_VALUE"""),"tottaylor1")</f>
        <v>tottaylor1</v>
      </c>
      <c r="D2162" s="75">
        <f>IFERROR(__xludf.DUMMYFUNCTION("""COMPUTED_VALUE"""),0.0)</f>
        <v>0</v>
      </c>
      <c r="E2162" s="64"/>
      <c r="F2162" s="95"/>
      <c r="G2162" s="96"/>
      <c r="H2162" s="64"/>
      <c r="I2162" s="64"/>
      <c r="J2162" s="64"/>
      <c r="K2162" s="64"/>
      <c r="L2162" s="64"/>
    </row>
    <row r="2163" ht="16.5" customHeight="1">
      <c r="A2163" s="64"/>
      <c r="B2163" s="80" t="s">
        <v>18249</v>
      </c>
      <c r="C2163" s="81" t="str">
        <f>IFERROR(__xludf.DUMMYFUNCTION("""COMPUTED_VALUE"""),"touchst0ne")</f>
        <v>touchst0ne</v>
      </c>
      <c r="D2163" s="75">
        <f>IFERROR(__xludf.DUMMYFUNCTION("""COMPUTED_VALUE"""),0.0)</f>
        <v>0</v>
      </c>
      <c r="E2163" s="64"/>
      <c r="F2163" s="95"/>
      <c r="G2163" s="96"/>
      <c r="H2163" s="64"/>
      <c r="I2163" s="64"/>
      <c r="J2163" s="64"/>
      <c r="K2163" s="64"/>
      <c r="L2163" s="64"/>
    </row>
    <row r="2164" ht="16.5" customHeight="1">
      <c r="A2164" s="64"/>
      <c r="B2164" s="80" t="s">
        <v>18249</v>
      </c>
      <c r="C2164" s="81" t="str">
        <f>IFERROR(__xludf.DUMMYFUNCTION("""COMPUTED_VALUE"""),"tr54vor")</f>
        <v>tr54vor</v>
      </c>
      <c r="D2164" s="75">
        <f>IFERROR(__xludf.DUMMYFUNCTION("""COMPUTED_VALUE"""),0.0)</f>
        <v>0</v>
      </c>
      <c r="E2164" s="64"/>
      <c r="F2164" s="95"/>
      <c r="G2164" s="96"/>
      <c r="H2164" s="64"/>
      <c r="I2164" s="64"/>
      <c r="J2164" s="64"/>
      <c r="K2164" s="64"/>
      <c r="L2164" s="64"/>
    </row>
    <row r="2165" ht="16.5" customHeight="1">
      <c r="A2165" s="64"/>
      <c r="B2165" s="80" t="s">
        <v>18249</v>
      </c>
      <c r="C2165" s="81" t="str">
        <f>IFERROR(__xludf.DUMMYFUNCTION("""COMPUTED_VALUE"""),"traceymhodgson")</f>
        <v>traceymhodgson</v>
      </c>
      <c r="D2165" s="75">
        <f>IFERROR(__xludf.DUMMYFUNCTION("""COMPUTED_VALUE"""),0.0)</f>
        <v>0</v>
      </c>
      <c r="E2165" s="64"/>
      <c r="F2165" s="95"/>
      <c r="G2165" s="96"/>
      <c r="H2165" s="64"/>
      <c r="I2165" s="64"/>
      <c r="J2165" s="64"/>
      <c r="K2165" s="64"/>
      <c r="L2165" s="64"/>
    </row>
    <row r="2166" ht="16.5" customHeight="1">
      <c r="A2166" s="64"/>
      <c r="B2166" s="80" t="s">
        <v>18249</v>
      </c>
      <c r="C2166" s="81" t="str">
        <f>IFERROR(__xludf.DUMMYFUNCTION("""COMPUTED_VALUE"""),"travellersuzy")</f>
        <v>travellersuzy</v>
      </c>
      <c r="D2166" s="75">
        <f>IFERROR(__xludf.DUMMYFUNCTION("""COMPUTED_VALUE"""),0.0)</f>
        <v>0</v>
      </c>
      <c r="E2166" s="64"/>
      <c r="F2166" s="95"/>
      <c r="G2166" s="96"/>
      <c r="H2166" s="64"/>
      <c r="I2166" s="64"/>
      <c r="J2166" s="64"/>
      <c r="K2166" s="64"/>
      <c r="L2166" s="64"/>
    </row>
    <row r="2167" ht="16.5" customHeight="1">
      <c r="A2167" s="64"/>
      <c r="B2167" s="80" t="s">
        <v>18249</v>
      </c>
      <c r="C2167" s="81" t="str">
        <f>IFERROR(__xludf.DUMMYFUNCTION("""COMPUTED_VALUE"""),"trewennack")</f>
        <v>trewennack</v>
      </c>
      <c r="D2167" s="75">
        <f>IFERROR(__xludf.DUMMYFUNCTION("""COMPUTED_VALUE"""),0.0)</f>
        <v>0</v>
      </c>
      <c r="E2167" s="64"/>
      <c r="F2167" s="95"/>
      <c r="G2167" s="96"/>
      <c r="H2167" s="64"/>
      <c r="I2167" s="64"/>
      <c r="J2167" s="64"/>
      <c r="K2167" s="64"/>
      <c r="L2167" s="64"/>
    </row>
    <row r="2168" ht="16.5" customHeight="1">
      <c r="A2168" s="64"/>
      <c r="B2168" s="80" t="s">
        <v>18249</v>
      </c>
      <c r="C2168" s="81" t="str">
        <f>IFERROR(__xludf.DUMMYFUNCTION("""COMPUTED_VALUE"""),"trish4leave")</f>
        <v>trish4leave</v>
      </c>
      <c r="D2168" s="75">
        <f>IFERROR(__xludf.DUMMYFUNCTION("""COMPUTED_VALUE"""),0.0)</f>
        <v>0</v>
      </c>
      <c r="E2168" s="64"/>
      <c r="F2168" s="95"/>
      <c r="G2168" s="96"/>
      <c r="H2168" s="64"/>
      <c r="I2168" s="64"/>
      <c r="J2168" s="64"/>
      <c r="K2168" s="64"/>
      <c r="L2168" s="64"/>
    </row>
    <row r="2169" ht="16.5" customHeight="1">
      <c r="A2169" s="64"/>
      <c r="B2169" s="80" t="s">
        <v>18249</v>
      </c>
      <c r="C2169" s="81" t="str">
        <f>IFERROR(__xludf.DUMMYFUNCTION("""COMPUTED_VALUE"""),"trish_mn")</f>
        <v>trish_mn</v>
      </c>
      <c r="D2169" s="75">
        <f>IFERROR(__xludf.DUMMYFUNCTION("""COMPUTED_VALUE"""),0.0)</f>
        <v>0</v>
      </c>
      <c r="E2169" s="64"/>
      <c r="F2169" s="95"/>
      <c r="G2169" s="96"/>
      <c r="H2169" s="64"/>
      <c r="I2169" s="64"/>
      <c r="J2169" s="64"/>
      <c r="K2169" s="64"/>
      <c r="L2169" s="64"/>
    </row>
    <row r="2170" ht="16.5" customHeight="1">
      <c r="A2170" s="64"/>
      <c r="B2170" s="80" t="s">
        <v>18249</v>
      </c>
      <c r="C2170" s="81" t="str">
        <f>IFERROR(__xludf.DUMMYFUNCTION("""COMPUTED_VALUE"""),"trixietrottsba1")</f>
        <v>trixietrottsba1</v>
      </c>
      <c r="D2170" s="75">
        <f>IFERROR(__xludf.DUMMYFUNCTION("""COMPUTED_VALUE"""),0.0)</f>
        <v>0</v>
      </c>
      <c r="E2170" s="64"/>
      <c r="F2170" s="95"/>
      <c r="G2170" s="96"/>
      <c r="H2170" s="64"/>
      <c r="I2170" s="64"/>
      <c r="J2170" s="64"/>
      <c r="K2170" s="64"/>
      <c r="L2170" s="64"/>
    </row>
    <row r="2171" ht="16.5" customHeight="1">
      <c r="A2171" s="64"/>
      <c r="B2171" s="80" t="s">
        <v>18249</v>
      </c>
      <c r="C2171" s="81" t="str">
        <f>IFERROR(__xludf.DUMMYFUNCTION("""COMPUTED_VALUE"""),"tucker_sharon")</f>
        <v>tucker_sharon</v>
      </c>
      <c r="D2171" s="75">
        <f>IFERROR(__xludf.DUMMYFUNCTION("""COMPUTED_VALUE"""),0.0)</f>
        <v>0</v>
      </c>
      <c r="E2171" s="64"/>
      <c r="F2171" s="95"/>
      <c r="G2171" s="96"/>
      <c r="H2171" s="64"/>
      <c r="I2171" s="64"/>
      <c r="J2171" s="64"/>
      <c r="K2171" s="64"/>
      <c r="L2171" s="64"/>
    </row>
    <row r="2172" ht="16.5" customHeight="1">
      <c r="A2172" s="64"/>
      <c r="B2172" s="80" t="s">
        <v>18249</v>
      </c>
      <c r="C2172" s="81" t="str">
        <f>IFERROR(__xludf.DUMMYFUNCTION("""COMPUTED_VALUE"""),"tudorinjordan")</f>
        <v>tudorinjordan</v>
      </c>
      <c r="D2172" s="75">
        <f>IFERROR(__xludf.DUMMYFUNCTION("""COMPUTED_VALUE"""),0.0)</f>
        <v>0</v>
      </c>
      <c r="E2172" s="64"/>
      <c r="F2172" s="95"/>
      <c r="G2172" s="96"/>
      <c r="H2172" s="64"/>
      <c r="I2172" s="64"/>
      <c r="J2172" s="64"/>
      <c r="K2172" s="64"/>
      <c r="L2172" s="64"/>
    </row>
    <row r="2173" ht="16.5" customHeight="1">
      <c r="A2173" s="64"/>
      <c r="B2173" s="80" t="s">
        <v>18249</v>
      </c>
      <c r="C2173" s="81" t="str">
        <f>IFERROR(__xludf.DUMMYFUNCTION("""COMPUTED_VALUE"""),"turbograndad65")</f>
        <v>turbograndad65</v>
      </c>
      <c r="D2173" s="75">
        <f>IFERROR(__xludf.DUMMYFUNCTION("""COMPUTED_VALUE"""),0.0)</f>
        <v>0</v>
      </c>
      <c r="E2173" s="64"/>
      <c r="F2173" s="95"/>
      <c r="G2173" s="96"/>
      <c r="H2173" s="64"/>
      <c r="I2173" s="64"/>
      <c r="J2173" s="64"/>
      <c r="K2173" s="64"/>
      <c r="L2173" s="64"/>
    </row>
    <row r="2174" ht="16.5" customHeight="1">
      <c r="A2174" s="64"/>
      <c r="B2174" s="80" t="s">
        <v>18249</v>
      </c>
      <c r="C2174" s="81" t="str">
        <f>IFERROR(__xludf.DUMMYFUNCTION("""COMPUTED_VALUE"""),"turrabuddie")</f>
        <v>turrabuddie</v>
      </c>
      <c r="D2174" s="75">
        <f>IFERROR(__xludf.DUMMYFUNCTION("""COMPUTED_VALUE"""),0.0)</f>
        <v>0</v>
      </c>
      <c r="E2174" s="64"/>
      <c r="F2174" s="95"/>
      <c r="G2174" s="96"/>
      <c r="H2174" s="64"/>
      <c r="I2174" s="64"/>
      <c r="J2174" s="64"/>
      <c r="K2174" s="64"/>
      <c r="L2174" s="64"/>
    </row>
    <row r="2175" ht="16.5" customHeight="1">
      <c r="A2175" s="64"/>
      <c r="B2175" s="80" t="s">
        <v>18249</v>
      </c>
      <c r="C2175" s="81" t="str">
        <f>IFERROR(__xludf.DUMMYFUNCTION("""COMPUTED_VALUE"""),"tweet2chris2")</f>
        <v>tweet2chris2</v>
      </c>
      <c r="D2175" s="75">
        <f>IFERROR(__xludf.DUMMYFUNCTION("""COMPUTED_VALUE"""),0.0)</f>
        <v>0</v>
      </c>
      <c r="E2175" s="64"/>
      <c r="F2175" s="95"/>
      <c r="G2175" s="96"/>
      <c r="H2175" s="64"/>
      <c r="I2175" s="64"/>
      <c r="J2175" s="64"/>
      <c r="K2175" s="64"/>
      <c r="L2175" s="64"/>
    </row>
    <row r="2176" ht="16.5" customHeight="1">
      <c r="A2176" s="64"/>
      <c r="B2176" s="80" t="s">
        <v>18249</v>
      </c>
      <c r="C2176" s="81" t="str">
        <f>IFERROR(__xludf.DUMMYFUNCTION("""COMPUTED_VALUE"""),"tydd39175761")</f>
        <v>tydd39175761</v>
      </c>
      <c r="D2176" s="75">
        <f>IFERROR(__xludf.DUMMYFUNCTION("""COMPUTED_VALUE"""),0.0)</f>
        <v>0</v>
      </c>
      <c r="E2176" s="64"/>
      <c r="F2176" s="95"/>
      <c r="G2176" s="96"/>
      <c r="H2176" s="64"/>
      <c r="I2176" s="64"/>
      <c r="J2176" s="64"/>
      <c r="K2176" s="64"/>
      <c r="L2176" s="64"/>
    </row>
    <row r="2177" ht="16.5" customHeight="1">
      <c r="A2177" s="64"/>
      <c r="B2177" s="80" t="s">
        <v>18249</v>
      </c>
      <c r="C2177" s="81" t="str">
        <f>IFERROR(__xludf.DUMMYFUNCTION("""COMPUTED_VALUE"""),"ukbigdaddyian")</f>
        <v>ukbigdaddyian</v>
      </c>
      <c r="D2177" s="75">
        <f>IFERROR(__xludf.DUMMYFUNCTION("""COMPUTED_VALUE"""),0.0)</f>
        <v>0</v>
      </c>
      <c r="E2177" s="64"/>
      <c r="F2177" s="95"/>
      <c r="G2177" s="96"/>
      <c r="H2177" s="64"/>
      <c r="I2177" s="64"/>
      <c r="J2177" s="64"/>
      <c r="K2177" s="64"/>
      <c r="L2177" s="64"/>
    </row>
    <row r="2178" ht="16.5" customHeight="1">
      <c r="A2178" s="64"/>
      <c r="B2178" s="80" t="s">
        <v>18249</v>
      </c>
      <c r="C2178" s="81" t="str">
        <f>IFERROR(__xludf.DUMMYFUNCTION("""COMPUTED_VALUE"""),"ukreloaded")</f>
        <v>ukreloaded</v>
      </c>
      <c r="D2178" s="75">
        <f>IFERROR(__xludf.DUMMYFUNCTION("""COMPUTED_VALUE"""),0.0)</f>
        <v>0</v>
      </c>
      <c r="E2178" s="64"/>
      <c r="F2178" s="95"/>
      <c r="G2178" s="96"/>
      <c r="H2178" s="64"/>
      <c r="I2178" s="64"/>
      <c r="J2178" s="64"/>
      <c r="K2178" s="64"/>
      <c r="L2178" s="64"/>
    </row>
    <row r="2179" ht="16.5" customHeight="1">
      <c r="A2179" s="64"/>
      <c r="B2179" s="80" t="s">
        <v>18249</v>
      </c>
      <c r="C2179" s="81" t="str">
        <f>IFERROR(__xludf.DUMMYFUNCTION("""COMPUTED_VALUE"""),"uniworldnews")</f>
        <v>uniworldnews</v>
      </c>
      <c r="D2179" s="75">
        <f>IFERROR(__xludf.DUMMYFUNCTION("""COMPUTED_VALUE"""),0.0)</f>
        <v>0</v>
      </c>
      <c r="E2179" s="64"/>
      <c r="F2179" s="95"/>
      <c r="G2179" s="96"/>
      <c r="H2179" s="64"/>
      <c r="I2179" s="64"/>
      <c r="J2179" s="64"/>
      <c r="K2179" s="64"/>
      <c r="L2179" s="64"/>
    </row>
    <row r="2180" ht="16.5" customHeight="1">
      <c r="A2180" s="64"/>
      <c r="B2180" s="80" t="s">
        <v>18249</v>
      </c>
      <c r="C2180" s="81" t="str">
        <f>IFERROR(__xludf.DUMMYFUNCTION("""COMPUTED_VALUE"""),"valerimelnyczuk")</f>
        <v>valerimelnyczuk</v>
      </c>
      <c r="D2180" s="75">
        <f>IFERROR(__xludf.DUMMYFUNCTION("""COMPUTED_VALUE"""),0.0)</f>
        <v>0</v>
      </c>
      <c r="E2180" s="64"/>
      <c r="F2180" s="95"/>
      <c r="G2180" s="96"/>
      <c r="H2180" s="64"/>
      <c r="I2180" s="64"/>
      <c r="J2180" s="64"/>
      <c r="K2180" s="64"/>
      <c r="L2180" s="64"/>
    </row>
    <row r="2181" ht="16.5" customHeight="1">
      <c r="A2181" s="64"/>
      <c r="B2181" s="80" t="s">
        <v>18249</v>
      </c>
      <c r="C2181" s="81" t="str">
        <f>IFERROR(__xludf.DUMMYFUNCTION("""COMPUTED_VALUE"""),"valmapal1")</f>
        <v>valmapal1</v>
      </c>
      <c r="D2181" s="75">
        <f>IFERROR(__xludf.DUMMYFUNCTION("""COMPUTED_VALUE"""),0.0)</f>
        <v>0</v>
      </c>
      <c r="E2181" s="64"/>
      <c r="F2181" s="95"/>
      <c r="G2181" s="96"/>
      <c r="H2181" s="64"/>
      <c r="I2181" s="64"/>
      <c r="J2181" s="64"/>
      <c r="K2181" s="64"/>
      <c r="L2181" s="64"/>
    </row>
    <row r="2182" ht="16.5" customHeight="1">
      <c r="A2182" s="64"/>
      <c r="B2182" s="80" t="s">
        <v>18249</v>
      </c>
      <c r="C2182" s="81" t="str">
        <f>IFERROR(__xludf.DUMMYFUNCTION("""COMPUTED_VALUE"""),"valuestoimpact")</f>
        <v>valuestoimpact</v>
      </c>
      <c r="D2182" s="75">
        <f>IFERROR(__xludf.DUMMYFUNCTION("""COMPUTED_VALUE"""),0.0)</f>
        <v>0</v>
      </c>
      <c r="E2182" s="64"/>
      <c r="F2182" s="95"/>
      <c r="G2182" s="96"/>
      <c r="H2182" s="64"/>
      <c r="I2182" s="64"/>
      <c r="J2182" s="64"/>
      <c r="K2182" s="64"/>
      <c r="L2182" s="64"/>
    </row>
    <row r="2183" ht="16.5" customHeight="1">
      <c r="A2183" s="64"/>
      <c r="B2183" s="80" t="s">
        <v>18249</v>
      </c>
      <c r="C2183" s="81" t="str">
        <f>IFERROR(__xludf.DUMMYFUNCTION("""COMPUTED_VALUE"""),"valvebender")</f>
        <v>valvebender</v>
      </c>
      <c r="D2183" s="75">
        <f>IFERROR(__xludf.DUMMYFUNCTION("""COMPUTED_VALUE"""),0.0)</f>
        <v>0</v>
      </c>
      <c r="E2183" s="64"/>
      <c r="F2183" s="95"/>
      <c r="G2183" s="96"/>
      <c r="H2183" s="64"/>
      <c r="I2183" s="64"/>
      <c r="J2183" s="64"/>
      <c r="K2183" s="64"/>
      <c r="L2183" s="64"/>
    </row>
    <row r="2184" ht="16.5" customHeight="1">
      <c r="A2184" s="64"/>
      <c r="B2184" s="80" t="s">
        <v>18249</v>
      </c>
      <c r="C2184" s="81" t="str">
        <f>IFERROR(__xludf.DUMMYFUNCTION("""COMPUTED_VALUE"""),"velmadoo")</f>
        <v>velmadoo</v>
      </c>
      <c r="D2184" s="75">
        <f>IFERROR(__xludf.DUMMYFUNCTION("""COMPUTED_VALUE"""),0.0)</f>
        <v>0</v>
      </c>
      <c r="E2184" s="64"/>
      <c r="F2184" s="95"/>
      <c r="G2184" s="96"/>
      <c r="H2184" s="64"/>
      <c r="I2184" s="64"/>
      <c r="J2184" s="64"/>
      <c r="K2184" s="64"/>
      <c r="L2184" s="64"/>
    </row>
    <row r="2185" ht="16.5" customHeight="1">
      <c r="A2185" s="64"/>
      <c r="B2185" s="80" t="s">
        <v>18249</v>
      </c>
      <c r="C2185" s="81" t="str">
        <f>IFERROR(__xludf.DUMMYFUNCTION("""COMPUTED_VALUE"""),"verruckte_welt_")</f>
        <v>verruckte_welt_</v>
      </c>
      <c r="D2185" s="75">
        <f>IFERROR(__xludf.DUMMYFUNCTION("""COMPUTED_VALUE"""),0.0)</f>
        <v>0</v>
      </c>
      <c r="E2185" s="64"/>
      <c r="F2185" s="95"/>
      <c r="G2185" s="96"/>
      <c r="H2185" s="64"/>
      <c r="I2185" s="64"/>
      <c r="J2185" s="64"/>
      <c r="K2185" s="64"/>
      <c r="L2185" s="64"/>
    </row>
    <row r="2186" ht="16.5" customHeight="1">
      <c r="A2186" s="64"/>
      <c r="B2186" s="80" t="s">
        <v>18249</v>
      </c>
      <c r="C2186" s="81" t="str">
        <f>IFERROR(__xludf.DUMMYFUNCTION("""COMPUTED_VALUE"""),"vhaeraun456")</f>
        <v>vhaeraun456</v>
      </c>
      <c r="D2186" s="75">
        <f>IFERROR(__xludf.DUMMYFUNCTION("""COMPUTED_VALUE"""),0.0)</f>
        <v>0</v>
      </c>
      <c r="E2186" s="64"/>
      <c r="F2186" s="95"/>
      <c r="G2186" s="96"/>
      <c r="H2186" s="64"/>
      <c r="I2186" s="64"/>
      <c r="J2186" s="64"/>
      <c r="K2186" s="64"/>
      <c r="L2186" s="64"/>
    </row>
    <row r="2187" ht="16.5" customHeight="1">
      <c r="A2187" s="64"/>
      <c r="B2187" s="80" t="s">
        <v>18249</v>
      </c>
      <c r="C2187" s="81" t="str">
        <f>IFERROR(__xludf.DUMMYFUNCTION("""COMPUTED_VALUE"""),"vickijohnson151")</f>
        <v>vickijohnson151</v>
      </c>
      <c r="D2187" s="75">
        <f>IFERROR(__xludf.DUMMYFUNCTION("""COMPUTED_VALUE"""),0.0)</f>
        <v>0</v>
      </c>
      <c r="E2187" s="64"/>
      <c r="F2187" s="95"/>
      <c r="G2187" s="96"/>
      <c r="H2187" s="64"/>
      <c r="I2187" s="64"/>
      <c r="J2187" s="64"/>
      <c r="K2187" s="64"/>
      <c r="L2187" s="64"/>
    </row>
    <row r="2188" ht="16.5" customHeight="1">
      <c r="A2188" s="64"/>
      <c r="B2188" s="80" t="s">
        <v>18249</v>
      </c>
      <c r="C2188" s="81" t="str">
        <f>IFERROR(__xludf.DUMMYFUNCTION("""COMPUTED_VALUE"""),"vickyjane261")</f>
        <v>vickyjane261</v>
      </c>
      <c r="D2188" s="75">
        <f>IFERROR(__xludf.DUMMYFUNCTION("""COMPUTED_VALUE"""),0.0)</f>
        <v>0</v>
      </c>
      <c r="E2188" s="64"/>
      <c r="F2188" s="95"/>
      <c r="G2188" s="96"/>
      <c r="H2188" s="64"/>
      <c r="I2188" s="64"/>
      <c r="J2188" s="64"/>
      <c r="K2188" s="64"/>
      <c r="L2188" s="64"/>
    </row>
    <row r="2189" ht="16.5" customHeight="1">
      <c r="A2189" s="64"/>
      <c r="B2189" s="80" t="s">
        <v>18249</v>
      </c>
      <c r="C2189" s="81" t="str">
        <f>IFERROR(__xludf.DUMMYFUNCTION("""COMPUTED_VALUE"""),"vinegarjoe10")</f>
        <v>vinegarjoe10</v>
      </c>
      <c r="D2189" s="75">
        <f>IFERROR(__xludf.DUMMYFUNCTION("""COMPUTED_VALUE"""),0.0)</f>
        <v>0</v>
      </c>
      <c r="E2189" s="64"/>
      <c r="F2189" s="95"/>
      <c r="G2189" s="96"/>
      <c r="H2189" s="64"/>
      <c r="I2189" s="64"/>
      <c r="J2189" s="64"/>
      <c r="K2189" s="64"/>
      <c r="L2189" s="64"/>
    </row>
    <row r="2190" ht="16.5" customHeight="1">
      <c r="A2190" s="64"/>
      <c r="B2190" s="80" t="s">
        <v>18249</v>
      </c>
      <c r="C2190" s="81" t="str">
        <f>IFERROR(__xludf.DUMMYFUNCTION("""COMPUTED_VALUE"""),"vittart75")</f>
        <v>vittart75</v>
      </c>
      <c r="D2190" s="75">
        <f>IFERROR(__xludf.DUMMYFUNCTION("""COMPUTED_VALUE"""),0.0)</f>
        <v>0</v>
      </c>
      <c r="E2190" s="64"/>
      <c r="F2190" s="95"/>
      <c r="G2190" s="96"/>
      <c r="H2190" s="64"/>
      <c r="I2190" s="64"/>
      <c r="J2190" s="64"/>
      <c r="K2190" s="64"/>
      <c r="L2190" s="64"/>
    </row>
    <row r="2191" ht="16.5" customHeight="1">
      <c r="A2191" s="64"/>
      <c r="B2191" s="80" t="s">
        <v>18249</v>
      </c>
      <c r="C2191" s="81" t="str">
        <f>IFERROR(__xludf.DUMMYFUNCTION("""COMPUTED_VALUE"""),"weareyandi")</f>
        <v>weareyandi</v>
      </c>
      <c r="D2191" s="75">
        <f>IFERROR(__xludf.DUMMYFUNCTION("""COMPUTED_VALUE"""),0.0)</f>
        <v>0</v>
      </c>
      <c r="E2191" s="64"/>
      <c r="F2191" s="95"/>
      <c r="G2191" s="96"/>
      <c r="H2191" s="64"/>
      <c r="I2191" s="64"/>
      <c r="J2191" s="64"/>
      <c r="K2191" s="64"/>
      <c r="L2191" s="64"/>
    </row>
    <row r="2192" ht="16.5" customHeight="1">
      <c r="A2192" s="64"/>
      <c r="B2192" s="80" t="s">
        <v>18249</v>
      </c>
      <c r="C2192" s="81" t="str">
        <f>IFERROR(__xludf.DUMMYFUNCTION("""COMPUTED_VALUE"""),"weecass1888")</f>
        <v>weecass1888</v>
      </c>
      <c r="D2192" s="75">
        <f>IFERROR(__xludf.DUMMYFUNCTION("""COMPUTED_VALUE"""),0.0)</f>
        <v>0</v>
      </c>
      <c r="E2192" s="64"/>
      <c r="F2192" s="95"/>
      <c r="G2192" s="96"/>
      <c r="H2192" s="64"/>
      <c r="I2192" s="64"/>
      <c r="J2192" s="64"/>
      <c r="K2192" s="64"/>
      <c r="L2192" s="64"/>
    </row>
    <row r="2193" ht="16.5" customHeight="1">
      <c r="A2193" s="64"/>
      <c r="B2193" s="80" t="s">
        <v>18249</v>
      </c>
      <c r="C2193" s="81" t="str">
        <f>IFERROR(__xludf.DUMMYFUNCTION("""COMPUTED_VALUE"""),"welshroots")</f>
        <v>welshroots</v>
      </c>
      <c r="D2193" s="75">
        <f>IFERROR(__xludf.DUMMYFUNCTION("""COMPUTED_VALUE"""),0.0)</f>
        <v>0</v>
      </c>
      <c r="E2193" s="64"/>
      <c r="F2193" s="95"/>
      <c r="G2193" s="96"/>
      <c r="H2193" s="64"/>
      <c r="I2193" s="64"/>
      <c r="J2193" s="64"/>
      <c r="K2193" s="64"/>
      <c r="L2193" s="64"/>
    </row>
    <row r="2194" ht="16.5" customHeight="1">
      <c r="A2194" s="64"/>
      <c r="B2194" s="80" t="s">
        <v>18249</v>
      </c>
      <c r="C2194" s="81" t="str">
        <f>IFERROR(__xludf.DUMMYFUNCTION("""COMPUTED_VALUE"""),"welshwitch57")</f>
        <v>welshwitch57</v>
      </c>
      <c r="D2194" s="75">
        <f>IFERROR(__xludf.DUMMYFUNCTION("""COMPUTED_VALUE"""),0.0)</f>
        <v>0</v>
      </c>
      <c r="E2194" s="64"/>
      <c r="F2194" s="95"/>
      <c r="G2194" s="96"/>
      <c r="H2194" s="64"/>
      <c r="I2194" s="64"/>
      <c r="J2194" s="64"/>
      <c r="K2194" s="64"/>
      <c r="L2194" s="64"/>
    </row>
    <row r="2195" ht="16.5" customHeight="1">
      <c r="A2195" s="64"/>
      <c r="B2195" s="80" t="s">
        <v>18249</v>
      </c>
      <c r="C2195" s="81" t="str">
        <f>IFERROR(__xludf.DUMMYFUNCTION("""COMPUTED_VALUE"""),"wh500w")</f>
        <v>wh500w</v>
      </c>
      <c r="D2195" s="75">
        <f>IFERROR(__xludf.DUMMYFUNCTION("""COMPUTED_VALUE"""),0.0)</f>
        <v>0</v>
      </c>
      <c r="E2195" s="64"/>
      <c r="F2195" s="95"/>
      <c r="G2195" s="96"/>
      <c r="H2195" s="64"/>
      <c r="I2195" s="64"/>
      <c r="J2195" s="64"/>
      <c r="K2195" s="64"/>
      <c r="L2195" s="64"/>
    </row>
    <row r="2196" ht="16.5" customHeight="1">
      <c r="A2196" s="64"/>
      <c r="B2196" s="80" t="s">
        <v>18249</v>
      </c>
      <c r="C2196" s="81" t="str">
        <f>IFERROR(__xludf.DUMMYFUNCTION("""COMPUTED_VALUE"""),"whataboutyehi")</f>
        <v>whataboutyehi</v>
      </c>
      <c r="D2196" s="75">
        <f>IFERROR(__xludf.DUMMYFUNCTION("""COMPUTED_VALUE"""),0.0)</f>
        <v>0</v>
      </c>
      <c r="E2196" s="64"/>
      <c r="F2196" s="95"/>
      <c r="G2196" s="96"/>
      <c r="H2196" s="64"/>
      <c r="I2196" s="64"/>
      <c r="J2196" s="64"/>
      <c r="K2196" s="64"/>
      <c r="L2196" s="64"/>
    </row>
    <row r="2197" ht="16.5" customHeight="1">
      <c r="A2197" s="64"/>
      <c r="B2197" s="80" t="s">
        <v>18249</v>
      </c>
      <c r="C2197" s="81" t="str">
        <f>IFERROR(__xludf.DUMMYFUNCTION("""COMPUTED_VALUE"""),"where_am_i_now_")</f>
        <v>where_am_i_now_</v>
      </c>
      <c r="D2197" s="75">
        <f>IFERROR(__xludf.DUMMYFUNCTION("""COMPUTED_VALUE"""),0.0)</f>
        <v>0</v>
      </c>
      <c r="E2197" s="64"/>
      <c r="F2197" s="95"/>
      <c r="G2197" s="96"/>
      <c r="H2197" s="64"/>
      <c r="I2197" s="64"/>
      <c r="J2197" s="64"/>
      <c r="K2197" s="64"/>
      <c r="L2197" s="64"/>
    </row>
    <row r="2198" ht="16.5" customHeight="1">
      <c r="A2198" s="64"/>
      <c r="B2198" s="80" t="s">
        <v>18249</v>
      </c>
      <c r="C2198" s="81" t="str">
        <f>IFERROR(__xludf.DUMMYFUNCTION("""COMPUTED_VALUE"""),"whitepippin")</f>
        <v>whitepippin</v>
      </c>
      <c r="D2198" s="75">
        <f>IFERROR(__xludf.DUMMYFUNCTION("""COMPUTED_VALUE"""),0.0)</f>
        <v>0</v>
      </c>
      <c r="E2198" s="64"/>
      <c r="F2198" s="95"/>
      <c r="G2198" s="96"/>
      <c r="H2198" s="64"/>
      <c r="I2198" s="64"/>
      <c r="J2198" s="64"/>
      <c r="K2198" s="64"/>
      <c r="L2198" s="64"/>
    </row>
    <row r="2199" ht="16.5" customHeight="1">
      <c r="A2199" s="64"/>
      <c r="B2199" s="80" t="s">
        <v>18249</v>
      </c>
      <c r="C2199" s="81" t="str">
        <f>IFERROR(__xludf.DUMMYFUNCTION("""COMPUTED_VALUE"""),"whnlaws")</f>
        <v>whnlaws</v>
      </c>
      <c r="D2199" s="75">
        <f>IFERROR(__xludf.DUMMYFUNCTION("""COMPUTED_VALUE"""),0.0)</f>
        <v>0</v>
      </c>
      <c r="E2199" s="64"/>
      <c r="F2199" s="95"/>
      <c r="G2199" s="96"/>
      <c r="H2199" s="64"/>
      <c r="I2199" s="64"/>
      <c r="J2199" s="64"/>
      <c r="K2199" s="64"/>
      <c r="L2199" s="64"/>
    </row>
    <row r="2200" ht="16.5" customHeight="1">
      <c r="A2200" s="64"/>
      <c r="B2200" s="80" t="s">
        <v>18249</v>
      </c>
      <c r="C2200" s="81" t="str">
        <f>IFERROR(__xludf.DUMMYFUNCTION("""COMPUTED_VALUE"""),"willtherebal")</f>
        <v>willtherebal</v>
      </c>
      <c r="D2200" s="75">
        <f>IFERROR(__xludf.DUMMYFUNCTION("""COMPUTED_VALUE"""),0.0)</f>
        <v>0</v>
      </c>
      <c r="E2200" s="64"/>
      <c r="F2200" s="95"/>
      <c r="G2200" s="96"/>
      <c r="H2200" s="64"/>
      <c r="I2200" s="64"/>
      <c r="J2200" s="64"/>
      <c r="K2200" s="64"/>
      <c r="L2200" s="64"/>
    </row>
    <row r="2201" ht="16.5" customHeight="1">
      <c r="A2201" s="64"/>
      <c r="B2201" s="80" t="s">
        <v>18249</v>
      </c>
      <c r="C2201" s="81" t="str">
        <f>IFERROR(__xludf.DUMMYFUNCTION("""COMPUTED_VALUE"""),"wilsoniana")</f>
        <v>wilsoniana</v>
      </c>
      <c r="D2201" s="75">
        <f>IFERROR(__xludf.DUMMYFUNCTION("""COMPUTED_VALUE"""),0.0)</f>
        <v>0</v>
      </c>
      <c r="E2201" s="64"/>
      <c r="F2201" s="95"/>
      <c r="G2201" s="96"/>
      <c r="H2201" s="64"/>
      <c r="I2201" s="64"/>
      <c r="J2201" s="64"/>
      <c r="K2201" s="64"/>
      <c r="L2201" s="64"/>
    </row>
    <row r="2202" ht="16.5" customHeight="1">
      <c r="A2202" s="64"/>
      <c r="B2202" s="80" t="s">
        <v>18249</v>
      </c>
      <c r="C2202" s="81" t="str">
        <f>IFERROR(__xludf.DUMMYFUNCTION("""COMPUTED_VALUE"""),"windfair_net")</f>
        <v>windfair_net</v>
      </c>
      <c r="D2202" s="75">
        <f>IFERROR(__xludf.DUMMYFUNCTION("""COMPUTED_VALUE"""),0.0)</f>
        <v>0</v>
      </c>
      <c r="E2202" s="64"/>
      <c r="F2202" s="95"/>
      <c r="G2202" s="96"/>
      <c r="H2202" s="64"/>
      <c r="I2202" s="64"/>
      <c r="J2202" s="64"/>
      <c r="K2202" s="64"/>
      <c r="L2202" s="64"/>
    </row>
    <row r="2203" ht="16.5" customHeight="1">
      <c r="A2203" s="64"/>
      <c r="B2203" s="80" t="s">
        <v>18249</v>
      </c>
      <c r="C2203" s="81" t="str">
        <f>IFERROR(__xludf.DUMMYFUNCTION("""COMPUTED_VALUE"""),"winter_greg")</f>
        <v>winter_greg</v>
      </c>
      <c r="D2203" s="75">
        <f>IFERROR(__xludf.DUMMYFUNCTION("""COMPUTED_VALUE"""),0.0)</f>
        <v>0</v>
      </c>
      <c r="E2203" s="64"/>
      <c r="F2203" s="95"/>
      <c r="G2203" s="96"/>
      <c r="H2203" s="64"/>
      <c r="I2203" s="64"/>
      <c r="J2203" s="64"/>
      <c r="K2203" s="64"/>
      <c r="L2203" s="64"/>
    </row>
    <row r="2204" ht="16.5" customHeight="1">
      <c r="A2204" s="64"/>
      <c r="B2204" s="80" t="s">
        <v>18249</v>
      </c>
      <c r="C2204" s="81" t="str">
        <f>IFERROR(__xludf.DUMMYFUNCTION("""COMPUTED_VALUE"""),"wolfiewire")</f>
        <v>wolfiewire</v>
      </c>
      <c r="D2204" s="75">
        <f>IFERROR(__xludf.DUMMYFUNCTION("""COMPUTED_VALUE"""),0.0)</f>
        <v>0</v>
      </c>
      <c r="E2204" s="64"/>
      <c r="F2204" s="95"/>
      <c r="G2204" s="96"/>
      <c r="H2204" s="64"/>
      <c r="I2204" s="64"/>
      <c r="J2204" s="64"/>
      <c r="K2204" s="64"/>
      <c r="L2204" s="64"/>
    </row>
    <row r="2205" ht="16.5" customHeight="1">
      <c r="A2205" s="64"/>
      <c r="B2205" s="80" t="s">
        <v>18249</v>
      </c>
      <c r="C2205" s="81" t="str">
        <f>IFERROR(__xludf.DUMMYFUNCTION("""COMPUTED_VALUE"""),"woowar")</f>
        <v>woowar</v>
      </c>
      <c r="D2205" s="75">
        <f>IFERROR(__xludf.DUMMYFUNCTION("""COMPUTED_VALUE"""),0.0)</f>
        <v>0</v>
      </c>
      <c r="E2205" s="64"/>
      <c r="F2205" s="95"/>
      <c r="G2205" s="96"/>
      <c r="H2205" s="64"/>
      <c r="I2205" s="64"/>
      <c r="J2205" s="64"/>
      <c r="K2205" s="64"/>
      <c r="L2205" s="64"/>
    </row>
    <row r="2206" ht="16.5" customHeight="1">
      <c r="A2206" s="64"/>
      <c r="B2206" s="80" t="s">
        <v>18249</v>
      </c>
      <c r="C2206" s="81" t="str">
        <f>IFERROR(__xludf.DUMMYFUNCTION("""COMPUTED_VALUE"""),"workinlikeamum")</f>
        <v>workinlikeamum</v>
      </c>
      <c r="D2206" s="75">
        <f>IFERROR(__xludf.DUMMYFUNCTION("""COMPUTED_VALUE"""),0.0)</f>
        <v>0</v>
      </c>
      <c r="E2206" s="64"/>
      <c r="F2206" s="95"/>
      <c r="G2206" s="96"/>
      <c r="H2206" s="64"/>
      <c r="I2206" s="64"/>
      <c r="J2206" s="64"/>
      <c r="K2206" s="64"/>
      <c r="L2206" s="64"/>
    </row>
    <row r="2207" ht="16.5" customHeight="1">
      <c r="A2207" s="64"/>
      <c r="B2207" s="80" t="s">
        <v>18249</v>
      </c>
      <c r="C2207" s="81" t="str">
        <f>IFERROR(__xludf.DUMMYFUNCTION("""COMPUTED_VALUE"""),"world_wanderer4")</f>
        <v>world_wanderer4</v>
      </c>
      <c r="D2207" s="75">
        <f>IFERROR(__xludf.DUMMYFUNCTION("""COMPUTED_VALUE"""),0.0)</f>
        <v>0</v>
      </c>
      <c r="E2207" s="64"/>
      <c r="F2207" s="95"/>
      <c r="G2207" s="96"/>
      <c r="H2207" s="64"/>
      <c r="I2207" s="64"/>
      <c r="J2207" s="64"/>
      <c r="K2207" s="64"/>
      <c r="L2207" s="64"/>
    </row>
    <row r="2208" ht="16.5" customHeight="1">
      <c r="A2208" s="64"/>
      <c r="B2208" s="80" t="s">
        <v>18249</v>
      </c>
      <c r="C2208" s="81" t="str">
        <f>IFERROR(__xludf.DUMMYFUNCTION("""COMPUTED_VALUE"""),"wulba")</f>
        <v>wulba</v>
      </c>
      <c r="D2208" s="75">
        <f>IFERROR(__xludf.DUMMYFUNCTION("""COMPUTED_VALUE"""),0.0)</f>
        <v>0</v>
      </c>
      <c r="E2208" s="64"/>
      <c r="F2208" s="95"/>
      <c r="G2208" s="96"/>
      <c r="H2208" s="64"/>
      <c r="I2208" s="64"/>
      <c r="J2208" s="64"/>
      <c r="K2208" s="64"/>
      <c r="L2208" s="64"/>
    </row>
    <row r="2209" ht="16.5" customHeight="1">
      <c r="A2209" s="64"/>
      <c r="B2209" s="80" t="s">
        <v>18249</v>
      </c>
      <c r="C2209" s="81" t="str">
        <f>IFERROR(__xludf.DUMMYFUNCTION("""COMPUTED_VALUE"""),"wynmallett")</f>
        <v>wynmallett</v>
      </c>
      <c r="D2209" s="75">
        <f>IFERROR(__xludf.DUMMYFUNCTION("""COMPUTED_VALUE"""),0.0)</f>
        <v>0</v>
      </c>
      <c r="E2209" s="64"/>
      <c r="F2209" s="95"/>
      <c r="G2209" s="96"/>
      <c r="H2209" s="64"/>
      <c r="I2209" s="64"/>
      <c r="J2209" s="64"/>
      <c r="K2209" s="64"/>
      <c r="L2209" s="64"/>
    </row>
    <row r="2210" ht="16.5" customHeight="1">
      <c r="A2210" s="64"/>
      <c r="B2210" s="80" t="s">
        <v>18249</v>
      </c>
      <c r="C2210" s="81" t="str">
        <f>IFERROR(__xludf.DUMMYFUNCTION("""COMPUTED_VALUE"""),"yasmina_ss")</f>
        <v>yasmina_ss</v>
      </c>
      <c r="D2210" s="75">
        <f>IFERROR(__xludf.DUMMYFUNCTION("""COMPUTED_VALUE"""),0.0)</f>
        <v>0</v>
      </c>
      <c r="E2210" s="64"/>
      <c r="F2210" s="95"/>
      <c r="G2210" s="96"/>
      <c r="H2210" s="64"/>
      <c r="I2210" s="64"/>
      <c r="J2210" s="64"/>
      <c r="K2210" s="64"/>
      <c r="L2210" s="64"/>
    </row>
    <row r="2211" ht="16.5" customHeight="1">
      <c r="A2211" s="64"/>
      <c r="B2211" s="80" t="s">
        <v>18249</v>
      </c>
      <c r="C2211" s="81" t="str">
        <f>IFERROR(__xludf.DUMMYFUNCTION("""COMPUTED_VALUE"""),"yipmann82")</f>
        <v>yipmann82</v>
      </c>
      <c r="D2211" s="75">
        <f>IFERROR(__xludf.DUMMYFUNCTION("""COMPUTED_VALUE"""),0.0)</f>
        <v>0</v>
      </c>
      <c r="E2211" s="64"/>
      <c r="F2211" s="95"/>
      <c r="G2211" s="96"/>
      <c r="H2211" s="64"/>
      <c r="I2211" s="64"/>
      <c r="J2211" s="64"/>
      <c r="K2211" s="64"/>
      <c r="L2211" s="64"/>
    </row>
    <row r="2212" ht="16.5" customHeight="1">
      <c r="A2212" s="64"/>
      <c r="B2212" s="80" t="s">
        <v>18249</v>
      </c>
      <c r="C2212" s="81" t="str">
        <f>IFERROR(__xludf.DUMMYFUNCTION("""COMPUTED_VALUE"""),"yllekonadnerb")</f>
        <v>yllekonadnerb</v>
      </c>
      <c r="D2212" s="75">
        <f>IFERROR(__xludf.DUMMYFUNCTION("""COMPUTED_VALUE"""),0.0)</f>
        <v>0</v>
      </c>
      <c r="E2212" s="64"/>
      <c r="F2212" s="95"/>
      <c r="G2212" s="96"/>
      <c r="H2212" s="64"/>
      <c r="I2212" s="64"/>
      <c r="J2212" s="64"/>
      <c r="K2212" s="64"/>
      <c r="L2212" s="64"/>
    </row>
    <row r="2213" ht="16.5" customHeight="1">
      <c r="A2213" s="64"/>
      <c r="B2213" s="80" t="s">
        <v>18249</v>
      </c>
      <c r="C2213" s="81" t="str">
        <f>IFERROR(__xludf.DUMMYFUNCTION("""COMPUTED_VALUE"""),"yorkiemoonraker")</f>
        <v>yorkiemoonraker</v>
      </c>
      <c r="D2213" s="75">
        <f>IFERROR(__xludf.DUMMYFUNCTION("""COMPUTED_VALUE"""),0.0)</f>
        <v>0</v>
      </c>
      <c r="E2213" s="64"/>
      <c r="F2213" s="95"/>
      <c r="G2213" s="96"/>
      <c r="H2213" s="64"/>
      <c r="I2213" s="64"/>
      <c r="J2213" s="64"/>
      <c r="K2213" s="64"/>
      <c r="L2213" s="64"/>
    </row>
    <row r="2214" ht="16.5" customHeight="1">
      <c r="A2214" s="64"/>
      <c r="B2214" s="80" t="s">
        <v>18249</v>
      </c>
      <c r="C2214" s="81" t="str">
        <f>IFERROR(__xludf.DUMMYFUNCTION("""COMPUTED_VALUE"""),"youngmullers")</f>
        <v>youngmullers</v>
      </c>
      <c r="D2214" s="75">
        <f>IFERROR(__xludf.DUMMYFUNCTION("""COMPUTED_VALUE"""),0.0)</f>
        <v>0</v>
      </c>
      <c r="E2214" s="64"/>
      <c r="F2214" s="95"/>
      <c r="G2214" s="96"/>
      <c r="H2214" s="64"/>
      <c r="I2214" s="64"/>
      <c r="J2214" s="64"/>
      <c r="K2214" s="64"/>
      <c r="L2214" s="64"/>
    </row>
    <row r="2215" ht="16.5" customHeight="1">
      <c r="A2215" s="64"/>
      <c r="B2215" s="80" t="s">
        <v>18249</v>
      </c>
      <c r="C2215" s="81" t="str">
        <f>IFERROR(__xludf.DUMMYFUNCTION("""COMPUTED_VALUE"""),"zidanesboots")</f>
        <v>zidanesboots</v>
      </c>
      <c r="D2215" s="75">
        <f>IFERROR(__xludf.DUMMYFUNCTION("""COMPUTED_VALUE"""),0.0)</f>
        <v>0</v>
      </c>
      <c r="E2215" s="64"/>
      <c r="F2215" s="95"/>
      <c r="G2215" s="96"/>
      <c r="H2215" s="64"/>
      <c r="I2215" s="64"/>
      <c r="J2215" s="64"/>
      <c r="K2215" s="64"/>
      <c r="L2215" s="64"/>
    </row>
    <row r="2216" ht="16.5" customHeight="1">
      <c r="A2216" s="64"/>
      <c r="B2216" s="98" t="s">
        <v>18264</v>
      </c>
      <c r="C2216" s="81"/>
      <c r="D2216" s="75"/>
      <c r="E2216" s="64"/>
      <c r="F2216" s="95"/>
      <c r="G2216" s="96"/>
      <c r="H2216" s="64"/>
      <c r="I2216" s="64"/>
      <c r="J2216" s="64"/>
      <c r="K2216" s="64"/>
      <c r="L2216" s="64"/>
    </row>
    <row r="2217" ht="16.5" customHeight="1">
      <c r="A2217" s="64"/>
      <c r="B2217" s="98" t="s">
        <v>18264</v>
      </c>
      <c r="C2217" s="81"/>
      <c r="D2217" s="75"/>
      <c r="E2217" s="64"/>
      <c r="F2217" s="95"/>
      <c r="G2217" s="96"/>
      <c r="H2217" s="64"/>
      <c r="I2217" s="64"/>
      <c r="J2217" s="64"/>
      <c r="K2217" s="64"/>
      <c r="L2217" s="64"/>
    </row>
    <row r="2218" ht="16.5" customHeight="1">
      <c r="A2218" s="64"/>
      <c r="B2218" s="98" t="s">
        <v>18264</v>
      </c>
      <c r="C2218" s="81"/>
      <c r="D2218" s="75"/>
      <c r="E2218" s="64"/>
      <c r="F2218" s="95"/>
      <c r="G2218" s="96"/>
      <c r="H2218" s="64"/>
      <c r="I2218" s="64"/>
      <c r="J2218" s="64"/>
      <c r="K2218" s="64"/>
      <c r="L2218" s="64"/>
    </row>
    <row r="2219" ht="16.5" customHeight="1">
      <c r="A2219" s="64"/>
      <c r="B2219" s="98" t="s">
        <v>18264</v>
      </c>
      <c r="C2219" s="81"/>
      <c r="D2219" s="75"/>
      <c r="E2219" s="64"/>
      <c r="F2219" s="95"/>
      <c r="G2219" s="96"/>
      <c r="H2219" s="64"/>
      <c r="I2219" s="64"/>
      <c r="J2219" s="64"/>
      <c r="K2219" s="64"/>
      <c r="L2219" s="64"/>
    </row>
    <row r="2220" ht="16.5" customHeight="1">
      <c r="A2220" s="64"/>
      <c r="B2220" s="98" t="s">
        <v>18264</v>
      </c>
      <c r="C2220" s="81"/>
      <c r="D2220" s="75"/>
      <c r="E2220" s="64"/>
      <c r="F2220" s="95"/>
      <c r="G2220" s="96"/>
      <c r="H2220" s="64"/>
      <c r="I2220" s="64"/>
      <c r="J2220" s="64"/>
      <c r="K2220" s="64"/>
      <c r="L2220" s="64"/>
    </row>
    <row r="2221" ht="16.5" customHeight="1">
      <c r="A2221" s="64"/>
      <c r="B2221" s="98" t="s">
        <v>18264</v>
      </c>
      <c r="C2221" s="81"/>
      <c r="D2221" s="75"/>
      <c r="E2221" s="64"/>
      <c r="F2221" s="95"/>
      <c r="G2221" s="96"/>
      <c r="H2221" s="64"/>
      <c r="I2221" s="64"/>
      <c r="J2221" s="64"/>
      <c r="K2221" s="64"/>
      <c r="L2221" s="64"/>
    </row>
    <row r="2222" ht="16.5" customHeight="1">
      <c r="A2222" s="64"/>
      <c r="B2222" s="98" t="s">
        <v>18264</v>
      </c>
      <c r="C2222" s="81"/>
      <c r="D2222" s="75"/>
      <c r="E2222" s="64"/>
      <c r="F2222" s="95"/>
      <c r="G2222" s="96"/>
      <c r="H2222" s="64"/>
      <c r="I2222" s="64"/>
      <c r="J2222" s="64"/>
      <c r="K2222" s="64"/>
      <c r="L2222" s="64"/>
    </row>
    <row r="2223" ht="16.5" customHeight="1">
      <c r="A2223" s="64"/>
      <c r="B2223" s="98" t="s">
        <v>18264</v>
      </c>
      <c r="C2223" s="81"/>
      <c r="D2223" s="75"/>
      <c r="E2223" s="64"/>
      <c r="F2223" s="95"/>
      <c r="G2223" s="96"/>
      <c r="H2223" s="64"/>
      <c r="I2223" s="64"/>
      <c r="J2223" s="64"/>
      <c r="K2223" s="64"/>
      <c r="L2223" s="64"/>
    </row>
    <row r="2224" ht="16.5" customHeight="1">
      <c r="A2224" s="64"/>
      <c r="B2224" s="98" t="s">
        <v>18264</v>
      </c>
      <c r="C2224" s="81"/>
      <c r="D2224" s="75"/>
      <c r="E2224" s="64"/>
      <c r="F2224" s="95"/>
      <c r="G2224" s="96"/>
      <c r="H2224" s="64"/>
      <c r="I2224" s="64"/>
      <c r="J2224" s="64"/>
      <c r="K2224" s="64"/>
      <c r="L2224" s="64"/>
    </row>
    <row r="2225" ht="16.5" customHeight="1">
      <c r="A2225" s="64"/>
      <c r="B2225" s="98" t="s">
        <v>18264</v>
      </c>
      <c r="C2225" s="81"/>
      <c r="D2225" s="75"/>
      <c r="E2225" s="64"/>
      <c r="F2225" s="95"/>
      <c r="G2225" s="96"/>
      <c r="H2225" s="64"/>
      <c r="I2225" s="64"/>
      <c r="J2225" s="64"/>
      <c r="K2225" s="64"/>
      <c r="L2225" s="64"/>
    </row>
    <row r="2226" ht="16.5" customHeight="1">
      <c r="A2226" s="64"/>
      <c r="B2226" s="98" t="s">
        <v>18264</v>
      </c>
      <c r="C2226" s="81"/>
      <c r="D2226" s="75"/>
      <c r="E2226" s="64"/>
      <c r="F2226" s="95"/>
      <c r="G2226" s="96"/>
      <c r="H2226" s="64"/>
      <c r="I2226" s="64"/>
      <c r="J2226" s="64"/>
      <c r="K2226" s="64"/>
      <c r="L2226" s="64"/>
    </row>
    <row r="2227" ht="16.5" customHeight="1">
      <c r="A2227" s="64"/>
      <c r="B2227" s="98" t="s">
        <v>18264</v>
      </c>
      <c r="C2227" s="81"/>
      <c r="D2227" s="75"/>
      <c r="E2227" s="64"/>
      <c r="F2227" s="95"/>
      <c r="G2227" s="96"/>
      <c r="H2227" s="64"/>
      <c r="I2227" s="64"/>
      <c r="J2227" s="64"/>
      <c r="K2227" s="64"/>
      <c r="L2227" s="64"/>
    </row>
    <row r="2228" ht="16.5" customHeight="1">
      <c r="A2228" s="64"/>
      <c r="B2228" s="98" t="s">
        <v>18264</v>
      </c>
      <c r="C2228" s="81"/>
      <c r="D2228" s="75"/>
      <c r="E2228" s="64"/>
      <c r="F2228" s="95"/>
      <c r="G2228" s="96"/>
      <c r="H2228" s="64"/>
      <c r="I2228" s="64"/>
      <c r="J2228" s="64"/>
      <c r="K2228" s="64"/>
      <c r="L2228" s="64"/>
    </row>
    <row r="2229" ht="16.5" customHeight="1">
      <c r="A2229" s="64"/>
      <c r="B2229" s="98" t="s">
        <v>18264</v>
      </c>
      <c r="C2229" s="81"/>
      <c r="D2229" s="75"/>
      <c r="E2229" s="64"/>
      <c r="F2229" s="95"/>
      <c r="G2229" s="96"/>
      <c r="H2229" s="64"/>
      <c r="I2229" s="64"/>
      <c r="J2229" s="64"/>
      <c r="K2229" s="64"/>
      <c r="L2229" s="64"/>
    </row>
    <row r="2230" ht="16.5" customHeight="1">
      <c r="A2230" s="64"/>
      <c r="B2230" s="98" t="s">
        <v>18264</v>
      </c>
      <c r="C2230" s="81"/>
      <c r="D2230" s="75"/>
      <c r="E2230" s="64"/>
      <c r="F2230" s="95"/>
      <c r="G2230" s="96"/>
      <c r="H2230" s="64"/>
      <c r="I2230" s="64"/>
      <c r="J2230" s="64"/>
      <c r="K2230" s="64"/>
      <c r="L2230" s="64"/>
    </row>
    <row r="2231" ht="16.5" customHeight="1">
      <c r="A2231" s="64"/>
      <c r="B2231" s="98" t="s">
        <v>18264</v>
      </c>
      <c r="C2231" s="81"/>
      <c r="D2231" s="75"/>
      <c r="E2231" s="64"/>
      <c r="F2231" s="95"/>
      <c r="G2231" s="96"/>
      <c r="H2231" s="64"/>
      <c r="I2231" s="64"/>
      <c r="J2231" s="64"/>
      <c r="K2231" s="64"/>
      <c r="L2231" s="64"/>
    </row>
    <row r="2232" ht="16.5" customHeight="1">
      <c r="A2232" s="64"/>
      <c r="B2232" s="98" t="s">
        <v>18264</v>
      </c>
      <c r="C2232" s="81"/>
      <c r="D2232" s="75"/>
      <c r="E2232" s="64"/>
      <c r="F2232" s="95"/>
      <c r="G2232" s="96"/>
      <c r="H2232" s="64"/>
      <c r="I2232" s="64"/>
      <c r="J2232" s="64"/>
      <c r="K2232" s="64"/>
      <c r="L2232" s="64"/>
    </row>
    <row r="2233" ht="16.5" customHeight="1">
      <c r="A2233" s="64"/>
      <c r="B2233" s="98" t="s">
        <v>18264</v>
      </c>
      <c r="C2233" s="81"/>
      <c r="D2233" s="75"/>
      <c r="E2233" s="64"/>
      <c r="F2233" s="95"/>
      <c r="G2233" s="96"/>
      <c r="H2233" s="64"/>
      <c r="I2233" s="64"/>
      <c r="J2233" s="64"/>
      <c r="K2233" s="64"/>
      <c r="L2233" s="64"/>
    </row>
    <row r="2234" ht="16.5" customHeight="1">
      <c r="A2234" s="64"/>
      <c r="B2234" s="98" t="s">
        <v>18264</v>
      </c>
      <c r="C2234" s="81"/>
      <c r="D2234" s="75"/>
      <c r="E2234" s="64"/>
      <c r="F2234" s="95"/>
      <c r="G2234" s="96"/>
      <c r="H2234" s="64"/>
      <c r="I2234" s="64"/>
      <c r="J2234" s="64"/>
      <c r="K2234" s="64"/>
      <c r="L2234" s="64"/>
    </row>
    <row r="2235" ht="16.5" customHeight="1">
      <c r="A2235" s="64"/>
      <c r="B2235" s="98" t="s">
        <v>18264</v>
      </c>
      <c r="C2235" s="81"/>
      <c r="D2235" s="75"/>
      <c r="E2235" s="64"/>
      <c r="F2235" s="95"/>
      <c r="G2235" s="96"/>
      <c r="H2235" s="64"/>
      <c r="I2235" s="64"/>
      <c r="J2235" s="64"/>
      <c r="K2235" s="64"/>
      <c r="L2235" s="64"/>
    </row>
    <row r="2236" ht="16.5" customHeight="1">
      <c r="A2236" s="64"/>
      <c r="B2236" s="98" t="s">
        <v>18264</v>
      </c>
      <c r="C2236" s="81"/>
      <c r="D2236" s="75"/>
      <c r="E2236" s="64"/>
      <c r="F2236" s="95"/>
      <c r="G2236" s="96"/>
      <c r="H2236" s="64"/>
      <c r="I2236" s="64"/>
      <c r="J2236" s="64"/>
      <c r="K2236" s="64"/>
      <c r="L2236" s="64"/>
    </row>
    <row r="2237" ht="16.5" customHeight="1">
      <c r="A2237" s="64"/>
      <c r="B2237" s="98" t="s">
        <v>18264</v>
      </c>
      <c r="C2237" s="81"/>
      <c r="D2237" s="75"/>
      <c r="E2237" s="64"/>
      <c r="F2237" s="95"/>
      <c r="G2237" s="96"/>
      <c r="H2237" s="64"/>
      <c r="I2237" s="64"/>
      <c r="J2237" s="64"/>
      <c r="K2237" s="64"/>
      <c r="L2237" s="64"/>
    </row>
    <row r="2238" ht="16.5" customHeight="1">
      <c r="A2238" s="64"/>
      <c r="B2238" s="98" t="s">
        <v>18264</v>
      </c>
      <c r="C2238" s="81"/>
      <c r="D2238" s="75"/>
      <c r="E2238" s="64"/>
      <c r="F2238" s="95"/>
      <c r="G2238" s="96"/>
      <c r="H2238" s="64"/>
      <c r="I2238" s="64"/>
      <c r="J2238" s="64"/>
      <c r="K2238" s="64"/>
      <c r="L2238" s="64"/>
    </row>
    <row r="2239" ht="16.5" customHeight="1">
      <c r="A2239" s="64"/>
      <c r="B2239" s="98" t="s">
        <v>18264</v>
      </c>
      <c r="C2239" s="81"/>
      <c r="D2239" s="75"/>
      <c r="E2239" s="64"/>
      <c r="F2239" s="95"/>
      <c r="G2239" s="96"/>
      <c r="H2239" s="64"/>
      <c r="I2239" s="64"/>
      <c r="J2239" s="64"/>
      <c r="K2239" s="64"/>
      <c r="L2239" s="64"/>
    </row>
    <row r="2240" ht="16.5" customHeight="1">
      <c r="A2240" s="64"/>
      <c r="B2240" s="98" t="s">
        <v>18264</v>
      </c>
      <c r="C2240" s="81"/>
      <c r="D2240" s="75"/>
      <c r="E2240" s="64"/>
      <c r="F2240" s="95"/>
      <c r="G2240" s="96"/>
      <c r="H2240" s="64"/>
      <c r="I2240" s="64"/>
      <c r="J2240" s="64"/>
      <c r="K2240" s="64"/>
      <c r="L2240" s="64"/>
    </row>
    <row r="2241" ht="16.5" customHeight="1">
      <c r="A2241" s="64"/>
      <c r="B2241" s="98" t="s">
        <v>18264</v>
      </c>
      <c r="C2241" s="81"/>
      <c r="D2241" s="75"/>
      <c r="E2241" s="64"/>
      <c r="F2241" s="95"/>
      <c r="G2241" s="96"/>
      <c r="H2241" s="64"/>
      <c r="I2241" s="64"/>
      <c r="J2241" s="64"/>
      <c r="K2241" s="64"/>
      <c r="L2241" s="64"/>
    </row>
    <row r="2242" ht="16.5" customHeight="1">
      <c r="A2242" s="64"/>
      <c r="B2242" s="98" t="s">
        <v>18264</v>
      </c>
      <c r="C2242" s="81"/>
      <c r="D2242" s="75"/>
      <c r="E2242" s="64"/>
      <c r="F2242" s="95"/>
      <c r="G2242" s="96"/>
      <c r="H2242" s="64"/>
      <c r="I2242" s="64"/>
      <c r="J2242" s="64"/>
      <c r="K2242" s="64"/>
      <c r="L2242" s="64"/>
    </row>
    <row r="2243" ht="16.5" customHeight="1">
      <c r="A2243" s="64"/>
      <c r="B2243" s="98" t="s">
        <v>18264</v>
      </c>
      <c r="C2243" s="81"/>
      <c r="D2243" s="75"/>
      <c r="E2243" s="64"/>
      <c r="F2243" s="95"/>
      <c r="G2243" s="96"/>
      <c r="H2243" s="64"/>
      <c r="I2243" s="64"/>
      <c r="J2243" s="64"/>
      <c r="K2243" s="64"/>
      <c r="L2243" s="64"/>
    </row>
    <row r="2244" ht="16.5" customHeight="1">
      <c r="A2244" s="64"/>
      <c r="B2244" s="98" t="s">
        <v>18264</v>
      </c>
      <c r="C2244" s="81"/>
      <c r="D2244" s="75"/>
      <c r="E2244" s="64"/>
      <c r="F2244" s="95"/>
      <c r="G2244" s="96"/>
      <c r="H2244" s="64"/>
      <c r="I2244" s="64"/>
      <c r="J2244" s="64"/>
      <c r="K2244" s="64"/>
      <c r="L2244" s="64"/>
    </row>
    <row r="2245" ht="16.5" customHeight="1">
      <c r="A2245" s="64"/>
      <c r="B2245" s="98" t="s">
        <v>18264</v>
      </c>
      <c r="C2245" s="81"/>
      <c r="D2245" s="75"/>
      <c r="E2245" s="64"/>
      <c r="F2245" s="95"/>
      <c r="G2245" s="96"/>
      <c r="H2245" s="64"/>
      <c r="I2245" s="64"/>
      <c r="J2245" s="64"/>
      <c r="K2245" s="64"/>
      <c r="L2245" s="64"/>
    </row>
    <row r="2246" ht="16.5" customHeight="1">
      <c r="A2246" s="64"/>
      <c r="B2246" s="98" t="s">
        <v>18264</v>
      </c>
      <c r="C2246" s="81"/>
      <c r="D2246" s="75"/>
      <c r="E2246" s="64"/>
      <c r="F2246" s="95"/>
      <c r="G2246" s="96"/>
      <c r="H2246" s="64"/>
      <c r="I2246" s="64"/>
      <c r="J2246" s="64"/>
      <c r="K2246" s="64"/>
      <c r="L2246" s="64"/>
    </row>
    <row r="2247" ht="16.5" customHeight="1">
      <c r="A2247" s="64"/>
      <c r="B2247" s="98" t="s">
        <v>18264</v>
      </c>
      <c r="C2247" s="81"/>
      <c r="D2247" s="75"/>
      <c r="E2247" s="64"/>
      <c r="F2247" s="95"/>
      <c r="G2247" s="96"/>
      <c r="H2247" s="64"/>
      <c r="I2247" s="64"/>
      <c r="J2247" s="64"/>
      <c r="K2247" s="64"/>
      <c r="L2247" s="64"/>
    </row>
    <row r="2248" ht="16.5" customHeight="1">
      <c r="A2248" s="64"/>
      <c r="B2248" s="98" t="s">
        <v>18264</v>
      </c>
      <c r="C2248" s="81"/>
      <c r="D2248" s="75"/>
      <c r="E2248" s="64"/>
      <c r="F2248" s="95"/>
      <c r="G2248" s="96"/>
      <c r="H2248" s="64"/>
      <c r="I2248" s="64"/>
      <c r="J2248" s="64"/>
      <c r="K2248" s="64"/>
      <c r="L2248" s="64"/>
    </row>
    <row r="2249" ht="16.5" customHeight="1">
      <c r="A2249" s="64"/>
      <c r="B2249" s="98" t="s">
        <v>18264</v>
      </c>
      <c r="C2249" s="81"/>
      <c r="D2249" s="75"/>
      <c r="E2249" s="64"/>
      <c r="F2249" s="95"/>
      <c r="G2249" s="96"/>
      <c r="H2249" s="64"/>
      <c r="I2249" s="64"/>
      <c r="J2249" s="64"/>
      <c r="K2249" s="64"/>
      <c r="L2249" s="64"/>
    </row>
    <row r="2250" ht="16.5" customHeight="1">
      <c r="A2250" s="64"/>
      <c r="B2250" s="98" t="s">
        <v>18264</v>
      </c>
      <c r="C2250" s="81"/>
      <c r="D2250" s="75"/>
      <c r="E2250" s="64"/>
      <c r="F2250" s="95"/>
      <c r="G2250" s="96"/>
      <c r="H2250" s="64"/>
      <c r="I2250" s="64"/>
      <c r="J2250" s="64"/>
      <c r="K2250" s="64"/>
      <c r="L2250" s="64"/>
    </row>
    <row r="2251" ht="16.5" customHeight="1">
      <c r="A2251" s="64"/>
      <c r="B2251" s="98" t="s">
        <v>18264</v>
      </c>
      <c r="C2251" s="81"/>
      <c r="D2251" s="75"/>
      <c r="E2251" s="64"/>
      <c r="F2251" s="95"/>
      <c r="G2251" s="96"/>
      <c r="H2251" s="64"/>
      <c r="I2251" s="64"/>
      <c r="J2251" s="64"/>
      <c r="K2251" s="64"/>
      <c r="L2251" s="64"/>
    </row>
    <row r="2252" ht="16.5" customHeight="1">
      <c r="A2252" s="64"/>
      <c r="B2252" s="98" t="s">
        <v>18264</v>
      </c>
      <c r="C2252" s="81"/>
      <c r="D2252" s="75"/>
      <c r="E2252" s="64"/>
      <c r="F2252" s="95"/>
      <c r="G2252" s="96"/>
      <c r="H2252" s="64"/>
      <c r="I2252" s="64"/>
      <c r="J2252" s="64"/>
      <c r="K2252" s="64"/>
      <c r="L2252" s="64"/>
    </row>
    <row r="2253" ht="16.5" customHeight="1">
      <c r="A2253" s="64"/>
      <c r="B2253" s="98" t="s">
        <v>18264</v>
      </c>
      <c r="C2253" s="81"/>
      <c r="D2253" s="75"/>
      <c r="E2253" s="64"/>
      <c r="F2253" s="95"/>
      <c r="G2253" s="96"/>
      <c r="H2253" s="64"/>
      <c r="I2253" s="64"/>
      <c r="J2253" s="64"/>
      <c r="K2253" s="64"/>
      <c r="L2253" s="64"/>
    </row>
    <row r="2254" ht="16.5" customHeight="1">
      <c r="A2254" s="64"/>
      <c r="B2254" s="98" t="s">
        <v>18264</v>
      </c>
      <c r="C2254" s="81"/>
      <c r="D2254" s="75"/>
      <c r="E2254" s="64"/>
      <c r="F2254" s="95"/>
      <c r="G2254" s="96"/>
      <c r="H2254" s="64"/>
      <c r="I2254" s="64"/>
      <c r="J2254" s="64"/>
      <c r="K2254" s="64"/>
      <c r="L2254" s="64"/>
    </row>
    <row r="2255" ht="16.5" customHeight="1">
      <c r="A2255" s="64"/>
      <c r="B2255" s="98" t="s">
        <v>18264</v>
      </c>
      <c r="C2255" s="81"/>
      <c r="D2255" s="75"/>
      <c r="E2255" s="64"/>
      <c r="F2255" s="95"/>
      <c r="G2255" s="96"/>
      <c r="H2255" s="64"/>
      <c r="I2255" s="64"/>
      <c r="J2255" s="64"/>
      <c r="K2255" s="64"/>
      <c r="L2255" s="64"/>
    </row>
    <row r="2256" ht="16.5" customHeight="1">
      <c r="A2256" s="64"/>
      <c r="B2256" s="98" t="s">
        <v>18264</v>
      </c>
      <c r="C2256" s="81"/>
      <c r="D2256" s="75"/>
      <c r="E2256" s="64"/>
      <c r="F2256" s="95"/>
      <c r="G2256" s="96"/>
      <c r="H2256" s="64"/>
      <c r="I2256" s="64"/>
      <c r="J2256" s="64"/>
      <c r="K2256" s="64"/>
      <c r="L2256" s="64"/>
    </row>
    <row r="2257" ht="16.5" customHeight="1">
      <c r="A2257" s="64"/>
      <c r="B2257" s="98" t="s">
        <v>18264</v>
      </c>
      <c r="C2257" s="81"/>
      <c r="D2257" s="75"/>
      <c r="E2257" s="64"/>
      <c r="F2257" s="95"/>
      <c r="G2257" s="96"/>
      <c r="H2257" s="64"/>
      <c r="I2257" s="64"/>
      <c r="J2257" s="64"/>
      <c r="K2257" s="64"/>
      <c r="L2257" s="64"/>
    </row>
    <row r="2258" ht="16.5" customHeight="1">
      <c r="A2258" s="64"/>
      <c r="B2258" s="98" t="s">
        <v>18264</v>
      </c>
      <c r="C2258" s="81"/>
      <c r="D2258" s="75"/>
      <c r="E2258" s="64"/>
      <c r="F2258" s="95"/>
      <c r="G2258" s="96"/>
      <c r="H2258" s="64"/>
      <c r="I2258" s="64"/>
      <c r="J2258" s="64"/>
      <c r="K2258" s="64"/>
      <c r="L2258" s="64"/>
    </row>
    <row r="2259" ht="16.5" customHeight="1">
      <c r="A2259" s="64"/>
      <c r="B2259" s="98" t="s">
        <v>18264</v>
      </c>
      <c r="C2259" s="81"/>
      <c r="D2259" s="75"/>
      <c r="E2259" s="64"/>
      <c r="F2259" s="95"/>
      <c r="G2259" s="96"/>
      <c r="H2259" s="64"/>
      <c r="I2259" s="64"/>
      <c r="J2259" s="64"/>
      <c r="K2259" s="64"/>
      <c r="L2259" s="64"/>
    </row>
    <row r="2260" ht="16.5" customHeight="1">
      <c r="A2260" s="64"/>
      <c r="B2260" s="98" t="s">
        <v>18264</v>
      </c>
      <c r="C2260" s="81"/>
      <c r="D2260" s="75"/>
      <c r="E2260" s="64"/>
      <c r="F2260" s="95"/>
      <c r="G2260" s="96"/>
      <c r="H2260" s="64"/>
      <c r="I2260" s="64"/>
      <c r="J2260" s="64"/>
      <c r="K2260" s="64"/>
      <c r="L2260" s="64"/>
    </row>
    <row r="2261" ht="16.5" customHeight="1">
      <c r="A2261" s="64"/>
      <c r="B2261" s="98" t="s">
        <v>18264</v>
      </c>
      <c r="C2261" s="81"/>
      <c r="D2261" s="75"/>
      <c r="E2261" s="64"/>
      <c r="F2261" s="95"/>
      <c r="G2261" s="96"/>
      <c r="H2261" s="64"/>
      <c r="I2261" s="64"/>
      <c r="J2261" s="64"/>
      <c r="K2261" s="64"/>
      <c r="L2261" s="64"/>
    </row>
    <row r="2262" ht="16.5" customHeight="1">
      <c r="A2262" s="64"/>
      <c r="B2262" s="98" t="s">
        <v>18264</v>
      </c>
      <c r="C2262" s="81"/>
      <c r="D2262" s="75"/>
      <c r="E2262" s="64"/>
      <c r="F2262" s="95"/>
      <c r="G2262" s="96"/>
      <c r="H2262" s="64"/>
      <c r="I2262" s="64"/>
      <c r="J2262" s="64"/>
      <c r="K2262" s="64"/>
      <c r="L2262" s="64"/>
    </row>
    <row r="2263" ht="16.5" customHeight="1">
      <c r="A2263" s="64"/>
      <c r="B2263" s="98" t="s">
        <v>18264</v>
      </c>
      <c r="C2263" s="81"/>
      <c r="D2263" s="75"/>
      <c r="E2263" s="64"/>
      <c r="F2263" s="95"/>
      <c r="G2263" s="96"/>
      <c r="H2263" s="64"/>
      <c r="I2263" s="64"/>
      <c r="J2263" s="64"/>
      <c r="K2263" s="64"/>
      <c r="L2263" s="64"/>
    </row>
    <row r="2264" ht="16.5" customHeight="1">
      <c r="A2264" s="64"/>
      <c r="B2264" s="98" t="s">
        <v>18264</v>
      </c>
      <c r="C2264" s="81"/>
      <c r="D2264" s="75"/>
      <c r="E2264" s="64"/>
      <c r="F2264" s="95"/>
      <c r="G2264" s="96"/>
      <c r="H2264" s="64"/>
      <c r="I2264" s="64"/>
      <c r="J2264" s="64"/>
      <c r="K2264" s="64"/>
      <c r="L2264" s="64"/>
    </row>
    <row r="2265" ht="16.5" customHeight="1">
      <c r="A2265" s="64"/>
      <c r="B2265" s="98" t="s">
        <v>18264</v>
      </c>
      <c r="C2265" s="81"/>
      <c r="D2265" s="75"/>
      <c r="E2265" s="64"/>
      <c r="F2265" s="95"/>
      <c r="G2265" s="96"/>
      <c r="H2265" s="64"/>
      <c r="I2265" s="64"/>
      <c r="J2265" s="64"/>
      <c r="K2265" s="64"/>
      <c r="L2265" s="64"/>
    </row>
    <row r="2266" ht="16.5" customHeight="1">
      <c r="A2266" s="64"/>
      <c r="B2266" s="98" t="s">
        <v>18264</v>
      </c>
      <c r="C2266" s="81"/>
      <c r="D2266" s="75"/>
      <c r="E2266" s="64"/>
      <c r="F2266" s="95"/>
      <c r="G2266" s="96"/>
      <c r="H2266" s="64"/>
      <c r="I2266" s="64"/>
      <c r="J2266" s="64"/>
      <c r="K2266" s="64"/>
      <c r="L2266" s="64"/>
    </row>
    <row r="2267" ht="16.5" customHeight="1">
      <c r="A2267" s="64"/>
      <c r="B2267" s="98" t="s">
        <v>18264</v>
      </c>
      <c r="C2267" s="81"/>
      <c r="D2267" s="75"/>
      <c r="E2267" s="64"/>
      <c r="F2267" s="95"/>
      <c r="G2267" s="96"/>
      <c r="H2267" s="64"/>
      <c r="I2267" s="64"/>
      <c r="J2267" s="64"/>
      <c r="K2267" s="64"/>
      <c r="L2267" s="64"/>
    </row>
    <row r="2268" ht="16.5" customHeight="1">
      <c r="A2268" s="64"/>
      <c r="B2268" s="98" t="s">
        <v>18264</v>
      </c>
      <c r="C2268" s="81"/>
      <c r="D2268" s="75"/>
      <c r="E2268" s="64"/>
      <c r="F2268" s="95"/>
      <c r="G2268" s="96"/>
      <c r="H2268" s="64"/>
      <c r="I2268" s="64"/>
      <c r="J2268" s="64"/>
      <c r="K2268" s="64"/>
      <c r="L2268" s="64"/>
    </row>
    <row r="2269" ht="16.5" customHeight="1">
      <c r="A2269" s="64"/>
      <c r="B2269" s="98" t="s">
        <v>18264</v>
      </c>
      <c r="C2269" s="81"/>
      <c r="D2269" s="75"/>
      <c r="E2269" s="64"/>
      <c r="F2269" s="95"/>
      <c r="G2269" s="96"/>
      <c r="H2269" s="64"/>
      <c r="I2269" s="64"/>
      <c r="J2269" s="64"/>
      <c r="K2269" s="64"/>
      <c r="L2269" s="64"/>
    </row>
    <row r="2270" ht="16.5" customHeight="1">
      <c r="A2270" s="64"/>
      <c r="B2270" s="98" t="s">
        <v>18264</v>
      </c>
      <c r="C2270" s="81"/>
      <c r="D2270" s="75"/>
      <c r="E2270" s="64"/>
      <c r="F2270" s="95"/>
      <c r="G2270" s="96"/>
      <c r="H2270" s="64"/>
      <c r="I2270" s="64"/>
      <c r="J2270" s="64"/>
      <c r="K2270" s="64"/>
      <c r="L2270" s="64"/>
    </row>
    <row r="2271" ht="16.5" customHeight="1">
      <c r="A2271" s="64"/>
      <c r="B2271" s="98" t="s">
        <v>18264</v>
      </c>
      <c r="C2271" s="81"/>
      <c r="D2271" s="75"/>
      <c r="E2271" s="64"/>
      <c r="F2271" s="95"/>
      <c r="G2271" s="96"/>
      <c r="H2271" s="64"/>
      <c r="I2271" s="64"/>
      <c r="J2271" s="64"/>
      <c r="K2271" s="64"/>
      <c r="L2271" s="64"/>
    </row>
    <row r="2272" ht="16.5" customHeight="1">
      <c r="A2272" s="64"/>
      <c r="B2272" s="98" t="s">
        <v>18264</v>
      </c>
      <c r="C2272" s="81"/>
      <c r="D2272" s="75"/>
      <c r="E2272" s="64"/>
      <c r="F2272" s="95"/>
      <c r="G2272" s="96"/>
      <c r="H2272" s="64"/>
      <c r="I2272" s="64"/>
      <c r="J2272" s="64"/>
      <c r="K2272" s="64"/>
      <c r="L2272" s="64"/>
    </row>
    <row r="2273" ht="16.5" customHeight="1">
      <c r="A2273" s="64"/>
      <c r="B2273" s="98" t="s">
        <v>18264</v>
      </c>
      <c r="C2273" s="81"/>
      <c r="D2273" s="75"/>
      <c r="E2273" s="64"/>
      <c r="F2273" s="95"/>
      <c r="G2273" s="96"/>
      <c r="H2273" s="64"/>
      <c r="I2273" s="64"/>
      <c r="J2273" s="64"/>
      <c r="K2273" s="64"/>
      <c r="L2273" s="64"/>
    </row>
    <row r="2274" ht="16.5" customHeight="1">
      <c r="A2274" s="64"/>
      <c r="B2274" s="98" t="s">
        <v>18264</v>
      </c>
      <c r="C2274" s="81"/>
      <c r="D2274" s="75"/>
      <c r="E2274" s="64"/>
      <c r="F2274" s="95"/>
      <c r="G2274" s="96"/>
      <c r="H2274" s="64"/>
      <c r="I2274" s="64"/>
      <c r="J2274" s="64"/>
      <c r="K2274" s="64"/>
      <c r="L2274" s="64"/>
    </row>
    <row r="2275" ht="16.5" customHeight="1">
      <c r="A2275" s="64"/>
      <c r="B2275" s="98" t="s">
        <v>18264</v>
      </c>
      <c r="C2275" s="81"/>
      <c r="D2275" s="75"/>
      <c r="E2275" s="64"/>
      <c r="F2275" s="95"/>
      <c r="G2275" s="96"/>
      <c r="H2275" s="64"/>
      <c r="I2275" s="64"/>
      <c r="J2275" s="64"/>
      <c r="K2275" s="64"/>
      <c r="L2275" s="64"/>
    </row>
    <row r="2276" ht="16.5" customHeight="1">
      <c r="A2276" s="64"/>
      <c r="B2276" s="98" t="s">
        <v>18264</v>
      </c>
      <c r="C2276" s="81"/>
      <c r="D2276" s="75"/>
      <c r="E2276" s="64"/>
      <c r="F2276" s="95"/>
      <c r="G2276" s="96"/>
      <c r="H2276" s="64"/>
      <c r="I2276" s="64"/>
      <c r="J2276" s="64"/>
      <c r="K2276" s="64"/>
      <c r="L2276" s="64"/>
    </row>
    <row r="2277" ht="16.5" customHeight="1">
      <c r="A2277" s="64"/>
      <c r="B2277" s="98" t="s">
        <v>18264</v>
      </c>
      <c r="C2277" s="81"/>
      <c r="D2277" s="75"/>
      <c r="E2277" s="64"/>
      <c r="F2277" s="95"/>
      <c r="G2277" s="96"/>
      <c r="H2277" s="64"/>
      <c r="I2277" s="64"/>
      <c r="J2277" s="64"/>
      <c r="K2277" s="64"/>
      <c r="L2277" s="64"/>
    </row>
    <row r="2278" ht="16.5" customHeight="1">
      <c r="A2278" s="64"/>
      <c r="B2278" s="98" t="s">
        <v>18264</v>
      </c>
      <c r="C2278" s="81"/>
      <c r="D2278" s="75"/>
      <c r="E2278" s="64"/>
      <c r="F2278" s="95"/>
      <c r="G2278" s="96"/>
      <c r="H2278" s="64"/>
      <c r="I2278" s="64"/>
      <c r="J2278" s="64"/>
      <c r="K2278" s="64"/>
      <c r="L2278" s="64"/>
    </row>
    <row r="2279" ht="16.5" customHeight="1">
      <c r="A2279" s="64"/>
      <c r="B2279" s="98" t="s">
        <v>18264</v>
      </c>
      <c r="C2279" s="81"/>
      <c r="D2279" s="75"/>
      <c r="E2279" s="64"/>
      <c r="F2279" s="95"/>
      <c r="G2279" s="96"/>
      <c r="H2279" s="64"/>
      <c r="I2279" s="64"/>
      <c r="J2279" s="64"/>
      <c r="K2279" s="64"/>
      <c r="L2279" s="64"/>
    </row>
    <row r="2280" ht="16.5" customHeight="1">
      <c r="A2280" s="64"/>
      <c r="B2280" s="98" t="s">
        <v>18264</v>
      </c>
      <c r="C2280" s="81"/>
      <c r="D2280" s="75"/>
      <c r="E2280" s="64"/>
      <c r="F2280" s="95"/>
      <c r="G2280" s="96"/>
      <c r="H2280" s="64"/>
      <c r="I2280" s="64"/>
      <c r="J2280" s="64"/>
      <c r="K2280" s="64"/>
      <c r="L2280" s="64"/>
    </row>
    <row r="2281" ht="16.5" customHeight="1">
      <c r="A2281" s="64"/>
      <c r="B2281" s="98" t="s">
        <v>18264</v>
      </c>
      <c r="C2281" s="81"/>
      <c r="D2281" s="75"/>
      <c r="E2281" s="64"/>
      <c r="F2281" s="95"/>
      <c r="G2281" s="96"/>
      <c r="H2281" s="64"/>
      <c r="I2281" s="64"/>
      <c r="J2281" s="64"/>
      <c r="K2281" s="64"/>
      <c r="L2281" s="64"/>
    </row>
    <row r="2282" ht="16.5" customHeight="1">
      <c r="A2282" s="64"/>
      <c r="B2282" s="98" t="s">
        <v>18264</v>
      </c>
      <c r="C2282" s="81"/>
      <c r="D2282" s="75"/>
      <c r="E2282" s="64"/>
      <c r="F2282" s="95"/>
      <c r="G2282" s="96"/>
      <c r="H2282" s="64"/>
      <c r="I2282" s="64"/>
      <c r="J2282" s="64"/>
      <c r="K2282" s="64"/>
      <c r="L2282" s="64"/>
    </row>
    <row r="2283" ht="16.5" customHeight="1">
      <c r="A2283" s="64"/>
      <c r="B2283" s="98" t="s">
        <v>18264</v>
      </c>
      <c r="C2283" s="81"/>
      <c r="D2283" s="75"/>
      <c r="E2283" s="64"/>
      <c r="F2283" s="95"/>
      <c r="G2283" s="96"/>
      <c r="H2283" s="64"/>
      <c r="I2283" s="64"/>
      <c r="J2283" s="64"/>
      <c r="K2283" s="64"/>
      <c r="L2283" s="64"/>
    </row>
    <row r="2284" ht="16.5" customHeight="1">
      <c r="A2284" s="64"/>
      <c r="B2284" s="98" t="s">
        <v>18264</v>
      </c>
      <c r="C2284" s="81"/>
      <c r="D2284" s="75"/>
      <c r="E2284" s="64"/>
      <c r="F2284" s="95"/>
      <c r="G2284" s="96"/>
      <c r="H2284" s="64"/>
      <c r="I2284" s="64"/>
      <c r="J2284" s="64"/>
      <c r="K2284" s="64"/>
      <c r="L2284" s="64"/>
    </row>
    <row r="2285" ht="16.5" customHeight="1">
      <c r="A2285" s="64"/>
      <c r="B2285" s="98" t="s">
        <v>18264</v>
      </c>
      <c r="C2285" s="81"/>
      <c r="D2285" s="75"/>
      <c r="E2285" s="64"/>
      <c r="F2285" s="95"/>
      <c r="G2285" s="96"/>
      <c r="H2285" s="64"/>
      <c r="I2285" s="64"/>
      <c r="J2285" s="64"/>
      <c r="K2285" s="64"/>
      <c r="L2285" s="64"/>
    </row>
    <row r="2286" ht="16.5" customHeight="1">
      <c r="A2286" s="64"/>
      <c r="B2286" s="98" t="s">
        <v>18264</v>
      </c>
      <c r="C2286" s="81"/>
      <c r="D2286" s="75"/>
      <c r="E2286" s="64"/>
      <c r="F2286" s="95"/>
      <c r="G2286" s="96"/>
      <c r="H2286" s="64"/>
      <c r="I2286" s="64"/>
      <c r="J2286" s="64"/>
      <c r="K2286" s="64"/>
      <c r="L2286" s="64"/>
    </row>
    <row r="2287" ht="16.5" customHeight="1">
      <c r="A2287" s="64"/>
      <c r="B2287" s="98" t="s">
        <v>18264</v>
      </c>
      <c r="C2287" s="81"/>
      <c r="D2287" s="75"/>
      <c r="E2287" s="64"/>
      <c r="F2287" s="95"/>
      <c r="G2287" s="96"/>
      <c r="H2287" s="64"/>
      <c r="I2287" s="64"/>
      <c r="J2287" s="64"/>
      <c r="K2287" s="64"/>
      <c r="L2287" s="64"/>
    </row>
    <row r="2288" ht="16.5" customHeight="1">
      <c r="A2288" s="64"/>
      <c r="B2288" s="98" t="s">
        <v>18264</v>
      </c>
      <c r="C2288" s="81"/>
      <c r="D2288" s="75"/>
      <c r="E2288" s="64"/>
      <c r="F2288" s="95"/>
      <c r="G2288" s="96"/>
      <c r="H2288" s="64"/>
      <c r="I2288" s="64"/>
      <c r="J2288" s="64"/>
      <c r="K2288" s="64"/>
      <c r="L2288" s="64"/>
    </row>
    <row r="2289" ht="16.5" customHeight="1">
      <c r="A2289" s="64"/>
      <c r="B2289" s="98" t="s">
        <v>18264</v>
      </c>
      <c r="C2289" s="81"/>
      <c r="D2289" s="75"/>
      <c r="E2289" s="64"/>
      <c r="F2289" s="95"/>
      <c r="G2289" s="96"/>
      <c r="H2289" s="64"/>
      <c r="I2289" s="64"/>
      <c r="J2289" s="64"/>
      <c r="K2289" s="64"/>
      <c r="L2289" s="64"/>
    </row>
    <row r="2290" ht="16.5" customHeight="1">
      <c r="A2290" s="64"/>
      <c r="B2290" s="98" t="s">
        <v>18264</v>
      </c>
      <c r="C2290" s="81"/>
      <c r="D2290" s="75"/>
      <c r="E2290" s="64"/>
      <c r="F2290" s="95"/>
      <c r="G2290" s="96"/>
      <c r="H2290" s="64"/>
      <c r="I2290" s="64"/>
      <c r="J2290" s="64"/>
      <c r="K2290" s="64"/>
      <c r="L2290" s="64"/>
    </row>
    <row r="2291" ht="16.5" customHeight="1">
      <c r="A2291" s="64"/>
      <c r="B2291" s="98" t="s">
        <v>18264</v>
      </c>
      <c r="C2291" s="81"/>
      <c r="D2291" s="75"/>
      <c r="E2291" s="64"/>
      <c r="F2291" s="95"/>
      <c r="G2291" s="96"/>
      <c r="H2291" s="64"/>
      <c r="I2291" s="64"/>
      <c r="J2291" s="64"/>
      <c r="K2291" s="64"/>
      <c r="L2291" s="64"/>
    </row>
    <row r="2292" ht="16.5" customHeight="1">
      <c r="A2292" s="64"/>
      <c r="B2292" s="98" t="s">
        <v>18264</v>
      </c>
      <c r="C2292" s="81"/>
      <c r="D2292" s="75"/>
      <c r="E2292" s="64"/>
      <c r="F2292" s="95"/>
      <c r="G2292" s="96"/>
      <c r="H2292" s="64"/>
      <c r="I2292" s="64"/>
      <c r="J2292" s="64"/>
      <c r="K2292" s="64"/>
      <c r="L2292" s="64"/>
    </row>
    <row r="2293" ht="16.5" customHeight="1">
      <c r="A2293" s="64"/>
      <c r="B2293" s="98" t="s">
        <v>18264</v>
      </c>
      <c r="C2293" s="81"/>
      <c r="D2293" s="75"/>
      <c r="E2293" s="64"/>
      <c r="F2293" s="95"/>
      <c r="G2293" s="96"/>
      <c r="H2293" s="64"/>
      <c r="I2293" s="64"/>
      <c r="J2293" s="64"/>
      <c r="K2293" s="64"/>
      <c r="L2293" s="64"/>
    </row>
    <row r="2294" ht="16.5" customHeight="1">
      <c r="A2294" s="64"/>
      <c r="B2294" s="98" t="s">
        <v>18264</v>
      </c>
      <c r="C2294" s="81"/>
      <c r="D2294" s="75"/>
      <c r="E2294" s="64"/>
      <c r="F2294" s="95"/>
      <c r="G2294" s="96"/>
      <c r="H2294" s="64"/>
      <c r="I2294" s="64"/>
      <c r="J2294" s="64"/>
      <c r="K2294" s="64"/>
      <c r="L2294" s="64"/>
    </row>
    <row r="2295" ht="16.5" customHeight="1">
      <c r="A2295" s="64"/>
      <c r="B2295" s="98" t="s">
        <v>18264</v>
      </c>
      <c r="C2295" s="81"/>
      <c r="D2295" s="75"/>
      <c r="E2295" s="64"/>
      <c r="F2295" s="95"/>
      <c r="G2295" s="96"/>
      <c r="H2295" s="64"/>
      <c r="I2295" s="64"/>
      <c r="J2295" s="64"/>
      <c r="K2295" s="64"/>
      <c r="L2295" s="64"/>
    </row>
    <row r="2296" ht="16.5" customHeight="1">
      <c r="A2296" s="64"/>
      <c r="B2296" s="98" t="s">
        <v>18264</v>
      </c>
      <c r="C2296" s="81"/>
      <c r="D2296" s="75"/>
      <c r="E2296" s="64"/>
      <c r="F2296" s="95"/>
      <c r="G2296" s="96"/>
      <c r="H2296" s="64"/>
      <c r="I2296" s="64"/>
      <c r="J2296" s="64"/>
      <c r="K2296" s="64"/>
      <c r="L2296" s="64"/>
    </row>
    <row r="2297" ht="16.5" customHeight="1">
      <c r="A2297" s="64"/>
      <c r="B2297" s="98" t="s">
        <v>18264</v>
      </c>
      <c r="C2297" s="81"/>
      <c r="D2297" s="75"/>
      <c r="E2297" s="64"/>
      <c r="F2297" s="95"/>
      <c r="G2297" s="96"/>
      <c r="H2297" s="64"/>
      <c r="I2297" s="64"/>
      <c r="J2297" s="64"/>
      <c r="K2297" s="64"/>
      <c r="L2297" s="64"/>
    </row>
    <row r="2298" ht="16.5" customHeight="1">
      <c r="A2298" s="64"/>
      <c r="B2298" s="98" t="s">
        <v>18264</v>
      </c>
      <c r="C2298" s="81"/>
      <c r="D2298" s="75"/>
      <c r="E2298" s="64"/>
      <c r="F2298" s="95"/>
      <c r="G2298" s="96"/>
      <c r="H2298" s="64"/>
      <c r="I2298" s="64"/>
      <c r="J2298" s="64"/>
      <c r="K2298" s="64"/>
      <c r="L2298" s="64"/>
    </row>
    <row r="2299" ht="16.5" customHeight="1">
      <c r="A2299" s="64"/>
      <c r="B2299" s="98" t="s">
        <v>18264</v>
      </c>
      <c r="C2299" s="81"/>
      <c r="D2299" s="75"/>
      <c r="E2299" s="64"/>
      <c r="F2299" s="95"/>
      <c r="G2299" s="96"/>
      <c r="H2299" s="64"/>
      <c r="I2299" s="64"/>
      <c r="J2299" s="64"/>
      <c r="K2299" s="64"/>
      <c r="L2299" s="64"/>
    </row>
    <row r="2300" ht="16.5" customHeight="1">
      <c r="A2300" s="64"/>
      <c r="B2300" s="98" t="s">
        <v>18264</v>
      </c>
      <c r="C2300" s="81"/>
      <c r="D2300" s="75"/>
      <c r="E2300" s="64"/>
      <c r="F2300" s="95"/>
      <c r="G2300" s="96"/>
      <c r="H2300" s="64"/>
      <c r="I2300" s="64"/>
      <c r="J2300" s="64"/>
      <c r="K2300" s="64"/>
      <c r="L2300" s="64"/>
    </row>
    <row r="2301" ht="16.5" customHeight="1">
      <c r="A2301" s="64"/>
      <c r="B2301" s="98" t="s">
        <v>18264</v>
      </c>
      <c r="C2301" s="81"/>
      <c r="D2301" s="75"/>
      <c r="E2301" s="64"/>
      <c r="F2301" s="95"/>
      <c r="G2301" s="96"/>
      <c r="H2301" s="64"/>
      <c r="I2301" s="64"/>
      <c r="J2301" s="64"/>
      <c r="K2301" s="64"/>
      <c r="L2301" s="64"/>
    </row>
    <row r="2302" ht="16.5" customHeight="1">
      <c r="A2302" s="64"/>
      <c r="B2302" s="98" t="s">
        <v>18264</v>
      </c>
      <c r="C2302" s="81"/>
      <c r="D2302" s="75"/>
      <c r="E2302" s="64"/>
      <c r="F2302" s="95"/>
      <c r="G2302" s="96"/>
      <c r="H2302" s="64"/>
      <c r="I2302" s="64"/>
      <c r="J2302" s="64"/>
      <c r="K2302" s="64"/>
      <c r="L2302" s="64"/>
    </row>
    <row r="2303" ht="16.5" customHeight="1">
      <c r="A2303" s="64"/>
      <c r="B2303" s="98" t="s">
        <v>18264</v>
      </c>
      <c r="C2303" s="81"/>
      <c r="D2303" s="75"/>
      <c r="E2303" s="64"/>
      <c r="F2303" s="95"/>
      <c r="G2303" s="96"/>
      <c r="H2303" s="64"/>
      <c r="I2303" s="64"/>
      <c r="J2303" s="64"/>
      <c r="K2303" s="64"/>
      <c r="L2303" s="64"/>
    </row>
    <row r="2304" ht="16.5" customHeight="1">
      <c r="A2304" s="64"/>
      <c r="B2304" s="98" t="s">
        <v>18264</v>
      </c>
      <c r="C2304" s="81"/>
      <c r="D2304" s="75"/>
      <c r="E2304" s="64"/>
      <c r="F2304" s="95"/>
      <c r="G2304" s="96"/>
      <c r="H2304" s="64"/>
      <c r="I2304" s="64"/>
      <c r="J2304" s="64"/>
      <c r="K2304" s="64"/>
      <c r="L2304" s="64"/>
    </row>
    <row r="2305" ht="16.5" customHeight="1">
      <c r="A2305" s="64"/>
      <c r="B2305" s="98" t="s">
        <v>18264</v>
      </c>
      <c r="C2305" s="81"/>
      <c r="D2305" s="75"/>
      <c r="E2305" s="64"/>
      <c r="F2305" s="95"/>
      <c r="G2305" s="96"/>
      <c r="H2305" s="64"/>
      <c r="I2305" s="64"/>
      <c r="J2305" s="64"/>
      <c r="K2305" s="64"/>
      <c r="L2305" s="64"/>
    </row>
    <row r="2306" ht="16.5" customHeight="1">
      <c r="A2306" s="64"/>
      <c r="B2306" s="98" t="s">
        <v>18264</v>
      </c>
      <c r="C2306" s="81"/>
      <c r="D2306" s="75"/>
      <c r="E2306" s="64"/>
      <c r="F2306" s="95"/>
      <c r="G2306" s="96"/>
      <c r="H2306" s="64"/>
      <c r="I2306" s="64"/>
      <c r="J2306" s="64"/>
      <c r="K2306" s="64"/>
      <c r="L2306" s="64"/>
    </row>
    <row r="2307" ht="16.5" customHeight="1">
      <c r="A2307" s="64"/>
      <c r="B2307" s="98" t="s">
        <v>18264</v>
      </c>
      <c r="C2307" s="81"/>
      <c r="D2307" s="75"/>
      <c r="E2307" s="64"/>
      <c r="F2307" s="95"/>
      <c r="G2307" s="96"/>
      <c r="H2307" s="64"/>
      <c r="I2307" s="64"/>
      <c r="J2307" s="64"/>
      <c r="K2307" s="64"/>
      <c r="L2307" s="64"/>
    </row>
    <row r="2308" ht="16.5" customHeight="1">
      <c r="A2308" s="64"/>
      <c r="B2308" s="98" t="s">
        <v>18264</v>
      </c>
      <c r="C2308" s="81"/>
      <c r="D2308" s="75"/>
      <c r="E2308" s="64"/>
      <c r="F2308" s="95"/>
      <c r="G2308" s="96"/>
      <c r="H2308" s="64"/>
      <c r="I2308" s="64"/>
      <c r="J2308" s="64"/>
      <c r="K2308" s="64"/>
      <c r="L2308" s="64"/>
    </row>
    <row r="2309" ht="16.5" customHeight="1">
      <c r="A2309" s="64"/>
      <c r="B2309" s="98" t="s">
        <v>18264</v>
      </c>
      <c r="C2309" s="81"/>
      <c r="D2309" s="75"/>
      <c r="E2309" s="64"/>
      <c r="F2309" s="95"/>
      <c r="G2309" s="96"/>
      <c r="H2309" s="64"/>
      <c r="I2309" s="64"/>
      <c r="J2309" s="64"/>
      <c r="K2309" s="64"/>
      <c r="L2309" s="64"/>
    </row>
    <row r="2310" ht="16.5" customHeight="1">
      <c r="A2310" s="64"/>
      <c r="B2310" s="98" t="s">
        <v>18264</v>
      </c>
      <c r="C2310" s="81"/>
      <c r="D2310" s="75"/>
      <c r="E2310" s="64"/>
      <c r="F2310" s="95"/>
      <c r="G2310" s="96"/>
      <c r="H2310" s="64"/>
      <c r="I2310" s="64"/>
      <c r="J2310" s="64"/>
      <c r="K2310" s="64"/>
      <c r="L2310" s="64"/>
    </row>
    <row r="2311" ht="16.5" customHeight="1">
      <c r="A2311" s="64"/>
      <c r="B2311" s="98" t="s">
        <v>18264</v>
      </c>
      <c r="C2311" s="81"/>
      <c r="D2311" s="75"/>
      <c r="E2311" s="64"/>
      <c r="F2311" s="95"/>
      <c r="G2311" s="96"/>
      <c r="H2311" s="64"/>
      <c r="I2311" s="64"/>
      <c r="J2311" s="64"/>
      <c r="K2311" s="64"/>
      <c r="L2311" s="64"/>
    </row>
    <row r="2312" ht="16.5" customHeight="1">
      <c r="A2312" s="64"/>
      <c r="B2312" s="98" t="s">
        <v>18264</v>
      </c>
      <c r="C2312" s="81"/>
      <c r="D2312" s="75"/>
      <c r="E2312" s="64"/>
      <c r="F2312" s="95"/>
      <c r="G2312" s="96"/>
      <c r="H2312" s="64"/>
      <c r="I2312" s="64"/>
      <c r="J2312" s="64"/>
      <c r="K2312" s="64"/>
      <c r="L2312" s="64"/>
    </row>
    <row r="2313" ht="16.5" customHeight="1">
      <c r="A2313" s="64"/>
      <c r="B2313" s="98" t="s">
        <v>18264</v>
      </c>
      <c r="C2313" s="81"/>
      <c r="D2313" s="75"/>
      <c r="E2313" s="64"/>
      <c r="F2313" s="95"/>
      <c r="G2313" s="96"/>
      <c r="H2313" s="64"/>
      <c r="I2313" s="64"/>
      <c r="J2313" s="64"/>
      <c r="K2313" s="64"/>
      <c r="L2313" s="64"/>
    </row>
    <row r="2314" ht="16.5" customHeight="1">
      <c r="A2314" s="64"/>
      <c r="B2314" s="98" t="s">
        <v>18264</v>
      </c>
      <c r="C2314" s="81"/>
      <c r="D2314" s="75"/>
      <c r="E2314" s="64"/>
      <c r="F2314" s="95"/>
      <c r="G2314" s="96"/>
      <c r="H2314" s="64"/>
      <c r="I2314" s="64"/>
      <c r="J2314" s="64"/>
      <c r="K2314" s="64"/>
      <c r="L2314" s="64"/>
    </row>
    <row r="2315" ht="16.5" customHeight="1">
      <c r="A2315" s="64"/>
      <c r="B2315" s="98" t="s">
        <v>18264</v>
      </c>
      <c r="C2315" s="81"/>
      <c r="D2315" s="75"/>
      <c r="E2315" s="64"/>
      <c r="F2315" s="95"/>
      <c r="G2315" s="96"/>
      <c r="H2315" s="64"/>
      <c r="I2315" s="64"/>
      <c r="J2315" s="64"/>
      <c r="K2315" s="64"/>
      <c r="L2315" s="64"/>
    </row>
    <row r="2316" ht="16.5" customHeight="1">
      <c r="A2316" s="64"/>
      <c r="B2316" s="98" t="s">
        <v>18264</v>
      </c>
      <c r="C2316" s="81"/>
      <c r="D2316" s="75"/>
      <c r="E2316" s="64"/>
      <c r="F2316" s="95"/>
      <c r="G2316" s="96"/>
      <c r="H2316" s="64"/>
      <c r="I2316" s="64"/>
      <c r="J2316" s="64"/>
      <c r="K2316" s="64"/>
      <c r="L2316" s="64"/>
    </row>
    <row r="2317" ht="16.5" customHeight="1">
      <c r="A2317" s="64"/>
      <c r="B2317" s="98" t="s">
        <v>18264</v>
      </c>
      <c r="C2317" s="81"/>
      <c r="D2317" s="75"/>
      <c r="E2317" s="64"/>
      <c r="F2317" s="95"/>
      <c r="G2317" s="96"/>
      <c r="H2317" s="64"/>
      <c r="I2317" s="64"/>
      <c r="J2317" s="64"/>
      <c r="K2317" s="64"/>
      <c r="L2317" s="64"/>
    </row>
    <row r="2318" ht="16.5" customHeight="1">
      <c r="A2318" s="64"/>
      <c r="B2318" s="98" t="s">
        <v>18264</v>
      </c>
      <c r="C2318" s="81"/>
      <c r="D2318" s="75"/>
      <c r="E2318" s="64"/>
      <c r="F2318" s="95"/>
      <c r="G2318" s="96"/>
      <c r="H2318" s="64"/>
      <c r="I2318" s="64"/>
      <c r="J2318" s="64"/>
      <c r="K2318" s="64"/>
      <c r="L2318" s="64"/>
    </row>
    <row r="2319" ht="16.5" customHeight="1">
      <c r="A2319" s="64"/>
      <c r="B2319" s="98" t="s">
        <v>18264</v>
      </c>
      <c r="C2319" s="81"/>
      <c r="D2319" s="75"/>
      <c r="E2319" s="64"/>
      <c r="F2319" s="95"/>
      <c r="G2319" s="96"/>
      <c r="H2319" s="64"/>
      <c r="I2319" s="64"/>
      <c r="J2319" s="64"/>
      <c r="K2319" s="64"/>
      <c r="L2319" s="64"/>
    </row>
    <row r="2320" ht="16.5" customHeight="1">
      <c r="A2320" s="64"/>
      <c r="B2320" s="98" t="s">
        <v>18264</v>
      </c>
      <c r="C2320" s="81"/>
      <c r="D2320" s="75"/>
      <c r="E2320" s="64"/>
      <c r="F2320" s="95"/>
      <c r="G2320" s="96"/>
      <c r="H2320" s="64"/>
      <c r="I2320" s="64"/>
      <c r="J2320" s="64"/>
      <c r="K2320" s="64"/>
      <c r="L2320" s="64"/>
    </row>
    <row r="2321" ht="16.5" customHeight="1">
      <c r="A2321" s="64"/>
      <c r="B2321" s="98" t="s">
        <v>18264</v>
      </c>
      <c r="C2321" s="81"/>
      <c r="D2321" s="75"/>
      <c r="E2321" s="64"/>
      <c r="F2321" s="95"/>
      <c r="G2321" s="96"/>
      <c r="H2321" s="64"/>
      <c r="I2321" s="64"/>
      <c r="J2321" s="64"/>
      <c r="K2321" s="64"/>
      <c r="L2321" s="64"/>
    </row>
    <row r="2322" ht="16.5" customHeight="1">
      <c r="A2322" s="64"/>
      <c r="B2322" s="98" t="s">
        <v>18264</v>
      </c>
      <c r="C2322" s="81"/>
      <c r="D2322" s="75"/>
      <c r="E2322" s="64"/>
      <c r="F2322" s="95"/>
      <c r="G2322" s="96"/>
      <c r="H2322" s="64"/>
      <c r="I2322" s="64"/>
      <c r="J2322" s="64"/>
      <c r="K2322" s="64"/>
      <c r="L2322" s="64"/>
    </row>
    <row r="2323" ht="16.5" customHeight="1">
      <c r="A2323" s="64"/>
      <c r="B2323" s="98" t="s">
        <v>18264</v>
      </c>
      <c r="C2323" s="81"/>
      <c r="D2323" s="75"/>
      <c r="E2323" s="64"/>
      <c r="F2323" s="95"/>
      <c r="G2323" s="96"/>
      <c r="H2323" s="64"/>
      <c r="I2323" s="64"/>
      <c r="J2323" s="64"/>
      <c r="K2323" s="64"/>
      <c r="L2323" s="64"/>
    </row>
    <row r="2324" ht="16.5" customHeight="1">
      <c r="A2324" s="64"/>
      <c r="B2324" s="98" t="s">
        <v>18264</v>
      </c>
      <c r="C2324" s="81"/>
      <c r="D2324" s="75"/>
      <c r="E2324" s="64"/>
      <c r="F2324" s="95"/>
      <c r="G2324" s="96"/>
      <c r="H2324" s="64"/>
      <c r="I2324" s="64"/>
      <c r="J2324" s="64"/>
      <c r="K2324" s="64"/>
      <c r="L2324" s="64"/>
    </row>
    <row r="2325" ht="16.5" customHeight="1">
      <c r="A2325" s="64"/>
      <c r="B2325" s="98" t="s">
        <v>18264</v>
      </c>
      <c r="C2325" s="81"/>
      <c r="D2325" s="75"/>
      <c r="E2325" s="64"/>
      <c r="F2325" s="95"/>
      <c r="G2325" s="96"/>
      <c r="H2325" s="64"/>
      <c r="I2325" s="64"/>
      <c r="J2325" s="64"/>
      <c r="K2325" s="64"/>
      <c r="L2325" s="64"/>
    </row>
    <row r="2326" ht="16.5" customHeight="1">
      <c r="A2326" s="64"/>
      <c r="B2326" s="98" t="s">
        <v>18264</v>
      </c>
      <c r="C2326" s="81"/>
      <c r="D2326" s="75"/>
      <c r="E2326" s="64"/>
      <c r="F2326" s="95"/>
      <c r="G2326" s="96"/>
      <c r="H2326" s="64"/>
      <c r="I2326" s="64"/>
      <c r="J2326" s="64"/>
      <c r="K2326" s="64"/>
      <c r="L2326" s="64"/>
    </row>
    <row r="2327" ht="16.5" customHeight="1">
      <c r="A2327" s="64"/>
      <c r="B2327" s="98" t="s">
        <v>18264</v>
      </c>
      <c r="C2327" s="81"/>
      <c r="D2327" s="75"/>
      <c r="E2327" s="64"/>
      <c r="F2327" s="95"/>
      <c r="G2327" s="96"/>
      <c r="H2327" s="64"/>
      <c r="I2327" s="64"/>
      <c r="J2327" s="64"/>
      <c r="K2327" s="64"/>
      <c r="L2327" s="64"/>
    </row>
    <row r="2328" ht="16.5" customHeight="1">
      <c r="A2328" s="64"/>
      <c r="B2328" s="98" t="s">
        <v>18264</v>
      </c>
      <c r="C2328" s="81"/>
      <c r="D2328" s="75"/>
      <c r="E2328" s="64"/>
      <c r="F2328" s="95"/>
      <c r="G2328" s="96"/>
      <c r="H2328" s="64"/>
      <c r="I2328" s="64"/>
      <c r="J2328" s="64"/>
      <c r="K2328" s="64"/>
      <c r="L2328" s="64"/>
    </row>
    <row r="2329" ht="16.5" customHeight="1">
      <c r="A2329" s="64"/>
      <c r="B2329" s="98" t="s">
        <v>18264</v>
      </c>
      <c r="C2329" s="81"/>
      <c r="D2329" s="75"/>
      <c r="E2329" s="64"/>
      <c r="F2329" s="95"/>
      <c r="G2329" s="96"/>
      <c r="H2329" s="64"/>
      <c r="I2329" s="64"/>
      <c r="J2329" s="64"/>
      <c r="K2329" s="64"/>
      <c r="L2329" s="64"/>
    </row>
    <row r="2330" ht="16.5" customHeight="1">
      <c r="A2330" s="64"/>
      <c r="B2330" s="98" t="s">
        <v>18264</v>
      </c>
      <c r="C2330" s="81"/>
      <c r="D2330" s="75"/>
      <c r="E2330" s="64"/>
      <c r="F2330" s="95"/>
      <c r="G2330" s="96"/>
      <c r="H2330" s="64"/>
      <c r="I2330" s="64"/>
      <c r="J2330" s="64"/>
      <c r="K2330" s="64"/>
      <c r="L2330" s="64"/>
    </row>
    <row r="2331" ht="16.5" customHeight="1">
      <c r="A2331" s="64"/>
      <c r="B2331" s="98" t="s">
        <v>18264</v>
      </c>
      <c r="C2331" s="81"/>
      <c r="D2331" s="75"/>
      <c r="E2331" s="64"/>
      <c r="F2331" s="95"/>
      <c r="G2331" s="96"/>
      <c r="H2331" s="64"/>
      <c r="I2331" s="64"/>
      <c r="J2331" s="64"/>
      <c r="K2331" s="64"/>
      <c r="L2331" s="64"/>
    </row>
    <row r="2332" ht="16.5" customHeight="1">
      <c r="A2332" s="64"/>
      <c r="B2332" s="98" t="s">
        <v>18264</v>
      </c>
      <c r="C2332" s="81"/>
      <c r="D2332" s="75"/>
      <c r="E2332" s="64"/>
      <c r="F2332" s="95"/>
      <c r="G2332" s="96"/>
      <c r="H2332" s="64"/>
      <c r="I2332" s="64"/>
      <c r="J2332" s="64"/>
      <c r="K2332" s="64"/>
      <c r="L2332" s="64"/>
    </row>
    <row r="2333" ht="16.5" customHeight="1">
      <c r="A2333" s="64"/>
      <c r="B2333" s="98" t="s">
        <v>18264</v>
      </c>
      <c r="C2333" s="81"/>
      <c r="D2333" s="75"/>
      <c r="E2333" s="64"/>
      <c r="F2333" s="95"/>
      <c r="G2333" s="96"/>
      <c r="H2333" s="64"/>
      <c r="I2333" s="64"/>
      <c r="J2333" s="64"/>
      <c r="K2333" s="64"/>
      <c r="L2333" s="64"/>
    </row>
    <row r="2334" ht="16.5" customHeight="1">
      <c r="A2334" s="64"/>
      <c r="B2334" s="98" t="s">
        <v>18264</v>
      </c>
      <c r="C2334" s="81"/>
      <c r="D2334" s="75"/>
      <c r="E2334" s="64"/>
      <c r="F2334" s="95"/>
      <c r="G2334" s="96"/>
      <c r="H2334" s="64"/>
      <c r="I2334" s="64"/>
      <c r="J2334" s="64"/>
      <c r="K2334" s="64"/>
      <c r="L2334" s="64"/>
    </row>
    <row r="2335" ht="16.5" customHeight="1">
      <c r="A2335" s="64"/>
      <c r="B2335" s="98" t="s">
        <v>18264</v>
      </c>
      <c r="C2335" s="81"/>
      <c r="D2335" s="75"/>
      <c r="E2335" s="64"/>
      <c r="F2335" s="95"/>
      <c r="G2335" s="96"/>
      <c r="H2335" s="64"/>
      <c r="I2335" s="64"/>
      <c r="J2335" s="64"/>
      <c r="K2335" s="64"/>
      <c r="L2335" s="64"/>
    </row>
    <row r="2336" ht="16.5" customHeight="1">
      <c r="A2336" s="64"/>
      <c r="B2336" s="98" t="s">
        <v>18264</v>
      </c>
      <c r="C2336" s="81"/>
      <c r="D2336" s="75"/>
      <c r="E2336" s="64"/>
      <c r="F2336" s="95"/>
      <c r="G2336" s="96"/>
      <c r="H2336" s="64"/>
      <c r="I2336" s="64"/>
      <c r="J2336" s="64"/>
      <c r="K2336" s="64"/>
      <c r="L2336" s="64"/>
    </row>
    <row r="2337" ht="16.5" customHeight="1">
      <c r="A2337" s="64"/>
      <c r="B2337" s="98" t="s">
        <v>18264</v>
      </c>
      <c r="C2337" s="81"/>
      <c r="D2337" s="75"/>
      <c r="E2337" s="64"/>
      <c r="F2337" s="95"/>
      <c r="G2337" s="96"/>
      <c r="H2337" s="64"/>
      <c r="I2337" s="64"/>
      <c r="J2337" s="64"/>
      <c r="K2337" s="64"/>
      <c r="L2337" s="64"/>
    </row>
    <row r="2338" ht="16.5" customHeight="1">
      <c r="A2338" s="64"/>
      <c r="B2338" s="98" t="s">
        <v>18264</v>
      </c>
      <c r="C2338" s="81"/>
      <c r="D2338" s="75"/>
      <c r="E2338" s="64"/>
      <c r="F2338" s="95"/>
      <c r="G2338" s="96"/>
      <c r="H2338" s="64"/>
      <c r="I2338" s="64"/>
      <c r="J2338" s="64"/>
      <c r="K2338" s="64"/>
      <c r="L2338" s="64"/>
    </row>
    <row r="2339" ht="16.5" customHeight="1">
      <c r="A2339" s="64"/>
      <c r="B2339" s="98" t="s">
        <v>18264</v>
      </c>
      <c r="C2339" s="81"/>
      <c r="D2339" s="75"/>
      <c r="E2339" s="64"/>
      <c r="F2339" s="95"/>
      <c r="G2339" s="96"/>
      <c r="H2339" s="64"/>
      <c r="I2339" s="64"/>
      <c r="J2339" s="64"/>
      <c r="K2339" s="64"/>
      <c r="L2339" s="64"/>
    </row>
    <row r="2340" ht="16.5" customHeight="1">
      <c r="A2340" s="64"/>
      <c r="B2340" s="98" t="s">
        <v>18264</v>
      </c>
      <c r="C2340" s="81"/>
      <c r="D2340" s="75"/>
      <c r="E2340" s="64"/>
      <c r="F2340" s="95"/>
      <c r="G2340" s="96"/>
      <c r="H2340" s="64"/>
      <c r="I2340" s="64"/>
      <c r="J2340" s="64"/>
      <c r="K2340" s="64"/>
      <c r="L2340" s="64"/>
    </row>
    <row r="2341" ht="16.5" customHeight="1">
      <c r="A2341" s="64"/>
      <c r="B2341" s="98" t="s">
        <v>18264</v>
      </c>
      <c r="C2341" s="81"/>
      <c r="D2341" s="75"/>
      <c r="E2341" s="64"/>
      <c r="F2341" s="95"/>
      <c r="G2341" s="96"/>
      <c r="H2341" s="64"/>
      <c r="I2341" s="64"/>
      <c r="J2341" s="64"/>
      <c r="K2341" s="64"/>
      <c r="L2341" s="64"/>
    </row>
    <row r="2342" ht="16.5" customHeight="1">
      <c r="A2342" s="64"/>
      <c r="B2342" s="98" t="s">
        <v>18264</v>
      </c>
      <c r="C2342" s="81"/>
      <c r="D2342" s="75"/>
      <c r="E2342" s="64"/>
      <c r="F2342" s="95"/>
      <c r="G2342" s="96"/>
      <c r="H2342" s="64"/>
      <c r="I2342" s="64"/>
      <c r="J2342" s="64"/>
      <c r="K2342" s="64"/>
      <c r="L2342" s="64"/>
    </row>
    <row r="2343" ht="16.5" customHeight="1">
      <c r="A2343" s="64"/>
      <c r="B2343" s="98" t="s">
        <v>18264</v>
      </c>
      <c r="C2343" s="81"/>
      <c r="D2343" s="75"/>
      <c r="E2343" s="64"/>
      <c r="F2343" s="95"/>
      <c r="G2343" s="96"/>
      <c r="H2343" s="64"/>
      <c r="I2343" s="64"/>
      <c r="J2343" s="64"/>
      <c r="K2343" s="64"/>
      <c r="L2343" s="64"/>
    </row>
    <row r="2344" ht="16.5" customHeight="1">
      <c r="A2344" s="64"/>
      <c r="B2344" s="98" t="s">
        <v>18264</v>
      </c>
      <c r="C2344" s="81"/>
      <c r="D2344" s="75"/>
      <c r="E2344" s="64"/>
      <c r="F2344" s="95"/>
      <c r="G2344" s="96"/>
      <c r="H2344" s="64"/>
      <c r="I2344" s="64"/>
      <c r="J2344" s="64"/>
      <c r="K2344" s="64"/>
      <c r="L2344" s="64"/>
    </row>
    <row r="2345" ht="16.5" customHeight="1">
      <c r="A2345" s="64"/>
      <c r="B2345" s="98" t="s">
        <v>18264</v>
      </c>
      <c r="C2345" s="81"/>
      <c r="D2345" s="75"/>
      <c r="E2345" s="64"/>
      <c r="F2345" s="95"/>
      <c r="G2345" s="96"/>
      <c r="H2345" s="64"/>
      <c r="I2345" s="64"/>
      <c r="J2345" s="64"/>
      <c r="K2345" s="64"/>
      <c r="L2345" s="64"/>
    </row>
    <row r="2346" ht="16.5" customHeight="1">
      <c r="A2346" s="64"/>
      <c r="B2346" s="98" t="s">
        <v>18264</v>
      </c>
      <c r="C2346" s="81"/>
      <c r="D2346" s="75"/>
      <c r="E2346" s="64"/>
      <c r="F2346" s="95"/>
      <c r="G2346" s="96"/>
      <c r="H2346" s="64"/>
      <c r="I2346" s="64"/>
      <c r="J2346" s="64"/>
      <c r="K2346" s="64"/>
      <c r="L2346" s="64"/>
    </row>
    <row r="2347" ht="16.5" customHeight="1">
      <c r="A2347" s="64"/>
      <c r="B2347" s="98" t="s">
        <v>18264</v>
      </c>
      <c r="C2347" s="81"/>
      <c r="D2347" s="75"/>
      <c r="E2347" s="64"/>
      <c r="F2347" s="95"/>
      <c r="G2347" s="96"/>
      <c r="H2347" s="64"/>
      <c r="I2347" s="64"/>
      <c r="J2347" s="64"/>
      <c r="K2347" s="64"/>
      <c r="L2347" s="64"/>
    </row>
    <row r="2348" ht="16.5" customHeight="1">
      <c r="A2348" s="64"/>
      <c r="B2348" s="98" t="s">
        <v>18264</v>
      </c>
      <c r="C2348" s="81"/>
      <c r="D2348" s="75"/>
      <c r="E2348" s="64"/>
      <c r="F2348" s="95"/>
      <c r="G2348" s="96"/>
      <c r="H2348" s="64"/>
      <c r="I2348" s="64"/>
      <c r="J2348" s="64"/>
      <c r="K2348" s="64"/>
      <c r="L2348" s="64"/>
    </row>
    <row r="2349" ht="16.5" customHeight="1">
      <c r="A2349" s="64"/>
      <c r="B2349" s="98" t="s">
        <v>18264</v>
      </c>
      <c r="C2349" s="81"/>
      <c r="D2349" s="75"/>
      <c r="E2349" s="64"/>
      <c r="F2349" s="95"/>
      <c r="G2349" s="96"/>
      <c r="H2349" s="64"/>
      <c r="I2349" s="64"/>
      <c r="J2349" s="64"/>
      <c r="K2349" s="64"/>
      <c r="L2349" s="64"/>
    </row>
    <row r="2350" ht="16.5" customHeight="1">
      <c r="A2350" s="64"/>
      <c r="B2350" s="98" t="s">
        <v>18264</v>
      </c>
      <c r="C2350" s="81"/>
      <c r="D2350" s="75"/>
      <c r="E2350" s="64"/>
      <c r="F2350" s="95"/>
      <c r="G2350" s="96"/>
      <c r="H2350" s="64"/>
      <c r="I2350" s="64"/>
      <c r="J2350" s="64"/>
      <c r="K2350" s="64"/>
      <c r="L2350" s="64"/>
    </row>
    <row r="2351" ht="16.5" customHeight="1">
      <c r="A2351" s="64"/>
      <c r="B2351" s="98" t="s">
        <v>18264</v>
      </c>
      <c r="C2351" s="81"/>
      <c r="D2351" s="75"/>
      <c r="E2351" s="64"/>
      <c r="F2351" s="95"/>
      <c r="G2351" s="96"/>
      <c r="H2351" s="64"/>
      <c r="I2351" s="64"/>
      <c r="J2351" s="64"/>
      <c r="K2351" s="64"/>
      <c r="L2351" s="64"/>
    </row>
    <row r="2352" ht="16.5" customHeight="1">
      <c r="A2352" s="64"/>
      <c r="B2352" s="98" t="s">
        <v>18264</v>
      </c>
      <c r="C2352" s="81"/>
      <c r="D2352" s="75"/>
      <c r="E2352" s="64"/>
      <c r="F2352" s="95"/>
      <c r="G2352" s="96"/>
      <c r="H2352" s="64"/>
      <c r="I2352" s="64"/>
      <c r="J2352" s="64"/>
      <c r="K2352" s="64"/>
      <c r="L2352" s="64"/>
    </row>
    <row r="2353" ht="16.5" customHeight="1">
      <c r="A2353" s="64"/>
      <c r="B2353" s="98" t="s">
        <v>18264</v>
      </c>
      <c r="C2353" s="81"/>
      <c r="D2353" s="75"/>
      <c r="E2353" s="64"/>
      <c r="F2353" s="95"/>
      <c r="G2353" s="96"/>
      <c r="H2353" s="64"/>
      <c r="I2353" s="64"/>
      <c r="J2353" s="64"/>
      <c r="K2353" s="64"/>
      <c r="L2353" s="64"/>
    </row>
    <row r="2354" ht="16.5" customHeight="1">
      <c r="A2354" s="64"/>
      <c r="B2354" s="98" t="s">
        <v>18264</v>
      </c>
      <c r="C2354" s="81"/>
      <c r="D2354" s="75"/>
      <c r="E2354" s="64"/>
      <c r="F2354" s="95"/>
      <c r="G2354" s="96"/>
      <c r="H2354" s="64"/>
      <c r="I2354" s="64"/>
      <c r="J2354" s="64"/>
      <c r="K2354" s="64"/>
      <c r="L2354" s="64"/>
    </row>
    <row r="2355" ht="16.5" customHeight="1">
      <c r="A2355" s="64"/>
      <c r="B2355" s="98" t="s">
        <v>18264</v>
      </c>
      <c r="C2355" s="81"/>
      <c r="D2355" s="75"/>
      <c r="E2355" s="64"/>
      <c r="F2355" s="95"/>
      <c r="G2355" s="96"/>
      <c r="H2355" s="64"/>
      <c r="I2355" s="64"/>
      <c r="J2355" s="64"/>
      <c r="K2355" s="64"/>
      <c r="L2355" s="64"/>
    </row>
    <row r="2356" ht="16.5" customHeight="1">
      <c r="A2356" s="64"/>
      <c r="B2356" s="98" t="s">
        <v>18264</v>
      </c>
      <c r="C2356" s="81"/>
      <c r="D2356" s="75"/>
      <c r="E2356" s="64"/>
      <c r="F2356" s="95"/>
      <c r="G2356" s="96"/>
      <c r="H2356" s="64"/>
      <c r="I2356" s="64"/>
      <c r="J2356" s="64"/>
      <c r="K2356" s="64"/>
      <c r="L2356" s="64"/>
    </row>
    <row r="2357" ht="16.5" customHeight="1">
      <c r="A2357" s="64"/>
      <c r="B2357" s="98" t="s">
        <v>18264</v>
      </c>
      <c r="C2357" s="81"/>
      <c r="D2357" s="75"/>
      <c r="E2357" s="64"/>
      <c r="F2357" s="95"/>
      <c r="G2357" s="96"/>
      <c r="H2357" s="64"/>
      <c r="I2357" s="64"/>
      <c r="J2357" s="64"/>
      <c r="K2357" s="64"/>
      <c r="L2357" s="64"/>
    </row>
    <row r="2358" ht="16.5" customHeight="1">
      <c r="A2358" s="64"/>
      <c r="B2358" s="98" t="s">
        <v>18264</v>
      </c>
      <c r="C2358" s="81"/>
      <c r="D2358" s="75"/>
      <c r="E2358" s="64"/>
      <c r="F2358" s="95"/>
      <c r="G2358" s="96"/>
      <c r="H2358" s="64"/>
      <c r="I2358" s="64"/>
      <c r="J2358" s="64"/>
      <c r="K2358" s="64"/>
      <c r="L2358" s="64"/>
    </row>
    <row r="2359" ht="16.5" customHeight="1">
      <c r="A2359" s="64"/>
      <c r="B2359" s="98" t="s">
        <v>18264</v>
      </c>
      <c r="C2359" s="81"/>
      <c r="D2359" s="75"/>
      <c r="E2359" s="64"/>
      <c r="F2359" s="95"/>
      <c r="G2359" s="96"/>
      <c r="H2359" s="64"/>
      <c r="I2359" s="64"/>
      <c r="J2359" s="64"/>
      <c r="K2359" s="64"/>
      <c r="L2359" s="64"/>
    </row>
    <row r="2360" ht="16.5" customHeight="1">
      <c r="A2360" s="64"/>
      <c r="B2360" s="98" t="s">
        <v>18264</v>
      </c>
      <c r="C2360" s="81"/>
      <c r="D2360" s="75"/>
      <c r="E2360" s="64"/>
      <c r="F2360" s="95"/>
      <c r="G2360" s="96"/>
      <c r="H2360" s="64"/>
      <c r="I2360" s="64"/>
      <c r="J2360" s="64"/>
      <c r="K2360" s="64"/>
      <c r="L2360" s="64"/>
    </row>
    <row r="2361" ht="16.5" customHeight="1">
      <c r="A2361" s="64"/>
      <c r="B2361" s="98" t="s">
        <v>18264</v>
      </c>
      <c r="C2361" s="81"/>
      <c r="D2361" s="75"/>
      <c r="E2361" s="64"/>
      <c r="F2361" s="95"/>
      <c r="G2361" s="96"/>
      <c r="H2361" s="64"/>
      <c r="I2361" s="64"/>
      <c r="J2361" s="64"/>
      <c r="K2361" s="64"/>
      <c r="L2361" s="64"/>
    </row>
    <row r="2362" ht="16.5" customHeight="1">
      <c r="A2362" s="64"/>
      <c r="B2362" s="98" t="s">
        <v>18264</v>
      </c>
      <c r="C2362" s="81"/>
      <c r="D2362" s="75"/>
      <c r="E2362" s="64"/>
      <c r="F2362" s="95"/>
      <c r="G2362" s="96"/>
      <c r="H2362" s="64"/>
      <c r="I2362" s="64"/>
      <c r="J2362" s="64"/>
      <c r="K2362" s="64"/>
      <c r="L2362" s="64"/>
    </row>
    <row r="2363" ht="16.5" customHeight="1">
      <c r="A2363" s="64"/>
      <c r="B2363" s="98" t="s">
        <v>18264</v>
      </c>
      <c r="C2363" s="81"/>
      <c r="D2363" s="75"/>
      <c r="E2363" s="64"/>
      <c r="F2363" s="95"/>
      <c r="G2363" s="96"/>
      <c r="H2363" s="64"/>
      <c r="I2363" s="64"/>
      <c r="J2363" s="64"/>
      <c r="K2363" s="64"/>
      <c r="L2363" s="64"/>
    </row>
    <row r="2364" ht="16.5" customHeight="1">
      <c r="A2364" s="64"/>
      <c r="B2364" s="98" t="s">
        <v>18264</v>
      </c>
      <c r="C2364" s="81"/>
      <c r="D2364" s="75"/>
      <c r="E2364" s="64"/>
      <c r="F2364" s="95"/>
      <c r="G2364" s="96"/>
      <c r="H2364" s="64"/>
      <c r="I2364" s="64"/>
      <c r="J2364" s="64"/>
      <c r="K2364" s="64"/>
      <c r="L2364" s="64"/>
    </row>
    <row r="2365" ht="16.5" customHeight="1">
      <c r="A2365" s="64"/>
      <c r="B2365" s="98" t="s">
        <v>18264</v>
      </c>
      <c r="C2365" s="81"/>
      <c r="D2365" s="75"/>
      <c r="E2365" s="64"/>
      <c r="F2365" s="95"/>
      <c r="G2365" s="96"/>
      <c r="H2365" s="64"/>
      <c r="I2365" s="64"/>
      <c r="J2365" s="64"/>
      <c r="K2365" s="64"/>
      <c r="L2365" s="64"/>
    </row>
    <row r="2366" ht="16.5" customHeight="1">
      <c r="A2366" s="64"/>
      <c r="B2366" s="98" t="s">
        <v>18264</v>
      </c>
      <c r="C2366" s="81"/>
      <c r="D2366" s="75"/>
      <c r="E2366" s="64"/>
      <c r="F2366" s="95"/>
      <c r="G2366" s="96"/>
      <c r="H2366" s="64"/>
      <c r="I2366" s="64"/>
      <c r="J2366" s="64"/>
      <c r="K2366" s="64"/>
      <c r="L2366" s="64"/>
    </row>
    <row r="2367" ht="16.5" customHeight="1">
      <c r="A2367" s="64"/>
      <c r="B2367" s="98" t="s">
        <v>18264</v>
      </c>
      <c r="C2367" s="81"/>
      <c r="D2367" s="75"/>
      <c r="E2367" s="64"/>
      <c r="F2367" s="95"/>
      <c r="G2367" s="96"/>
      <c r="H2367" s="64"/>
      <c r="I2367" s="64"/>
      <c r="J2367" s="64"/>
      <c r="K2367" s="64"/>
      <c r="L2367" s="64"/>
    </row>
    <row r="2368" ht="16.5" customHeight="1">
      <c r="A2368" s="64"/>
      <c r="B2368" s="98" t="s">
        <v>18264</v>
      </c>
      <c r="C2368" s="81"/>
      <c r="D2368" s="75"/>
      <c r="E2368" s="64"/>
      <c r="F2368" s="95"/>
      <c r="G2368" s="96"/>
      <c r="H2368" s="64"/>
      <c r="I2368" s="64"/>
      <c r="J2368" s="64"/>
      <c r="K2368" s="64"/>
      <c r="L2368" s="64"/>
    </row>
    <row r="2369" ht="16.5" customHeight="1">
      <c r="A2369" s="64"/>
      <c r="B2369" s="98" t="s">
        <v>18264</v>
      </c>
      <c r="C2369" s="81"/>
      <c r="D2369" s="75"/>
      <c r="E2369" s="64"/>
      <c r="F2369" s="95"/>
      <c r="G2369" s="96"/>
      <c r="H2369" s="64"/>
      <c r="I2369" s="64"/>
      <c r="J2369" s="64"/>
      <c r="K2369" s="64"/>
      <c r="L2369" s="64"/>
    </row>
    <row r="2370" ht="16.5" customHeight="1">
      <c r="A2370" s="64"/>
      <c r="B2370" s="98" t="s">
        <v>18264</v>
      </c>
      <c r="C2370" s="81"/>
      <c r="D2370" s="75"/>
      <c r="E2370" s="64"/>
      <c r="F2370" s="95"/>
      <c r="G2370" s="96"/>
      <c r="H2370" s="64"/>
      <c r="I2370" s="64"/>
      <c r="J2370" s="64"/>
      <c r="K2370" s="64"/>
      <c r="L2370" s="64"/>
    </row>
    <row r="2371" ht="16.5" customHeight="1">
      <c r="A2371" s="64"/>
      <c r="B2371" s="98" t="s">
        <v>18264</v>
      </c>
      <c r="C2371" s="81"/>
      <c r="D2371" s="75"/>
      <c r="E2371" s="64"/>
      <c r="F2371" s="95"/>
      <c r="G2371" s="96"/>
      <c r="H2371" s="64"/>
      <c r="I2371" s="64"/>
      <c r="J2371" s="64"/>
      <c r="K2371" s="64"/>
      <c r="L2371" s="64"/>
    </row>
    <row r="2372" ht="16.5" customHeight="1">
      <c r="A2372" s="64"/>
      <c r="B2372" s="98" t="s">
        <v>18264</v>
      </c>
      <c r="C2372" s="81"/>
      <c r="D2372" s="75"/>
      <c r="E2372" s="64"/>
      <c r="F2372" s="95"/>
      <c r="G2372" s="96"/>
      <c r="H2372" s="64"/>
      <c r="I2372" s="64"/>
      <c r="J2372" s="64"/>
      <c r="K2372" s="64"/>
      <c r="L2372" s="64"/>
    </row>
    <row r="2373" ht="16.5" customHeight="1">
      <c r="A2373" s="64"/>
      <c r="B2373" s="98" t="s">
        <v>18264</v>
      </c>
      <c r="C2373" s="81"/>
      <c r="D2373" s="75"/>
      <c r="E2373" s="64"/>
      <c r="F2373" s="95"/>
      <c r="G2373" s="96"/>
      <c r="H2373" s="64"/>
      <c r="I2373" s="64"/>
      <c r="J2373" s="64"/>
      <c r="K2373" s="64"/>
      <c r="L2373" s="64"/>
    </row>
    <row r="2374" ht="16.5" customHeight="1">
      <c r="A2374" s="64"/>
      <c r="B2374" s="98" t="s">
        <v>18264</v>
      </c>
      <c r="C2374" s="81"/>
      <c r="D2374" s="75"/>
      <c r="E2374" s="64"/>
      <c r="F2374" s="95"/>
      <c r="G2374" s="96"/>
      <c r="H2374" s="64"/>
      <c r="I2374" s="64"/>
      <c r="J2374" s="64"/>
      <c r="K2374" s="64"/>
      <c r="L2374" s="64"/>
    </row>
    <row r="2375" ht="16.5" customHeight="1">
      <c r="A2375" s="64"/>
      <c r="B2375" s="98" t="s">
        <v>18264</v>
      </c>
      <c r="C2375" s="81"/>
      <c r="D2375" s="75"/>
      <c r="E2375" s="64"/>
      <c r="F2375" s="95"/>
      <c r="G2375" s="96"/>
      <c r="H2375" s="64"/>
      <c r="I2375" s="64"/>
      <c r="J2375" s="64"/>
      <c r="K2375" s="64"/>
      <c r="L2375" s="64"/>
    </row>
    <row r="2376" ht="16.5" customHeight="1">
      <c r="A2376" s="64"/>
      <c r="B2376" s="98" t="s">
        <v>18264</v>
      </c>
      <c r="C2376" s="81"/>
      <c r="D2376" s="75"/>
      <c r="E2376" s="64"/>
      <c r="F2376" s="95"/>
      <c r="G2376" s="96"/>
      <c r="H2376" s="64"/>
      <c r="I2376" s="64"/>
      <c r="J2376" s="64"/>
      <c r="K2376" s="64"/>
      <c r="L2376" s="64"/>
    </row>
    <row r="2377" ht="16.5" customHeight="1">
      <c r="A2377" s="64"/>
      <c r="B2377" s="98" t="s">
        <v>18264</v>
      </c>
      <c r="C2377" s="81"/>
      <c r="D2377" s="75"/>
      <c r="E2377" s="64"/>
      <c r="F2377" s="95"/>
      <c r="G2377" s="96"/>
      <c r="H2377" s="64"/>
      <c r="I2377" s="64"/>
      <c r="J2377" s="64"/>
      <c r="K2377" s="64"/>
      <c r="L2377" s="64"/>
    </row>
    <row r="2378" ht="16.5" customHeight="1">
      <c r="A2378" s="64"/>
      <c r="B2378" s="98" t="s">
        <v>18264</v>
      </c>
      <c r="C2378" s="81"/>
      <c r="D2378" s="75"/>
      <c r="E2378" s="64"/>
      <c r="F2378" s="95"/>
      <c r="G2378" s="96"/>
      <c r="H2378" s="64"/>
      <c r="I2378" s="64"/>
      <c r="J2378" s="64"/>
      <c r="K2378" s="64"/>
      <c r="L2378" s="64"/>
    </row>
    <row r="2379" ht="16.5" customHeight="1">
      <c r="A2379" s="64"/>
      <c r="B2379" s="98" t="s">
        <v>18264</v>
      </c>
      <c r="C2379" s="81"/>
      <c r="D2379" s="75"/>
      <c r="E2379" s="64"/>
      <c r="F2379" s="95"/>
      <c r="G2379" s="96"/>
      <c r="H2379" s="64"/>
      <c r="I2379" s="64"/>
      <c r="J2379" s="64"/>
      <c r="K2379" s="64"/>
      <c r="L2379" s="64"/>
    </row>
    <row r="2380" ht="16.5" customHeight="1">
      <c r="A2380" s="64"/>
      <c r="B2380" s="98" t="s">
        <v>18264</v>
      </c>
      <c r="C2380" s="81"/>
      <c r="D2380" s="75"/>
      <c r="E2380" s="64"/>
      <c r="F2380" s="95"/>
      <c r="G2380" s="96"/>
      <c r="H2380" s="64"/>
      <c r="I2380" s="64"/>
      <c r="J2380" s="64"/>
      <c r="K2380" s="64"/>
      <c r="L2380" s="64"/>
    </row>
    <row r="2381" ht="16.5" customHeight="1">
      <c r="A2381" s="64"/>
      <c r="B2381" s="98" t="s">
        <v>18264</v>
      </c>
      <c r="C2381" s="81"/>
      <c r="D2381" s="75"/>
      <c r="E2381" s="64"/>
      <c r="F2381" s="95"/>
      <c r="G2381" s="96"/>
      <c r="H2381" s="64"/>
      <c r="I2381" s="64"/>
      <c r="J2381" s="64"/>
      <c r="K2381" s="64"/>
      <c r="L2381" s="64"/>
    </row>
    <row r="2382" ht="16.5" customHeight="1">
      <c r="A2382" s="64"/>
      <c r="B2382" s="98" t="s">
        <v>18264</v>
      </c>
      <c r="C2382" s="81"/>
      <c r="D2382" s="75"/>
      <c r="E2382" s="64"/>
      <c r="F2382" s="95"/>
      <c r="G2382" s="96"/>
      <c r="H2382" s="64"/>
      <c r="I2382" s="64"/>
      <c r="J2382" s="64"/>
      <c r="K2382" s="64"/>
      <c r="L2382" s="64"/>
    </row>
    <row r="2383" ht="16.5" customHeight="1">
      <c r="A2383" s="64"/>
      <c r="B2383" s="98" t="s">
        <v>18264</v>
      </c>
      <c r="C2383" s="81"/>
      <c r="D2383" s="75"/>
      <c r="E2383" s="64"/>
      <c r="F2383" s="95"/>
      <c r="G2383" s="96"/>
      <c r="H2383" s="64"/>
      <c r="I2383" s="64"/>
      <c r="J2383" s="64"/>
      <c r="K2383" s="64"/>
      <c r="L2383" s="64"/>
    </row>
    <row r="2384" ht="16.5" customHeight="1">
      <c r="A2384" s="64"/>
      <c r="B2384" s="98" t="s">
        <v>18264</v>
      </c>
      <c r="C2384" s="81"/>
      <c r="D2384" s="75"/>
      <c r="E2384" s="64"/>
      <c r="F2384" s="95"/>
      <c r="G2384" s="96"/>
      <c r="H2384" s="64"/>
      <c r="I2384" s="64"/>
      <c r="J2384" s="64"/>
      <c r="K2384" s="64"/>
      <c r="L2384" s="64"/>
    </row>
    <row r="2385" ht="16.5" customHeight="1">
      <c r="A2385" s="64"/>
      <c r="B2385" s="98" t="s">
        <v>18264</v>
      </c>
      <c r="C2385" s="81"/>
      <c r="D2385" s="75"/>
      <c r="E2385" s="64"/>
      <c r="F2385" s="95"/>
      <c r="G2385" s="96"/>
      <c r="H2385" s="64"/>
      <c r="I2385" s="64"/>
      <c r="J2385" s="64"/>
      <c r="K2385" s="64"/>
      <c r="L2385" s="64"/>
    </row>
    <row r="2386" ht="16.5" customHeight="1">
      <c r="A2386" s="64"/>
      <c r="B2386" s="98" t="s">
        <v>18264</v>
      </c>
      <c r="C2386" s="81"/>
      <c r="D2386" s="75"/>
      <c r="E2386" s="64"/>
      <c r="F2386" s="95"/>
      <c r="G2386" s="96"/>
      <c r="H2386" s="64"/>
      <c r="I2386" s="64"/>
      <c r="J2386" s="64"/>
      <c r="K2386" s="64"/>
      <c r="L2386" s="64"/>
    </row>
    <row r="2387" ht="16.5" customHeight="1">
      <c r="A2387" s="64"/>
      <c r="B2387" s="98" t="s">
        <v>18264</v>
      </c>
      <c r="C2387" s="81"/>
      <c r="D2387" s="75"/>
      <c r="E2387" s="64"/>
      <c r="F2387" s="95"/>
      <c r="G2387" s="96"/>
      <c r="H2387" s="64"/>
      <c r="I2387" s="64"/>
      <c r="J2387" s="64"/>
      <c r="K2387" s="64"/>
      <c r="L2387" s="64"/>
    </row>
    <row r="2388" ht="16.5" customHeight="1">
      <c r="A2388" s="64"/>
      <c r="B2388" s="98" t="s">
        <v>18264</v>
      </c>
      <c r="C2388" s="81"/>
      <c r="D2388" s="75"/>
      <c r="E2388" s="64"/>
      <c r="F2388" s="95"/>
      <c r="G2388" s="96"/>
      <c r="H2388" s="64"/>
      <c r="I2388" s="64"/>
      <c r="J2388" s="64"/>
      <c r="K2388" s="64"/>
      <c r="L2388" s="64"/>
    </row>
    <row r="2389" ht="16.5" customHeight="1">
      <c r="A2389" s="64"/>
      <c r="B2389" s="98" t="s">
        <v>18264</v>
      </c>
      <c r="C2389" s="81"/>
      <c r="D2389" s="75"/>
      <c r="E2389" s="64"/>
      <c r="F2389" s="95"/>
      <c r="G2389" s="96"/>
      <c r="H2389" s="64"/>
      <c r="I2389" s="64"/>
      <c r="J2389" s="64"/>
      <c r="K2389" s="64"/>
      <c r="L2389" s="64"/>
    </row>
    <row r="2390" ht="16.5" customHeight="1">
      <c r="A2390" s="64"/>
      <c r="B2390" s="98" t="s">
        <v>18264</v>
      </c>
      <c r="C2390" s="81"/>
      <c r="D2390" s="75"/>
      <c r="E2390" s="64"/>
      <c r="F2390" s="95"/>
      <c r="G2390" s="96"/>
      <c r="H2390" s="64"/>
      <c r="I2390" s="64"/>
      <c r="J2390" s="64"/>
      <c r="K2390" s="64"/>
      <c r="L2390" s="64"/>
    </row>
    <row r="2391" ht="16.5" customHeight="1">
      <c r="A2391" s="64"/>
      <c r="B2391" s="98" t="s">
        <v>18264</v>
      </c>
      <c r="C2391" s="81"/>
      <c r="D2391" s="75"/>
      <c r="E2391" s="64"/>
      <c r="F2391" s="95"/>
      <c r="G2391" s="96"/>
      <c r="H2391" s="64"/>
      <c r="I2391" s="64"/>
      <c r="J2391" s="64"/>
      <c r="K2391" s="64"/>
      <c r="L2391" s="64"/>
    </row>
    <row r="2392" ht="16.5" customHeight="1">
      <c r="A2392" s="64"/>
      <c r="B2392" s="98" t="s">
        <v>18264</v>
      </c>
      <c r="C2392" s="81"/>
      <c r="D2392" s="75"/>
      <c r="E2392" s="64"/>
      <c r="F2392" s="95"/>
      <c r="G2392" s="96"/>
      <c r="H2392" s="64"/>
      <c r="I2392" s="64"/>
      <c r="J2392" s="64"/>
      <c r="K2392" s="64"/>
      <c r="L2392" s="64"/>
    </row>
    <row r="2393" ht="16.5" customHeight="1">
      <c r="A2393" s="64"/>
      <c r="B2393" s="98" t="s">
        <v>18264</v>
      </c>
      <c r="C2393" s="81"/>
      <c r="D2393" s="75"/>
      <c r="E2393" s="64"/>
      <c r="F2393" s="95"/>
      <c r="G2393" s="96"/>
      <c r="H2393" s="64"/>
      <c r="I2393" s="64"/>
      <c r="J2393" s="64"/>
      <c r="K2393" s="64"/>
      <c r="L2393" s="64"/>
    </row>
    <row r="2394" ht="16.5" customHeight="1">
      <c r="A2394" s="64"/>
      <c r="B2394" s="98" t="s">
        <v>18264</v>
      </c>
      <c r="C2394" s="81"/>
      <c r="D2394" s="75"/>
      <c r="E2394" s="64"/>
      <c r="F2394" s="95"/>
      <c r="G2394" s="96"/>
      <c r="H2394" s="64"/>
      <c r="I2394" s="64"/>
      <c r="J2394" s="64"/>
      <c r="K2394" s="64"/>
      <c r="L2394" s="64"/>
    </row>
    <row r="2395" ht="16.5" customHeight="1">
      <c r="A2395" s="64"/>
      <c r="B2395" s="98" t="s">
        <v>18264</v>
      </c>
      <c r="C2395" s="81"/>
      <c r="D2395" s="75"/>
      <c r="E2395" s="64"/>
      <c r="F2395" s="95"/>
      <c r="G2395" s="96"/>
      <c r="H2395" s="64"/>
      <c r="I2395" s="64"/>
      <c r="J2395" s="64"/>
      <c r="K2395" s="64"/>
      <c r="L2395" s="64"/>
    </row>
    <row r="2396" ht="16.5" customHeight="1">
      <c r="A2396" s="64"/>
      <c r="B2396" s="98" t="s">
        <v>18264</v>
      </c>
      <c r="C2396" s="81"/>
      <c r="D2396" s="75"/>
      <c r="E2396" s="64"/>
      <c r="F2396" s="95"/>
      <c r="G2396" s="96"/>
      <c r="H2396" s="64"/>
      <c r="I2396" s="64"/>
      <c r="J2396" s="64"/>
      <c r="K2396" s="64"/>
      <c r="L2396" s="64"/>
    </row>
    <row r="2397" ht="16.5" customHeight="1">
      <c r="A2397" s="64"/>
      <c r="B2397" s="98" t="s">
        <v>18264</v>
      </c>
      <c r="C2397" s="81"/>
      <c r="D2397" s="75"/>
      <c r="E2397" s="64"/>
      <c r="F2397" s="95"/>
      <c r="G2397" s="96"/>
      <c r="H2397" s="64"/>
      <c r="I2397" s="64"/>
      <c r="J2397" s="64"/>
      <c r="K2397" s="64"/>
      <c r="L2397" s="64"/>
    </row>
    <row r="2398" ht="16.5" customHeight="1">
      <c r="A2398" s="64"/>
      <c r="B2398" s="98" t="s">
        <v>18264</v>
      </c>
      <c r="C2398" s="81"/>
      <c r="D2398" s="75"/>
      <c r="E2398" s="64"/>
      <c r="F2398" s="95"/>
      <c r="G2398" s="96"/>
      <c r="H2398" s="64"/>
      <c r="I2398" s="64"/>
      <c r="J2398" s="64"/>
      <c r="K2398" s="64"/>
      <c r="L2398" s="64"/>
    </row>
    <row r="2399" ht="16.5" customHeight="1">
      <c r="A2399" s="64"/>
      <c r="B2399" s="98" t="s">
        <v>18264</v>
      </c>
      <c r="C2399" s="81"/>
      <c r="D2399" s="75"/>
      <c r="E2399" s="64"/>
      <c r="F2399" s="95"/>
      <c r="G2399" s="96"/>
      <c r="H2399" s="64"/>
      <c r="I2399" s="64"/>
      <c r="J2399" s="64"/>
      <c r="K2399" s="64"/>
      <c r="L2399" s="64"/>
    </row>
    <row r="2400" ht="16.5" customHeight="1">
      <c r="A2400" s="64"/>
      <c r="B2400" s="98" t="s">
        <v>18264</v>
      </c>
      <c r="C2400" s="81"/>
      <c r="D2400" s="75"/>
      <c r="E2400" s="64"/>
      <c r="F2400" s="95"/>
      <c r="G2400" s="96"/>
      <c r="H2400" s="64"/>
      <c r="I2400" s="64"/>
      <c r="J2400" s="64"/>
      <c r="K2400" s="64"/>
      <c r="L2400" s="64"/>
    </row>
    <row r="2401" ht="16.5" customHeight="1">
      <c r="A2401" s="64"/>
      <c r="B2401" s="98" t="s">
        <v>18264</v>
      </c>
      <c r="C2401" s="81"/>
      <c r="D2401" s="75"/>
      <c r="E2401" s="64"/>
      <c r="F2401" s="95"/>
      <c r="G2401" s="96"/>
      <c r="H2401" s="64"/>
      <c r="I2401" s="64"/>
      <c r="J2401" s="64"/>
      <c r="K2401" s="64"/>
      <c r="L2401" s="64"/>
    </row>
    <row r="2402" ht="16.5" customHeight="1">
      <c r="A2402" s="64"/>
      <c r="B2402" s="98" t="s">
        <v>18264</v>
      </c>
      <c r="C2402" s="81"/>
      <c r="D2402" s="75"/>
      <c r="E2402" s="64"/>
      <c r="F2402" s="95"/>
      <c r="G2402" s="96"/>
      <c r="H2402" s="64"/>
      <c r="I2402" s="64"/>
      <c r="J2402" s="64"/>
      <c r="K2402" s="64"/>
      <c r="L2402" s="64"/>
    </row>
    <row r="2403" ht="16.5" customHeight="1">
      <c r="A2403" s="64"/>
      <c r="B2403" s="98" t="s">
        <v>18264</v>
      </c>
      <c r="C2403" s="81"/>
      <c r="D2403" s="75"/>
      <c r="E2403" s="64"/>
      <c r="F2403" s="95"/>
      <c r="G2403" s="96"/>
      <c r="H2403" s="64"/>
      <c r="I2403" s="64"/>
      <c r="J2403" s="64"/>
      <c r="K2403" s="64"/>
      <c r="L2403" s="64"/>
    </row>
    <row r="2404" ht="16.5" customHeight="1">
      <c r="A2404" s="64"/>
      <c r="B2404" s="98" t="s">
        <v>18264</v>
      </c>
      <c r="C2404" s="81"/>
      <c r="D2404" s="75"/>
      <c r="E2404" s="64"/>
      <c r="F2404" s="95"/>
      <c r="G2404" s="96"/>
      <c r="H2404" s="64"/>
      <c r="I2404" s="64"/>
      <c r="J2404" s="64"/>
      <c r="K2404" s="64"/>
      <c r="L2404" s="64"/>
    </row>
    <row r="2405" ht="16.5" customHeight="1">
      <c r="A2405" s="64"/>
      <c r="B2405" s="98" t="s">
        <v>18264</v>
      </c>
      <c r="C2405" s="81"/>
      <c r="D2405" s="75"/>
      <c r="E2405" s="64"/>
      <c r="F2405" s="95"/>
      <c r="G2405" s="96"/>
      <c r="H2405" s="64"/>
      <c r="I2405" s="64"/>
      <c r="J2405" s="64"/>
      <c r="K2405" s="64"/>
      <c r="L2405" s="64"/>
    </row>
    <row r="2406" ht="16.5" customHeight="1">
      <c r="A2406" s="64"/>
      <c r="B2406" s="98" t="s">
        <v>18264</v>
      </c>
      <c r="C2406" s="81"/>
      <c r="D2406" s="75"/>
      <c r="E2406" s="64"/>
      <c r="F2406" s="95"/>
      <c r="G2406" s="96"/>
      <c r="H2406" s="64"/>
      <c r="I2406" s="64"/>
      <c r="J2406" s="64"/>
      <c r="K2406" s="64"/>
      <c r="L2406" s="64"/>
    </row>
    <row r="2407" ht="16.5" customHeight="1">
      <c r="A2407" s="64"/>
      <c r="B2407" s="98" t="s">
        <v>18264</v>
      </c>
      <c r="C2407" s="81"/>
      <c r="D2407" s="75"/>
      <c r="E2407" s="64"/>
      <c r="F2407" s="95"/>
      <c r="G2407" s="96"/>
      <c r="H2407" s="64"/>
      <c r="I2407" s="64"/>
      <c r="J2407" s="64"/>
      <c r="K2407" s="64"/>
      <c r="L2407" s="64"/>
    </row>
    <row r="2408" ht="16.5" customHeight="1">
      <c r="A2408" s="64"/>
      <c r="B2408" s="98" t="s">
        <v>18264</v>
      </c>
      <c r="C2408" s="81"/>
      <c r="D2408" s="75"/>
      <c r="E2408" s="64"/>
      <c r="F2408" s="95"/>
      <c r="G2408" s="96"/>
      <c r="H2408" s="64"/>
      <c r="I2408" s="64"/>
      <c r="J2408" s="64"/>
      <c r="K2408" s="64"/>
      <c r="L2408" s="64"/>
    </row>
    <row r="2409" ht="16.5" customHeight="1">
      <c r="A2409" s="64"/>
      <c r="B2409" s="98" t="s">
        <v>18264</v>
      </c>
      <c r="C2409" s="81"/>
      <c r="D2409" s="75"/>
      <c r="E2409" s="64"/>
      <c r="F2409" s="95"/>
      <c r="G2409" s="96"/>
      <c r="H2409" s="64"/>
      <c r="I2409" s="64"/>
      <c r="J2409" s="64"/>
      <c r="K2409" s="64"/>
      <c r="L2409" s="64"/>
    </row>
    <row r="2410" ht="16.5" customHeight="1">
      <c r="A2410" s="64"/>
      <c r="B2410" s="98" t="s">
        <v>18264</v>
      </c>
      <c r="C2410" s="81"/>
      <c r="D2410" s="75"/>
      <c r="E2410" s="64"/>
      <c r="F2410" s="95"/>
      <c r="G2410" s="96"/>
      <c r="H2410" s="64"/>
      <c r="I2410" s="64"/>
      <c r="J2410" s="64"/>
      <c r="K2410" s="64"/>
      <c r="L2410" s="64"/>
    </row>
    <row r="2411" ht="16.5" customHeight="1">
      <c r="A2411" s="64"/>
      <c r="B2411" s="98" t="s">
        <v>18264</v>
      </c>
      <c r="C2411" s="81"/>
      <c r="D2411" s="75"/>
      <c r="E2411" s="64"/>
      <c r="F2411" s="95"/>
      <c r="G2411" s="96"/>
      <c r="H2411" s="64"/>
      <c r="I2411" s="64"/>
      <c r="J2411" s="64"/>
      <c r="K2411" s="64"/>
      <c r="L2411" s="64"/>
    </row>
    <row r="2412" ht="16.5" customHeight="1">
      <c r="A2412" s="64"/>
      <c r="B2412" s="98" t="s">
        <v>18264</v>
      </c>
      <c r="C2412" s="81"/>
      <c r="D2412" s="75"/>
      <c r="E2412" s="64"/>
      <c r="F2412" s="95"/>
      <c r="G2412" s="96"/>
      <c r="H2412" s="64"/>
      <c r="I2412" s="64"/>
      <c r="J2412" s="64"/>
      <c r="K2412" s="64"/>
      <c r="L2412" s="64"/>
    </row>
    <row r="2413" ht="16.5" customHeight="1">
      <c r="A2413" s="64"/>
      <c r="B2413" s="98" t="s">
        <v>18264</v>
      </c>
      <c r="C2413" s="81"/>
      <c r="D2413" s="75"/>
      <c r="E2413" s="64"/>
      <c r="F2413" s="95"/>
      <c r="G2413" s="96"/>
      <c r="H2413" s="64"/>
      <c r="I2413" s="64"/>
      <c r="J2413" s="64"/>
      <c r="K2413" s="64"/>
      <c r="L2413" s="64"/>
    </row>
    <row r="2414" ht="16.5" customHeight="1">
      <c r="A2414" s="64"/>
      <c r="B2414" s="98" t="s">
        <v>18264</v>
      </c>
      <c r="C2414" s="81"/>
      <c r="D2414" s="75"/>
      <c r="E2414" s="64"/>
      <c r="F2414" s="95"/>
      <c r="G2414" s="96"/>
      <c r="H2414" s="64"/>
      <c r="I2414" s="64"/>
      <c r="J2414" s="64"/>
      <c r="K2414" s="64"/>
      <c r="L2414" s="64"/>
    </row>
    <row r="2415" ht="16.5" customHeight="1">
      <c r="A2415" s="64"/>
      <c r="B2415" s="98" t="s">
        <v>18264</v>
      </c>
      <c r="C2415" s="81"/>
      <c r="D2415" s="75"/>
      <c r="E2415" s="64"/>
      <c r="F2415" s="95"/>
      <c r="G2415" s="96"/>
      <c r="H2415" s="64"/>
      <c r="I2415" s="64"/>
      <c r="J2415" s="64"/>
      <c r="K2415" s="64"/>
      <c r="L2415" s="64"/>
    </row>
    <row r="2416" ht="16.5" customHeight="1">
      <c r="A2416" s="64"/>
      <c r="B2416" s="98" t="s">
        <v>18264</v>
      </c>
      <c r="C2416" s="81"/>
      <c r="D2416" s="75"/>
      <c r="E2416" s="64"/>
      <c r="F2416" s="95"/>
      <c r="G2416" s="96"/>
      <c r="H2416" s="64"/>
      <c r="I2416" s="64"/>
      <c r="J2416" s="64"/>
      <c r="K2416" s="64"/>
      <c r="L2416" s="64"/>
    </row>
    <row r="2417" ht="16.5" customHeight="1">
      <c r="A2417" s="64"/>
      <c r="B2417" s="98" t="s">
        <v>18264</v>
      </c>
      <c r="C2417" s="81"/>
      <c r="D2417" s="75"/>
      <c r="E2417" s="64"/>
      <c r="F2417" s="95"/>
      <c r="G2417" s="96"/>
      <c r="H2417" s="64"/>
      <c r="I2417" s="64"/>
      <c r="J2417" s="64"/>
      <c r="K2417" s="64"/>
      <c r="L2417" s="64"/>
    </row>
    <row r="2418" ht="16.5" customHeight="1">
      <c r="A2418" s="64"/>
      <c r="B2418" s="98" t="s">
        <v>18264</v>
      </c>
      <c r="C2418" s="81"/>
      <c r="D2418" s="75"/>
      <c r="E2418" s="64"/>
      <c r="F2418" s="95"/>
      <c r="G2418" s="96"/>
      <c r="H2418" s="64"/>
      <c r="I2418" s="64"/>
      <c r="J2418" s="64"/>
      <c r="K2418" s="64"/>
      <c r="L2418" s="64"/>
    </row>
    <row r="2419" ht="16.5" customHeight="1">
      <c r="A2419" s="64"/>
      <c r="B2419" s="98" t="s">
        <v>18264</v>
      </c>
      <c r="C2419" s="81"/>
      <c r="D2419" s="75"/>
      <c r="E2419" s="64"/>
      <c r="F2419" s="95"/>
      <c r="G2419" s="96"/>
      <c r="H2419" s="64"/>
      <c r="I2419" s="64"/>
      <c r="J2419" s="64"/>
      <c r="K2419" s="64"/>
      <c r="L2419" s="64"/>
    </row>
    <row r="2420" ht="16.5" customHeight="1">
      <c r="A2420" s="64"/>
      <c r="B2420" s="98" t="s">
        <v>18264</v>
      </c>
      <c r="C2420" s="81"/>
      <c r="D2420" s="75"/>
      <c r="E2420" s="64"/>
      <c r="F2420" s="95"/>
      <c r="G2420" s="96"/>
      <c r="H2420" s="64"/>
      <c r="I2420" s="64"/>
      <c r="J2420" s="64"/>
      <c r="K2420" s="64"/>
      <c r="L2420" s="64"/>
    </row>
    <row r="2421" ht="16.5" customHeight="1">
      <c r="A2421" s="64"/>
      <c r="B2421" s="98" t="s">
        <v>18264</v>
      </c>
      <c r="C2421" s="81"/>
      <c r="D2421" s="75"/>
      <c r="E2421" s="64"/>
      <c r="F2421" s="95"/>
      <c r="G2421" s="96"/>
      <c r="H2421" s="64"/>
      <c r="I2421" s="64"/>
      <c r="J2421" s="64"/>
      <c r="K2421" s="64"/>
      <c r="L2421" s="64"/>
    </row>
    <row r="2422" ht="16.5" customHeight="1">
      <c r="A2422" s="64"/>
      <c r="B2422" s="98" t="s">
        <v>18264</v>
      </c>
      <c r="C2422" s="81"/>
      <c r="D2422" s="75"/>
      <c r="E2422" s="64"/>
      <c r="F2422" s="95"/>
      <c r="G2422" s="96"/>
      <c r="H2422" s="64"/>
      <c r="I2422" s="64"/>
      <c r="J2422" s="64"/>
      <c r="K2422" s="64"/>
      <c r="L2422" s="64"/>
    </row>
    <row r="2423" ht="16.5" customHeight="1">
      <c r="A2423" s="64"/>
      <c r="B2423" s="98" t="s">
        <v>18264</v>
      </c>
      <c r="C2423" s="81"/>
      <c r="D2423" s="75"/>
      <c r="E2423" s="64"/>
      <c r="F2423" s="95"/>
      <c r="G2423" s="96"/>
      <c r="H2423" s="64"/>
      <c r="I2423" s="64"/>
      <c r="J2423" s="64"/>
      <c r="K2423" s="64"/>
      <c r="L2423" s="64"/>
    </row>
    <row r="2424" ht="16.5" customHeight="1">
      <c r="A2424" s="64"/>
      <c r="B2424" s="98" t="s">
        <v>18264</v>
      </c>
      <c r="C2424" s="81"/>
      <c r="D2424" s="75"/>
      <c r="E2424" s="64"/>
      <c r="F2424" s="95"/>
      <c r="G2424" s="96"/>
      <c r="H2424" s="64"/>
      <c r="I2424" s="64"/>
      <c r="J2424" s="64"/>
      <c r="K2424" s="64"/>
      <c r="L2424" s="64"/>
    </row>
    <row r="2425" ht="16.5" customHeight="1">
      <c r="A2425" s="64"/>
      <c r="B2425" s="98" t="s">
        <v>18264</v>
      </c>
      <c r="C2425" s="81"/>
      <c r="D2425" s="75"/>
      <c r="E2425" s="64"/>
      <c r="F2425" s="95"/>
      <c r="G2425" s="96"/>
      <c r="H2425" s="64"/>
      <c r="I2425" s="64"/>
      <c r="J2425" s="64"/>
      <c r="K2425" s="64"/>
      <c r="L2425" s="64"/>
    </row>
    <row r="2426" ht="16.5" customHeight="1">
      <c r="A2426" s="64"/>
      <c r="B2426" s="98" t="s">
        <v>18264</v>
      </c>
      <c r="C2426" s="81"/>
      <c r="D2426" s="75"/>
      <c r="E2426" s="64"/>
      <c r="F2426" s="95"/>
      <c r="G2426" s="96"/>
      <c r="H2426" s="64"/>
      <c r="I2426" s="64"/>
      <c r="J2426" s="64"/>
      <c r="K2426" s="64"/>
      <c r="L2426" s="64"/>
    </row>
    <row r="2427" ht="16.5" customHeight="1">
      <c r="A2427" s="64"/>
      <c r="B2427" s="98" t="s">
        <v>18264</v>
      </c>
      <c r="C2427" s="81"/>
      <c r="D2427" s="75"/>
      <c r="E2427" s="64"/>
      <c r="F2427" s="95"/>
      <c r="G2427" s="96"/>
      <c r="H2427" s="64"/>
      <c r="I2427" s="64"/>
      <c r="J2427" s="64"/>
      <c r="K2427" s="64"/>
      <c r="L2427" s="64"/>
    </row>
    <row r="2428" ht="16.5" customHeight="1">
      <c r="A2428" s="64"/>
      <c r="B2428" s="98" t="s">
        <v>18264</v>
      </c>
      <c r="C2428" s="81"/>
      <c r="D2428" s="75"/>
      <c r="E2428" s="64"/>
      <c r="F2428" s="95"/>
      <c r="G2428" s="96"/>
      <c r="H2428" s="64"/>
      <c r="I2428" s="64"/>
      <c r="J2428" s="64"/>
      <c r="K2428" s="64"/>
      <c r="L2428" s="64"/>
    </row>
    <row r="2429" ht="16.5" customHeight="1">
      <c r="A2429" s="64"/>
      <c r="B2429" s="98" t="s">
        <v>18264</v>
      </c>
      <c r="C2429" s="81"/>
      <c r="D2429" s="75"/>
      <c r="E2429" s="64"/>
      <c r="F2429" s="95"/>
      <c r="G2429" s="96"/>
      <c r="H2429" s="64"/>
      <c r="I2429" s="64"/>
      <c r="J2429" s="64"/>
      <c r="K2429" s="64"/>
      <c r="L2429" s="64"/>
    </row>
    <row r="2430" ht="16.5" customHeight="1">
      <c r="A2430" s="64"/>
      <c r="B2430" s="98" t="s">
        <v>18264</v>
      </c>
      <c r="C2430" s="81"/>
      <c r="D2430" s="75"/>
      <c r="E2430" s="64"/>
      <c r="F2430" s="95"/>
      <c r="G2430" s="96"/>
      <c r="H2430" s="64"/>
      <c r="I2430" s="64"/>
      <c r="J2430" s="64"/>
      <c r="K2430" s="64"/>
      <c r="L2430" s="64"/>
    </row>
    <row r="2431" ht="16.5" customHeight="1">
      <c r="A2431" s="64"/>
      <c r="B2431" s="98" t="s">
        <v>18264</v>
      </c>
      <c r="C2431" s="81"/>
      <c r="D2431" s="75"/>
      <c r="E2431" s="64"/>
      <c r="F2431" s="95"/>
      <c r="G2431" s="96"/>
      <c r="H2431" s="64"/>
      <c r="I2431" s="64"/>
      <c r="J2431" s="64"/>
      <c r="K2431" s="64"/>
      <c r="L2431" s="64"/>
    </row>
    <row r="2432" ht="16.5" customHeight="1">
      <c r="A2432" s="64"/>
      <c r="B2432" s="98" t="s">
        <v>18264</v>
      </c>
      <c r="C2432" s="81"/>
      <c r="D2432" s="75"/>
      <c r="E2432" s="64"/>
      <c r="F2432" s="95"/>
      <c r="G2432" s="96"/>
      <c r="H2432" s="64"/>
      <c r="I2432" s="64"/>
      <c r="J2432" s="64"/>
      <c r="K2432" s="64"/>
      <c r="L2432" s="64"/>
    </row>
    <row r="2433" ht="16.5" customHeight="1">
      <c r="A2433" s="64"/>
      <c r="B2433" s="98" t="s">
        <v>18264</v>
      </c>
      <c r="C2433" s="81"/>
      <c r="D2433" s="75"/>
      <c r="E2433" s="64"/>
      <c r="F2433" s="95"/>
      <c r="G2433" s="96"/>
      <c r="H2433" s="64"/>
      <c r="I2433" s="64"/>
      <c r="J2433" s="64"/>
      <c r="K2433" s="64"/>
      <c r="L2433" s="64"/>
    </row>
    <row r="2434" ht="16.5" customHeight="1">
      <c r="A2434" s="64"/>
      <c r="B2434" s="98" t="s">
        <v>18264</v>
      </c>
      <c r="C2434" s="81"/>
      <c r="D2434" s="75"/>
      <c r="E2434" s="64"/>
      <c r="F2434" s="95"/>
      <c r="G2434" s="96"/>
      <c r="H2434" s="64"/>
      <c r="I2434" s="64"/>
      <c r="J2434" s="64"/>
      <c r="K2434" s="64"/>
      <c r="L2434" s="64"/>
    </row>
    <row r="2435" ht="16.5" customHeight="1">
      <c r="A2435" s="64"/>
      <c r="B2435" s="98" t="s">
        <v>18264</v>
      </c>
      <c r="C2435" s="81"/>
      <c r="D2435" s="75"/>
      <c r="E2435" s="64"/>
      <c r="F2435" s="95"/>
      <c r="G2435" s="96"/>
      <c r="H2435" s="64"/>
      <c r="I2435" s="64"/>
      <c r="J2435" s="64"/>
      <c r="K2435" s="64"/>
      <c r="L2435" s="64"/>
    </row>
    <row r="2436" ht="16.5" customHeight="1">
      <c r="A2436" s="64"/>
      <c r="B2436" s="98" t="s">
        <v>18264</v>
      </c>
      <c r="C2436" s="81"/>
      <c r="D2436" s="75"/>
      <c r="E2436" s="64"/>
      <c r="F2436" s="95"/>
      <c r="G2436" s="96"/>
      <c r="H2436" s="64"/>
      <c r="I2436" s="64"/>
      <c r="J2436" s="64"/>
      <c r="K2436" s="64"/>
      <c r="L2436" s="64"/>
    </row>
    <row r="2437" ht="16.5" customHeight="1">
      <c r="A2437" s="64"/>
      <c r="B2437" s="98" t="s">
        <v>18264</v>
      </c>
      <c r="C2437" s="81"/>
      <c r="D2437" s="75"/>
      <c r="E2437" s="64"/>
      <c r="F2437" s="95"/>
      <c r="G2437" s="96"/>
      <c r="H2437" s="64"/>
      <c r="I2437" s="64"/>
      <c r="J2437" s="64"/>
      <c r="K2437" s="64"/>
      <c r="L2437" s="64"/>
    </row>
    <row r="2438" ht="16.5" customHeight="1">
      <c r="A2438" s="64"/>
      <c r="B2438" s="98" t="s">
        <v>18264</v>
      </c>
      <c r="C2438" s="81"/>
      <c r="D2438" s="75"/>
      <c r="E2438" s="64"/>
      <c r="F2438" s="95"/>
      <c r="G2438" s="96"/>
      <c r="H2438" s="64"/>
      <c r="I2438" s="64"/>
      <c r="J2438" s="64"/>
      <c r="K2438" s="64"/>
      <c r="L2438" s="64"/>
    </row>
    <row r="2439" ht="16.5" customHeight="1">
      <c r="A2439" s="64"/>
      <c r="B2439" s="98" t="s">
        <v>18264</v>
      </c>
      <c r="C2439" s="81"/>
      <c r="D2439" s="75"/>
      <c r="E2439" s="64"/>
      <c r="F2439" s="95"/>
      <c r="G2439" s="96"/>
      <c r="H2439" s="64"/>
      <c r="I2439" s="64"/>
      <c r="J2439" s="64"/>
      <c r="K2439" s="64"/>
      <c r="L2439" s="64"/>
    </row>
    <row r="2440" ht="16.5" customHeight="1">
      <c r="A2440" s="64"/>
      <c r="B2440" s="98" t="s">
        <v>18264</v>
      </c>
      <c r="C2440" s="81"/>
      <c r="D2440" s="75"/>
      <c r="E2440" s="64"/>
      <c r="F2440" s="95"/>
      <c r="G2440" s="96"/>
      <c r="H2440" s="64"/>
      <c r="I2440" s="64"/>
      <c r="J2440" s="64"/>
      <c r="K2440" s="64"/>
      <c r="L2440" s="64"/>
    </row>
    <row r="2441" ht="16.5" customHeight="1">
      <c r="A2441" s="64"/>
      <c r="B2441" s="98" t="s">
        <v>18264</v>
      </c>
      <c r="C2441" s="81"/>
      <c r="D2441" s="75"/>
      <c r="E2441" s="64"/>
      <c r="F2441" s="95"/>
      <c r="G2441" s="96"/>
      <c r="H2441" s="64"/>
      <c r="I2441" s="64"/>
      <c r="J2441" s="64"/>
      <c r="K2441" s="64"/>
      <c r="L2441" s="64"/>
    </row>
    <row r="2442" ht="16.5" customHeight="1">
      <c r="A2442" s="64"/>
      <c r="B2442" s="98" t="s">
        <v>18264</v>
      </c>
      <c r="C2442" s="81"/>
      <c r="D2442" s="75"/>
      <c r="E2442" s="64"/>
      <c r="F2442" s="95"/>
      <c r="G2442" s="96"/>
      <c r="H2442" s="64"/>
      <c r="I2442" s="64"/>
      <c r="J2442" s="64"/>
      <c r="K2442" s="64"/>
      <c r="L2442" s="64"/>
    </row>
    <row r="2443" ht="16.5" customHeight="1">
      <c r="A2443" s="64"/>
      <c r="B2443" s="98" t="s">
        <v>18264</v>
      </c>
      <c r="C2443" s="81"/>
      <c r="D2443" s="75"/>
      <c r="E2443" s="64"/>
      <c r="F2443" s="95"/>
      <c r="G2443" s="96"/>
      <c r="H2443" s="64"/>
      <c r="I2443" s="64"/>
      <c r="J2443" s="64"/>
      <c r="K2443" s="64"/>
      <c r="L2443" s="64"/>
    </row>
    <row r="2444" ht="16.5" customHeight="1">
      <c r="A2444" s="64"/>
      <c r="B2444" s="98" t="s">
        <v>18264</v>
      </c>
      <c r="C2444" s="81"/>
      <c r="D2444" s="75"/>
      <c r="E2444" s="64"/>
      <c r="F2444" s="95"/>
      <c r="G2444" s="96"/>
      <c r="H2444" s="64"/>
      <c r="I2444" s="64"/>
      <c r="J2444" s="64"/>
      <c r="K2444" s="64"/>
      <c r="L2444" s="64"/>
    </row>
    <row r="2445" ht="16.5" customHeight="1">
      <c r="A2445" s="64"/>
      <c r="B2445" s="98" t="s">
        <v>18264</v>
      </c>
      <c r="C2445" s="81"/>
      <c r="D2445" s="75"/>
      <c r="E2445" s="64"/>
      <c r="F2445" s="95"/>
      <c r="G2445" s="96"/>
      <c r="H2445" s="64"/>
      <c r="I2445" s="64"/>
      <c r="J2445" s="64"/>
      <c r="K2445" s="64"/>
      <c r="L2445" s="64"/>
    </row>
    <row r="2446" ht="16.5" customHeight="1">
      <c r="A2446" s="64"/>
      <c r="B2446" s="98" t="s">
        <v>18264</v>
      </c>
      <c r="C2446" s="81"/>
      <c r="D2446" s="75"/>
      <c r="E2446" s="64"/>
      <c r="F2446" s="95"/>
      <c r="G2446" s="96"/>
      <c r="H2446" s="64"/>
      <c r="I2446" s="64"/>
      <c r="J2446" s="64"/>
      <c r="K2446" s="64"/>
      <c r="L2446" s="64"/>
    </row>
    <row r="2447" ht="16.5" customHeight="1">
      <c r="A2447" s="64"/>
      <c r="B2447" s="98" t="s">
        <v>18264</v>
      </c>
      <c r="C2447" s="81"/>
      <c r="D2447" s="75"/>
      <c r="E2447" s="64"/>
      <c r="F2447" s="95"/>
      <c r="G2447" s="96"/>
      <c r="H2447" s="64"/>
      <c r="I2447" s="64"/>
      <c r="J2447" s="64"/>
      <c r="K2447" s="64"/>
      <c r="L2447" s="64"/>
    </row>
    <row r="2448" ht="16.5" customHeight="1">
      <c r="A2448" s="64"/>
      <c r="B2448" s="98" t="s">
        <v>18264</v>
      </c>
      <c r="C2448" s="81"/>
      <c r="D2448" s="75"/>
      <c r="E2448" s="64"/>
      <c r="F2448" s="95"/>
      <c r="G2448" s="96"/>
      <c r="H2448" s="64"/>
      <c r="I2448" s="64"/>
      <c r="J2448" s="64"/>
      <c r="K2448" s="64"/>
      <c r="L2448" s="64"/>
    </row>
    <row r="2449" ht="16.5" customHeight="1">
      <c r="A2449" s="64"/>
      <c r="B2449" s="98" t="s">
        <v>18264</v>
      </c>
      <c r="C2449" s="81"/>
      <c r="D2449" s="75"/>
      <c r="E2449" s="64"/>
      <c r="F2449" s="95"/>
      <c r="G2449" s="96"/>
      <c r="H2449" s="64"/>
      <c r="I2449" s="64"/>
      <c r="J2449" s="64"/>
      <c r="K2449" s="64"/>
      <c r="L2449" s="64"/>
    </row>
    <row r="2450" ht="16.5" customHeight="1">
      <c r="A2450" s="64"/>
      <c r="B2450" s="98" t="s">
        <v>18264</v>
      </c>
      <c r="C2450" s="81"/>
      <c r="D2450" s="75"/>
      <c r="E2450" s="64"/>
      <c r="F2450" s="95"/>
      <c r="G2450" s="96"/>
      <c r="H2450" s="64"/>
      <c r="I2450" s="64"/>
      <c r="J2450" s="64"/>
      <c r="K2450" s="64"/>
      <c r="L2450" s="64"/>
    </row>
    <row r="2451" ht="16.5" customHeight="1">
      <c r="A2451" s="64"/>
      <c r="B2451" s="98" t="s">
        <v>18264</v>
      </c>
      <c r="C2451" s="81"/>
      <c r="D2451" s="75"/>
      <c r="E2451" s="64"/>
      <c r="F2451" s="95"/>
      <c r="G2451" s="96"/>
      <c r="H2451" s="64"/>
      <c r="I2451" s="64"/>
      <c r="J2451" s="64"/>
      <c r="K2451" s="64"/>
      <c r="L2451" s="64"/>
    </row>
    <row r="2452" ht="16.5" customHeight="1">
      <c r="A2452" s="64"/>
      <c r="B2452" s="98" t="s">
        <v>18264</v>
      </c>
      <c r="C2452" s="81"/>
      <c r="D2452" s="75"/>
      <c r="E2452" s="64"/>
      <c r="F2452" s="95"/>
      <c r="G2452" s="96"/>
      <c r="H2452" s="64"/>
      <c r="I2452" s="64"/>
      <c r="J2452" s="64"/>
      <c r="K2452" s="64"/>
      <c r="L2452" s="64"/>
    </row>
    <row r="2453" ht="16.5" customHeight="1">
      <c r="A2453" s="64"/>
      <c r="B2453" s="98" t="s">
        <v>18264</v>
      </c>
      <c r="C2453" s="81"/>
      <c r="D2453" s="75"/>
      <c r="E2453" s="64"/>
      <c r="F2453" s="95"/>
      <c r="G2453" s="96"/>
      <c r="H2453" s="64"/>
      <c r="I2453" s="64"/>
      <c r="J2453" s="64"/>
      <c r="K2453" s="64"/>
      <c r="L2453" s="64"/>
    </row>
    <row r="2454" ht="16.5" customHeight="1">
      <c r="A2454" s="64"/>
      <c r="B2454" s="98" t="s">
        <v>18264</v>
      </c>
      <c r="C2454" s="81"/>
      <c r="D2454" s="75"/>
      <c r="E2454" s="64"/>
      <c r="F2454" s="95"/>
      <c r="G2454" s="96"/>
      <c r="H2454" s="64"/>
      <c r="I2454" s="64"/>
      <c r="J2454" s="64"/>
      <c r="K2454" s="64"/>
      <c r="L2454" s="64"/>
    </row>
    <row r="2455" ht="16.5" customHeight="1">
      <c r="A2455" s="64"/>
      <c r="B2455" s="98" t="s">
        <v>18264</v>
      </c>
      <c r="C2455" s="81"/>
      <c r="D2455" s="75"/>
      <c r="E2455" s="64"/>
      <c r="F2455" s="95"/>
      <c r="G2455" s="96"/>
      <c r="H2455" s="64"/>
      <c r="I2455" s="64"/>
      <c r="J2455" s="64"/>
      <c r="K2455" s="64"/>
      <c r="L2455" s="64"/>
    </row>
    <row r="2456" ht="16.5" customHeight="1">
      <c r="A2456" s="64"/>
      <c r="B2456" s="98" t="s">
        <v>18264</v>
      </c>
      <c r="C2456" s="81"/>
      <c r="D2456" s="75"/>
      <c r="E2456" s="64"/>
      <c r="F2456" s="95"/>
      <c r="G2456" s="96"/>
      <c r="H2456" s="64"/>
      <c r="I2456" s="64"/>
      <c r="J2456" s="64"/>
      <c r="K2456" s="64"/>
      <c r="L2456" s="64"/>
    </row>
    <row r="2457" ht="16.5" customHeight="1">
      <c r="A2457" s="64"/>
      <c r="B2457" s="98" t="s">
        <v>18264</v>
      </c>
      <c r="C2457" s="81"/>
      <c r="D2457" s="75"/>
      <c r="E2457" s="64"/>
      <c r="F2457" s="95"/>
      <c r="G2457" s="96"/>
      <c r="H2457" s="64"/>
      <c r="I2457" s="64"/>
      <c r="J2457" s="64"/>
      <c r="K2457" s="64"/>
      <c r="L2457" s="64"/>
    </row>
    <row r="2458" ht="16.5" customHeight="1">
      <c r="A2458" s="64"/>
      <c r="B2458" s="98" t="s">
        <v>18264</v>
      </c>
      <c r="C2458" s="81"/>
      <c r="D2458" s="75"/>
      <c r="E2458" s="64"/>
      <c r="F2458" s="95"/>
      <c r="G2458" s="96"/>
      <c r="H2458" s="64"/>
      <c r="I2458" s="64"/>
      <c r="J2458" s="64"/>
      <c r="K2458" s="64"/>
      <c r="L2458" s="64"/>
    </row>
    <row r="2459" ht="16.5" customHeight="1">
      <c r="A2459" s="64"/>
      <c r="B2459" s="98" t="s">
        <v>18264</v>
      </c>
      <c r="C2459" s="81"/>
      <c r="D2459" s="75"/>
      <c r="E2459" s="64"/>
      <c r="F2459" s="95"/>
      <c r="G2459" s="96"/>
      <c r="H2459" s="64"/>
      <c r="I2459" s="64"/>
      <c r="J2459" s="64"/>
      <c r="K2459" s="64"/>
      <c r="L2459" s="64"/>
    </row>
    <row r="2460" ht="16.5" customHeight="1">
      <c r="A2460" s="64"/>
      <c r="B2460" s="98" t="s">
        <v>18264</v>
      </c>
      <c r="C2460" s="81"/>
      <c r="D2460" s="75"/>
      <c r="E2460" s="64"/>
      <c r="F2460" s="95"/>
      <c r="G2460" s="96"/>
      <c r="H2460" s="64"/>
      <c r="I2460" s="64"/>
      <c r="J2460" s="64"/>
      <c r="K2460" s="64"/>
      <c r="L2460" s="64"/>
    </row>
    <row r="2461" ht="16.5" customHeight="1">
      <c r="A2461" s="64"/>
      <c r="B2461" s="98" t="s">
        <v>18264</v>
      </c>
      <c r="C2461" s="81"/>
      <c r="D2461" s="75"/>
      <c r="E2461" s="64"/>
      <c r="F2461" s="95"/>
      <c r="G2461" s="96"/>
      <c r="H2461" s="64"/>
      <c r="I2461" s="64"/>
      <c r="J2461" s="64"/>
      <c r="K2461" s="64"/>
      <c r="L2461" s="64"/>
    </row>
    <row r="2462" ht="16.5" customHeight="1">
      <c r="A2462" s="64"/>
      <c r="B2462" s="98" t="s">
        <v>18264</v>
      </c>
      <c r="C2462" s="81"/>
      <c r="D2462" s="75"/>
      <c r="E2462" s="64"/>
      <c r="F2462" s="95"/>
      <c r="G2462" s="96"/>
      <c r="H2462" s="64"/>
      <c r="I2462" s="64"/>
      <c r="J2462" s="64"/>
      <c r="K2462" s="64"/>
      <c r="L2462" s="64"/>
    </row>
    <row r="2463" ht="16.5" customHeight="1">
      <c r="A2463" s="64"/>
      <c r="B2463" s="98" t="s">
        <v>18264</v>
      </c>
      <c r="C2463" s="81"/>
      <c r="D2463" s="75"/>
      <c r="E2463" s="64"/>
      <c r="F2463" s="95"/>
      <c r="G2463" s="96"/>
      <c r="H2463" s="64"/>
      <c r="I2463" s="64"/>
      <c r="J2463" s="64"/>
      <c r="K2463" s="64"/>
      <c r="L2463" s="64"/>
    </row>
    <row r="2464" ht="16.5" customHeight="1">
      <c r="A2464" s="64"/>
      <c r="B2464" s="98" t="s">
        <v>18264</v>
      </c>
      <c r="C2464" s="81"/>
      <c r="D2464" s="75"/>
      <c r="E2464" s="64"/>
      <c r="F2464" s="95"/>
      <c r="G2464" s="96"/>
      <c r="H2464" s="64"/>
      <c r="I2464" s="64"/>
      <c r="J2464" s="64"/>
      <c r="K2464" s="64"/>
      <c r="L2464" s="64"/>
    </row>
    <row r="2465" ht="16.5" customHeight="1">
      <c r="A2465" s="64"/>
      <c r="B2465" s="98" t="s">
        <v>18264</v>
      </c>
      <c r="C2465" s="81"/>
      <c r="D2465" s="75"/>
      <c r="E2465" s="64"/>
      <c r="F2465" s="95"/>
      <c r="G2465" s="96"/>
      <c r="H2465" s="64"/>
      <c r="I2465" s="64"/>
      <c r="J2465" s="64"/>
      <c r="K2465" s="64"/>
      <c r="L2465" s="64"/>
    </row>
    <row r="2466" ht="16.5" customHeight="1">
      <c r="A2466" s="64"/>
      <c r="B2466" s="98" t="s">
        <v>18264</v>
      </c>
      <c r="C2466" s="81"/>
      <c r="D2466" s="75"/>
      <c r="E2466" s="64"/>
      <c r="F2466" s="95"/>
      <c r="G2466" s="96"/>
      <c r="H2466" s="64"/>
      <c r="I2466" s="64"/>
      <c r="J2466" s="64"/>
      <c r="K2466" s="64"/>
      <c r="L2466" s="64"/>
    </row>
    <row r="2467" ht="16.5" customHeight="1">
      <c r="A2467" s="64"/>
      <c r="B2467" s="98" t="s">
        <v>18264</v>
      </c>
      <c r="C2467" s="81"/>
      <c r="D2467" s="75"/>
      <c r="E2467" s="64"/>
      <c r="F2467" s="95"/>
      <c r="G2467" s="96"/>
      <c r="H2467" s="64"/>
      <c r="I2467" s="64"/>
      <c r="J2467" s="64"/>
      <c r="K2467" s="64"/>
      <c r="L2467" s="64"/>
    </row>
    <row r="2468" ht="16.5" customHeight="1">
      <c r="A2468" s="64"/>
      <c r="B2468" s="98" t="s">
        <v>18264</v>
      </c>
      <c r="C2468" s="81"/>
      <c r="D2468" s="75"/>
      <c r="E2468" s="64"/>
      <c r="F2468" s="95"/>
      <c r="G2468" s="96"/>
      <c r="H2468" s="64"/>
      <c r="I2468" s="64"/>
      <c r="J2468" s="64"/>
      <c r="K2468" s="64"/>
      <c r="L2468" s="64"/>
    </row>
    <row r="2469" ht="16.5" customHeight="1">
      <c r="A2469" s="64"/>
      <c r="B2469" s="98" t="s">
        <v>18264</v>
      </c>
      <c r="C2469" s="81"/>
      <c r="D2469" s="75"/>
      <c r="E2469" s="64"/>
      <c r="F2469" s="95"/>
      <c r="G2469" s="96"/>
      <c r="H2469" s="64"/>
      <c r="I2469" s="64"/>
      <c r="J2469" s="64"/>
      <c r="K2469" s="64"/>
      <c r="L2469" s="64"/>
    </row>
    <row r="2470" ht="16.5" customHeight="1">
      <c r="A2470" s="64"/>
      <c r="B2470" s="98" t="s">
        <v>18264</v>
      </c>
      <c r="C2470" s="81"/>
      <c r="D2470" s="75"/>
      <c r="E2470" s="64"/>
      <c r="F2470" s="95"/>
      <c r="G2470" s="96"/>
      <c r="H2470" s="64"/>
      <c r="I2470" s="64"/>
      <c r="J2470" s="64"/>
      <c r="K2470" s="64"/>
      <c r="L2470" s="64"/>
    </row>
    <row r="2471" ht="16.5" customHeight="1">
      <c r="A2471" s="64"/>
      <c r="B2471" s="98" t="s">
        <v>18264</v>
      </c>
      <c r="C2471" s="81"/>
      <c r="D2471" s="75"/>
      <c r="E2471" s="64"/>
      <c r="F2471" s="95"/>
      <c r="G2471" s="96"/>
      <c r="H2471" s="64"/>
      <c r="I2471" s="64"/>
      <c r="J2471" s="64"/>
      <c r="K2471" s="64"/>
      <c r="L2471" s="64"/>
    </row>
    <row r="2472" ht="16.5" customHeight="1">
      <c r="A2472" s="64"/>
      <c r="B2472" s="98" t="s">
        <v>18264</v>
      </c>
      <c r="C2472" s="81"/>
      <c r="D2472" s="75"/>
      <c r="E2472" s="64"/>
      <c r="F2472" s="95"/>
      <c r="G2472" s="96"/>
      <c r="H2472" s="64"/>
      <c r="I2472" s="64"/>
      <c r="J2472" s="64"/>
      <c r="K2472" s="64"/>
      <c r="L2472" s="64"/>
    </row>
    <row r="2473" ht="16.5" customHeight="1">
      <c r="A2473" s="64"/>
      <c r="B2473" s="98" t="s">
        <v>18264</v>
      </c>
      <c r="C2473" s="81"/>
      <c r="D2473" s="75"/>
      <c r="E2473" s="64"/>
      <c r="F2473" s="95"/>
      <c r="G2473" s="96"/>
      <c r="H2473" s="64"/>
      <c r="I2473" s="64"/>
      <c r="J2473" s="64"/>
      <c r="K2473" s="64"/>
      <c r="L2473" s="64"/>
    </row>
    <row r="2474" ht="16.5" customHeight="1">
      <c r="A2474" s="64"/>
      <c r="B2474" s="98" t="s">
        <v>18264</v>
      </c>
      <c r="C2474" s="81"/>
      <c r="D2474" s="75"/>
      <c r="E2474" s="64"/>
      <c r="F2474" s="95"/>
      <c r="G2474" s="96"/>
      <c r="H2474" s="64"/>
      <c r="I2474" s="64"/>
      <c r="J2474" s="64"/>
      <c r="K2474" s="64"/>
      <c r="L2474" s="64"/>
    </row>
    <row r="2475" ht="16.5" customHeight="1">
      <c r="A2475" s="64"/>
      <c r="B2475" s="98" t="s">
        <v>18264</v>
      </c>
      <c r="C2475" s="81"/>
      <c r="D2475" s="75"/>
      <c r="E2475" s="64"/>
      <c r="F2475" s="95"/>
      <c r="G2475" s="96"/>
      <c r="H2475" s="64"/>
      <c r="I2475" s="64"/>
      <c r="J2475" s="64"/>
      <c r="K2475" s="64"/>
      <c r="L2475" s="64"/>
    </row>
    <row r="2476" ht="16.5" customHeight="1">
      <c r="A2476" s="64"/>
      <c r="B2476" s="98" t="s">
        <v>18264</v>
      </c>
      <c r="C2476" s="81"/>
      <c r="D2476" s="75"/>
      <c r="E2476" s="64"/>
      <c r="F2476" s="95"/>
      <c r="G2476" s="96"/>
      <c r="H2476" s="64"/>
      <c r="I2476" s="64"/>
      <c r="J2476" s="64"/>
      <c r="K2476" s="64"/>
      <c r="L2476" s="64"/>
    </row>
    <row r="2477" ht="16.5" customHeight="1">
      <c r="A2477" s="64"/>
      <c r="B2477" s="98" t="s">
        <v>18264</v>
      </c>
      <c r="C2477" s="81"/>
      <c r="D2477" s="75"/>
      <c r="E2477" s="64"/>
      <c r="F2477" s="95"/>
      <c r="G2477" s="96"/>
      <c r="H2477" s="64"/>
      <c r="I2477" s="64"/>
      <c r="J2477" s="64"/>
      <c r="K2477" s="64"/>
      <c r="L2477" s="64"/>
    </row>
    <row r="2478" ht="16.5" customHeight="1">
      <c r="A2478" s="64"/>
      <c r="B2478" s="98" t="s">
        <v>18264</v>
      </c>
      <c r="C2478" s="81"/>
      <c r="D2478" s="75"/>
      <c r="E2478" s="64"/>
      <c r="F2478" s="95"/>
      <c r="G2478" s="96"/>
      <c r="H2478" s="64"/>
      <c r="I2478" s="64"/>
      <c r="J2478" s="64"/>
      <c r="K2478" s="64"/>
      <c r="L2478" s="64"/>
    </row>
    <row r="2479" ht="16.5" customHeight="1">
      <c r="A2479" s="64"/>
      <c r="B2479" s="98" t="s">
        <v>18264</v>
      </c>
      <c r="C2479" s="81"/>
      <c r="D2479" s="75"/>
      <c r="E2479" s="64"/>
      <c r="F2479" s="95"/>
      <c r="G2479" s="96"/>
      <c r="H2479" s="64"/>
      <c r="I2479" s="64"/>
      <c r="J2479" s="64"/>
      <c r="K2479" s="64"/>
      <c r="L2479" s="64"/>
    </row>
    <row r="2480" ht="16.5" customHeight="1">
      <c r="A2480" s="64"/>
      <c r="B2480" s="98" t="s">
        <v>18264</v>
      </c>
      <c r="C2480" s="81"/>
      <c r="D2480" s="75"/>
      <c r="E2480" s="64"/>
      <c r="F2480" s="95"/>
      <c r="G2480" s="96"/>
      <c r="H2480" s="64"/>
      <c r="I2480" s="64"/>
      <c r="J2480" s="64"/>
      <c r="K2480" s="64"/>
      <c r="L2480" s="64"/>
    </row>
    <row r="2481" ht="16.5" customHeight="1">
      <c r="A2481" s="64"/>
      <c r="B2481" s="98" t="s">
        <v>18264</v>
      </c>
      <c r="C2481" s="81"/>
      <c r="D2481" s="75"/>
      <c r="E2481" s="64"/>
      <c r="F2481" s="95"/>
      <c r="G2481" s="96"/>
      <c r="H2481" s="64"/>
      <c r="I2481" s="64"/>
      <c r="J2481" s="64"/>
      <c r="K2481" s="64"/>
      <c r="L2481" s="64"/>
    </row>
    <row r="2482" ht="16.5" customHeight="1">
      <c r="A2482" s="64"/>
      <c r="B2482" s="98" t="s">
        <v>18264</v>
      </c>
      <c r="C2482" s="81"/>
      <c r="D2482" s="75"/>
      <c r="E2482" s="64"/>
      <c r="F2482" s="95"/>
      <c r="G2482" s="96"/>
      <c r="H2482" s="64"/>
      <c r="I2482" s="64"/>
      <c r="J2482" s="64"/>
      <c r="K2482" s="64"/>
      <c r="L2482" s="64"/>
    </row>
    <row r="2483" ht="16.5" customHeight="1">
      <c r="A2483" s="64"/>
      <c r="B2483" s="98" t="s">
        <v>18264</v>
      </c>
      <c r="C2483" s="81"/>
      <c r="D2483" s="75"/>
      <c r="E2483" s="64"/>
      <c r="F2483" s="95"/>
      <c r="G2483" s="96"/>
      <c r="H2483" s="64"/>
      <c r="I2483" s="64"/>
      <c r="J2483" s="64"/>
      <c r="K2483" s="64"/>
      <c r="L2483" s="64"/>
    </row>
    <row r="2484" ht="16.5" customHeight="1">
      <c r="A2484" s="64"/>
      <c r="B2484" s="98" t="s">
        <v>18264</v>
      </c>
      <c r="C2484" s="81"/>
      <c r="D2484" s="75"/>
      <c r="E2484" s="64"/>
      <c r="F2484" s="95"/>
      <c r="G2484" s="96"/>
      <c r="H2484" s="64"/>
      <c r="I2484" s="64"/>
      <c r="J2484" s="64"/>
      <c r="K2484" s="64"/>
      <c r="L2484" s="64"/>
    </row>
    <row r="2485" ht="16.5" customHeight="1">
      <c r="A2485" s="64"/>
      <c r="B2485" s="98" t="s">
        <v>18264</v>
      </c>
      <c r="C2485" s="81"/>
      <c r="D2485" s="75"/>
      <c r="E2485" s="64"/>
      <c r="F2485" s="95"/>
      <c r="G2485" s="96"/>
      <c r="H2485" s="64"/>
      <c r="I2485" s="64"/>
      <c r="J2485" s="64"/>
      <c r="K2485" s="64"/>
      <c r="L2485" s="64"/>
    </row>
    <row r="2486" ht="16.5" customHeight="1">
      <c r="A2486" s="64"/>
      <c r="B2486" s="98" t="s">
        <v>18264</v>
      </c>
      <c r="C2486" s="81"/>
      <c r="D2486" s="75"/>
      <c r="E2486" s="64"/>
      <c r="F2486" s="95"/>
      <c r="G2486" s="96"/>
      <c r="H2486" s="64"/>
      <c r="I2486" s="64"/>
      <c r="J2486" s="64"/>
      <c r="K2486" s="64"/>
      <c r="L2486" s="64"/>
    </row>
    <row r="2487" ht="16.5" customHeight="1">
      <c r="A2487" s="64"/>
      <c r="B2487" s="98" t="s">
        <v>18264</v>
      </c>
      <c r="C2487" s="81"/>
      <c r="D2487" s="75"/>
      <c r="E2487" s="64"/>
      <c r="F2487" s="95"/>
      <c r="G2487" s="96"/>
      <c r="H2487" s="64"/>
      <c r="I2487" s="64"/>
      <c r="J2487" s="64"/>
      <c r="K2487" s="64"/>
      <c r="L2487" s="64"/>
    </row>
    <row r="2488" ht="16.5" customHeight="1">
      <c r="A2488" s="64"/>
      <c r="B2488" s="98" t="s">
        <v>18264</v>
      </c>
      <c r="C2488" s="81"/>
      <c r="D2488" s="75"/>
      <c r="E2488" s="64"/>
      <c r="F2488" s="95"/>
      <c r="G2488" s="96"/>
      <c r="H2488" s="64"/>
      <c r="I2488" s="64"/>
      <c r="J2488" s="64"/>
      <c r="K2488" s="64"/>
      <c r="L2488" s="64"/>
    </row>
    <row r="2489" ht="16.5" customHeight="1">
      <c r="A2489" s="64"/>
      <c r="B2489" s="98" t="s">
        <v>18264</v>
      </c>
      <c r="C2489" s="81"/>
      <c r="D2489" s="75"/>
      <c r="E2489" s="64"/>
      <c r="F2489" s="95"/>
      <c r="G2489" s="96"/>
      <c r="H2489" s="64"/>
      <c r="I2489" s="64"/>
      <c r="J2489" s="64"/>
      <c r="K2489" s="64"/>
      <c r="L2489" s="64"/>
    </row>
    <row r="2490" ht="16.5" customHeight="1">
      <c r="A2490" s="64"/>
      <c r="B2490" s="98" t="s">
        <v>18264</v>
      </c>
      <c r="C2490" s="81"/>
      <c r="D2490" s="75"/>
      <c r="E2490" s="64"/>
      <c r="F2490" s="95"/>
      <c r="G2490" s="96"/>
      <c r="H2490" s="64"/>
      <c r="I2490" s="64"/>
      <c r="J2490" s="64"/>
      <c r="K2490" s="64"/>
      <c r="L2490" s="64"/>
    </row>
    <row r="2491" ht="16.5" customHeight="1">
      <c r="A2491" s="64"/>
      <c r="B2491" s="98" t="s">
        <v>18264</v>
      </c>
      <c r="C2491" s="81"/>
      <c r="D2491" s="75"/>
      <c r="E2491" s="64"/>
      <c r="F2491" s="95"/>
      <c r="G2491" s="96"/>
      <c r="H2491" s="64"/>
      <c r="I2491" s="64"/>
      <c r="J2491" s="64"/>
      <c r="K2491" s="64"/>
      <c r="L2491" s="64"/>
    </row>
    <row r="2492" ht="16.5" customHeight="1">
      <c r="A2492" s="64"/>
      <c r="B2492" s="98" t="s">
        <v>18264</v>
      </c>
      <c r="C2492" s="81"/>
      <c r="D2492" s="75"/>
      <c r="E2492" s="64"/>
      <c r="F2492" s="95"/>
      <c r="G2492" s="96"/>
      <c r="H2492" s="64"/>
      <c r="I2492" s="64"/>
      <c r="J2492" s="64"/>
      <c r="K2492" s="64"/>
      <c r="L2492" s="64"/>
    </row>
    <row r="2493" ht="16.5" customHeight="1">
      <c r="A2493" s="64"/>
      <c r="B2493" s="98" t="s">
        <v>18264</v>
      </c>
      <c r="C2493" s="81"/>
      <c r="D2493" s="75"/>
      <c r="E2493" s="64"/>
      <c r="F2493" s="95"/>
      <c r="G2493" s="96"/>
      <c r="H2493" s="64"/>
      <c r="I2493" s="64"/>
      <c r="J2493" s="64"/>
      <c r="K2493" s="64"/>
      <c r="L2493" s="64"/>
    </row>
    <row r="2494" ht="16.5" customHeight="1">
      <c r="A2494" s="64"/>
      <c r="B2494" s="98" t="s">
        <v>18264</v>
      </c>
      <c r="C2494" s="81"/>
      <c r="D2494" s="75"/>
      <c r="E2494" s="64"/>
      <c r="F2494" s="95"/>
      <c r="G2494" s="96"/>
      <c r="H2494" s="64"/>
      <c r="I2494" s="64"/>
      <c r="J2494" s="64"/>
      <c r="K2494" s="64"/>
      <c r="L2494" s="64"/>
    </row>
    <row r="2495" ht="16.5" customHeight="1">
      <c r="A2495" s="64"/>
      <c r="B2495" s="98" t="s">
        <v>18264</v>
      </c>
      <c r="C2495" s="81"/>
      <c r="D2495" s="75"/>
      <c r="E2495" s="64"/>
      <c r="F2495" s="95"/>
      <c r="G2495" s="96"/>
      <c r="H2495" s="64"/>
      <c r="I2495" s="64"/>
      <c r="J2495" s="64"/>
      <c r="K2495" s="64"/>
      <c r="L2495" s="64"/>
    </row>
    <row r="2496" ht="16.5" customHeight="1">
      <c r="A2496" s="64"/>
      <c r="B2496" s="98" t="s">
        <v>18264</v>
      </c>
      <c r="C2496" s="81"/>
      <c r="D2496" s="75"/>
      <c r="E2496" s="64"/>
      <c r="F2496" s="95"/>
      <c r="G2496" s="96"/>
      <c r="H2496" s="64"/>
      <c r="I2496" s="64"/>
      <c r="J2496" s="64"/>
      <c r="K2496" s="64"/>
      <c r="L2496" s="64"/>
    </row>
    <row r="2497" ht="16.5" customHeight="1">
      <c r="A2497" s="64"/>
      <c r="B2497" s="98" t="s">
        <v>18264</v>
      </c>
      <c r="C2497" s="81"/>
      <c r="D2497" s="75"/>
      <c r="E2497" s="64"/>
      <c r="F2497" s="95"/>
      <c r="G2497" s="96"/>
      <c r="H2497" s="64"/>
      <c r="I2497" s="64"/>
      <c r="J2497" s="64"/>
      <c r="K2497" s="64"/>
      <c r="L2497" s="64"/>
    </row>
    <row r="2498" ht="16.5" customHeight="1">
      <c r="A2498" s="64"/>
      <c r="B2498" s="98" t="s">
        <v>18264</v>
      </c>
      <c r="C2498" s="81"/>
      <c r="D2498" s="75"/>
      <c r="E2498" s="64"/>
      <c r="F2498" s="95"/>
      <c r="G2498" s="96"/>
      <c r="H2498" s="64"/>
      <c r="I2498" s="64"/>
      <c r="J2498" s="64"/>
      <c r="K2498" s="64"/>
      <c r="L2498" s="64"/>
    </row>
    <row r="2499" ht="16.5" customHeight="1">
      <c r="A2499" s="64"/>
      <c r="B2499" s="98" t="s">
        <v>18264</v>
      </c>
      <c r="C2499" s="81"/>
      <c r="D2499" s="75"/>
      <c r="E2499" s="64"/>
      <c r="F2499" s="95"/>
      <c r="G2499" s="96"/>
      <c r="H2499" s="64"/>
      <c r="I2499" s="64"/>
      <c r="J2499" s="64"/>
      <c r="K2499" s="64"/>
      <c r="L2499" s="64"/>
    </row>
    <row r="2500" ht="16.5" customHeight="1">
      <c r="A2500" s="64"/>
      <c r="B2500" s="98" t="s">
        <v>18264</v>
      </c>
      <c r="C2500" s="81"/>
      <c r="D2500" s="75"/>
      <c r="E2500" s="64"/>
      <c r="F2500" s="95"/>
      <c r="G2500" s="96"/>
      <c r="H2500" s="64"/>
      <c r="I2500" s="64"/>
      <c r="J2500" s="64"/>
      <c r="K2500" s="64"/>
      <c r="L2500" s="64"/>
    </row>
    <row r="2501" ht="16.5" customHeight="1">
      <c r="A2501" s="64"/>
      <c r="B2501" s="98" t="s">
        <v>18264</v>
      </c>
      <c r="C2501" s="81"/>
      <c r="D2501" s="75"/>
      <c r="E2501" s="64"/>
      <c r="F2501" s="95"/>
      <c r="G2501" s="96"/>
      <c r="H2501" s="64"/>
      <c r="I2501" s="64"/>
      <c r="J2501" s="64"/>
      <c r="K2501" s="64"/>
      <c r="L2501" s="64"/>
    </row>
    <row r="2502" ht="16.5" customHeight="1">
      <c r="A2502" s="64"/>
      <c r="B2502" s="98" t="s">
        <v>18264</v>
      </c>
      <c r="C2502" s="81"/>
      <c r="D2502" s="75"/>
      <c r="E2502" s="64"/>
      <c r="F2502" s="95"/>
      <c r="G2502" s="96"/>
      <c r="H2502" s="64"/>
      <c r="I2502" s="64"/>
      <c r="J2502" s="64"/>
      <c r="K2502" s="64"/>
      <c r="L2502" s="64"/>
    </row>
    <row r="2503" ht="16.5" customHeight="1">
      <c r="A2503" s="64"/>
      <c r="B2503" s="98" t="s">
        <v>18264</v>
      </c>
      <c r="C2503" s="81"/>
      <c r="D2503" s="75"/>
      <c r="E2503" s="64"/>
      <c r="F2503" s="95"/>
      <c r="G2503" s="96"/>
      <c r="H2503" s="64"/>
      <c r="I2503" s="64"/>
      <c r="J2503" s="64"/>
      <c r="K2503" s="64"/>
      <c r="L2503" s="64"/>
    </row>
    <row r="2504" ht="16.5" customHeight="1">
      <c r="A2504" s="64"/>
      <c r="B2504" s="98" t="s">
        <v>18264</v>
      </c>
      <c r="C2504" s="81"/>
      <c r="D2504" s="75"/>
      <c r="E2504" s="64"/>
      <c r="F2504" s="95"/>
      <c r="G2504" s="96"/>
      <c r="H2504" s="64"/>
      <c r="I2504" s="64"/>
      <c r="J2504" s="64"/>
      <c r="K2504" s="64"/>
      <c r="L2504" s="64"/>
    </row>
    <row r="2505" ht="16.5" customHeight="1">
      <c r="A2505" s="64"/>
      <c r="B2505" s="98" t="s">
        <v>18264</v>
      </c>
      <c r="C2505" s="81"/>
      <c r="D2505" s="75"/>
      <c r="E2505" s="64"/>
      <c r="F2505" s="95"/>
      <c r="G2505" s="96"/>
      <c r="H2505" s="64"/>
      <c r="I2505" s="64"/>
      <c r="J2505" s="64"/>
      <c r="K2505" s="64"/>
      <c r="L2505" s="64"/>
    </row>
    <row r="2506" ht="16.5" customHeight="1">
      <c r="A2506" s="64"/>
      <c r="B2506" s="98" t="s">
        <v>18264</v>
      </c>
      <c r="C2506" s="81"/>
      <c r="D2506" s="75"/>
      <c r="E2506" s="64"/>
      <c r="F2506" s="95"/>
      <c r="G2506" s="96"/>
      <c r="H2506" s="64"/>
      <c r="I2506" s="64"/>
      <c r="J2506" s="64"/>
      <c r="K2506" s="64"/>
      <c r="L2506" s="64"/>
    </row>
    <row r="2507" ht="16.5" customHeight="1">
      <c r="A2507" s="64"/>
      <c r="B2507" s="98" t="s">
        <v>18264</v>
      </c>
      <c r="C2507" s="81"/>
      <c r="D2507" s="75"/>
      <c r="E2507" s="64"/>
      <c r="F2507" s="95"/>
      <c r="G2507" s="96"/>
      <c r="H2507" s="64"/>
      <c r="I2507" s="64"/>
      <c r="J2507" s="64"/>
      <c r="K2507" s="64"/>
      <c r="L2507" s="64"/>
    </row>
    <row r="2508" ht="16.5" customHeight="1">
      <c r="A2508" s="64"/>
      <c r="B2508" s="98" t="s">
        <v>18264</v>
      </c>
      <c r="C2508" s="81"/>
      <c r="D2508" s="75"/>
      <c r="E2508" s="64"/>
      <c r="F2508" s="95"/>
      <c r="G2508" s="96"/>
      <c r="H2508" s="64"/>
      <c r="I2508" s="64"/>
      <c r="J2508" s="64"/>
      <c r="K2508" s="64"/>
      <c r="L2508" s="64"/>
    </row>
    <row r="2509" ht="16.5" customHeight="1">
      <c r="A2509" s="64"/>
      <c r="B2509" s="98" t="s">
        <v>18264</v>
      </c>
      <c r="C2509" s="81"/>
      <c r="D2509" s="75"/>
      <c r="E2509" s="64"/>
      <c r="F2509" s="95"/>
      <c r="G2509" s="96"/>
      <c r="H2509" s="64"/>
      <c r="I2509" s="64"/>
      <c r="J2509" s="64"/>
      <c r="K2509" s="64"/>
      <c r="L2509" s="64"/>
    </row>
    <row r="2510" ht="16.5" customHeight="1">
      <c r="A2510" s="64"/>
      <c r="B2510" s="98" t="s">
        <v>18264</v>
      </c>
      <c r="C2510" s="81"/>
      <c r="D2510" s="75"/>
      <c r="E2510" s="64"/>
      <c r="F2510" s="95"/>
      <c r="G2510" s="96"/>
      <c r="H2510" s="64"/>
      <c r="I2510" s="64"/>
      <c r="J2510" s="64"/>
      <c r="K2510" s="64"/>
      <c r="L2510" s="64"/>
    </row>
    <row r="2511" ht="16.5" customHeight="1">
      <c r="A2511" s="64"/>
      <c r="B2511" s="98" t="s">
        <v>18264</v>
      </c>
      <c r="C2511" s="81"/>
      <c r="D2511" s="75"/>
      <c r="E2511" s="64"/>
      <c r="F2511" s="95"/>
      <c r="G2511" s="96"/>
      <c r="H2511" s="64"/>
      <c r="I2511" s="64"/>
      <c r="J2511" s="64"/>
      <c r="K2511" s="64"/>
      <c r="L2511" s="64"/>
    </row>
    <row r="2512" ht="16.5" customHeight="1">
      <c r="A2512" s="64"/>
      <c r="B2512" s="98" t="s">
        <v>18264</v>
      </c>
      <c r="C2512" s="81"/>
      <c r="D2512" s="75"/>
      <c r="E2512" s="64"/>
      <c r="F2512" s="95"/>
      <c r="G2512" s="96"/>
      <c r="H2512" s="64"/>
      <c r="I2512" s="64"/>
      <c r="J2512" s="64"/>
      <c r="K2512" s="64"/>
      <c r="L2512" s="64"/>
    </row>
    <row r="2513" ht="16.5" customHeight="1">
      <c r="A2513" s="64"/>
      <c r="B2513" s="98" t="s">
        <v>18264</v>
      </c>
      <c r="C2513" s="81"/>
      <c r="D2513" s="75"/>
      <c r="E2513" s="64"/>
      <c r="F2513" s="95"/>
      <c r="G2513" s="96"/>
      <c r="H2513" s="64"/>
      <c r="I2513" s="64"/>
      <c r="J2513" s="64"/>
      <c r="K2513" s="64"/>
      <c r="L2513" s="64"/>
    </row>
    <row r="2514" ht="16.5" customHeight="1">
      <c r="A2514" s="64"/>
      <c r="B2514" s="98" t="s">
        <v>18264</v>
      </c>
      <c r="C2514" s="81"/>
      <c r="D2514" s="75"/>
      <c r="E2514" s="64"/>
      <c r="F2514" s="95"/>
      <c r="G2514" s="96"/>
      <c r="H2514" s="64"/>
      <c r="I2514" s="64"/>
      <c r="J2514" s="64"/>
      <c r="K2514" s="64"/>
      <c r="L2514" s="64"/>
    </row>
    <row r="2515" ht="16.5" customHeight="1">
      <c r="A2515" s="64"/>
      <c r="B2515" s="98" t="s">
        <v>18264</v>
      </c>
      <c r="C2515" s="81"/>
      <c r="D2515" s="75"/>
      <c r="E2515" s="64"/>
      <c r="F2515" s="95"/>
      <c r="G2515" s="96"/>
      <c r="H2515" s="64"/>
      <c r="I2515" s="64"/>
      <c r="J2515" s="64"/>
      <c r="K2515" s="64"/>
      <c r="L2515" s="64"/>
    </row>
    <row r="2516" ht="16.5" customHeight="1">
      <c r="A2516" s="64"/>
      <c r="B2516" s="98" t="s">
        <v>18264</v>
      </c>
      <c r="C2516" s="81"/>
      <c r="D2516" s="75"/>
      <c r="E2516" s="64"/>
      <c r="F2516" s="95"/>
      <c r="G2516" s="96"/>
      <c r="H2516" s="64"/>
      <c r="I2516" s="64"/>
      <c r="J2516" s="64"/>
      <c r="K2516" s="64"/>
      <c r="L2516" s="64"/>
    </row>
    <row r="2517" ht="16.5" customHeight="1">
      <c r="A2517" s="64"/>
      <c r="B2517" s="98" t="s">
        <v>18264</v>
      </c>
      <c r="C2517" s="81"/>
      <c r="D2517" s="75"/>
      <c r="E2517" s="64"/>
      <c r="F2517" s="95"/>
      <c r="G2517" s="96"/>
      <c r="H2517" s="64"/>
      <c r="I2517" s="64"/>
      <c r="J2517" s="64"/>
      <c r="K2517" s="64"/>
      <c r="L2517" s="64"/>
    </row>
    <row r="2518" ht="16.5" customHeight="1">
      <c r="A2518" s="64"/>
      <c r="B2518" s="98" t="s">
        <v>18264</v>
      </c>
      <c r="C2518" s="81"/>
      <c r="D2518" s="75"/>
      <c r="E2518" s="64"/>
      <c r="F2518" s="95"/>
      <c r="G2518" s="96"/>
      <c r="H2518" s="64"/>
      <c r="I2518" s="64"/>
      <c r="J2518" s="64"/>
      <c r="K2518" s="64"/>
      <c r="L2518" s="64"/>
    </row>
    <row r="2519" ht="16.5" customHeight="1">
      <c r="A2519" s="64"/>
      <c r="B2519" s="98" t="s">
        <v>18264</v>
      </c>
      <c r="C2519" s="81"/>
      <c r="D2519" s="75"/>
      <c r="E2519" s="64"/>
      <c r="F2519" s="95"/>
      <c r="G2519" s="96"/>
      <c r="H2519" s="64"/>
      <c r="I2519" s="64"/>
      <c r="J2519" s="64"/>
      <c r="K2519" s="64"/>
      <c r="L2519" s="64"/>
    </row>
    <row r="2520" ht="16.5" customHeight="1">
      <c r="A2520" s="64"/>
      <c r="B2520" s="98" t="s">
        <v>18264</v>
      </c>
      <c r="C2520" s="81"/>
      <c r="D2520" s="75"/>
      <c r="E2520" s="64"/>
      <c r="F2520" s="95"/>
      <c r="G2520" s="96"/>
      <c r="H2520" s="64"/>
      <c r="I2520" s="64"/>
      <c r="J2520" s="64"/>
      <c r="K2520" s="64"/>
      <c r="L2520" s="64"/>
    </row>
    <row r="2521" ht="16.5" customHeight="1">
      <c r="A2521" s="64"/>
      <c r="B2521" s="98" t="s">
        <v>18264</v>
      </c>
      <c r="C2521" s="81"/>
      <c r="D2521" s="75"/>
      <c r="E2521" s="64"/>
      <c r="F2521" s="95"/>
      <c r="G2521" s="96"/>
      <c r="H2521" s="64"/>
      <c r="I2521" s="64"/>
      <c r="J2521" s="64"/>
      <c r="K2521" s="64"/>
      <c r="L2521" s="64"/>
    </row>
    <row r="2522" ht="16.5" customHeight="1">
      <c r="A2522" s="64"/>
      <c r="B2522" s="98" t="s">
        <v>18264</v>
      </c>
      <c r="C2522" s="81"/>
      <c r="D2522" s="75"/>
      <c r="E2522" s="64"/>
      <c r="F2522" s="95"/>
      <c r="G2522" s="96"/>
      <c r="H2522" s="64"/>
      <c r="I2522" s="64"/>
      <c r="J2522" s="64"/>
      <c r="K2522" s="64"/>
      <c r="L2522" s="64"/>
    </row>
    <row r="2523" ht="16.5" customHeight="1">
      <c r="A2523" s="64"/>
      <c r="B2523" s="98" t="s">
        <v>18264</v>
      </c>
      <c r="C2523" s="81"/>
      <c r="D2523" s="75"/>
      <c r="E2523" s="64"/>
      <c r="F2523" s="95"/>
      <c r="G2523" s="96"/>
      <c r="H2523" s="64"/>
      <c r="I2523" s="64"/>
      <c r="J2523" s="64"/>
      <c r="K2523" s="64"/>
      <c r="L2523" s="64"/>
    </row>
    <row r="2524" ht="16.5" customHeight="1">
      <c r="A2524" s="64"/>
      <c r="B2524" s="98" t="s">
        <v>18264</v>
      </c>
      <c r="C2524" s="81"/>
      <c r="D2524" s="75"/>
      <c r="E2524" s="64"/>
      <c r="F2524" s="95"/>
      <c r="G2524" s="96"/>
      <c r="H2524" s="64"/>
      <c r="I2524" s="64"/>
      <c r="J2524" s="64"/>
      <c r="K2524" s="64"/>
      <c r="L2524" s="64"/>
    </row>
    <row r="2525" ht="16.5" customHeight="1">
      <c r="A2525" s="64"/>
      <c r="B2525" s="98" t="s">
        <v>18264</v>
      </c>
      <c r="C2525" s="81"/>
      <c r="D2525" s="75"/>
      <c r="E2525" s="64"/>
      <c r="F2525" s="95"/>
      <c r="G2525" s="96"/>
      <c r="H2525" s="64"/>
      <c r="I2525" s="64"/>
      <c r="J2525" s="64"/>
      <c r="K2525" s="64"/>
      <c r="L2525" s="64"/>
    </row>
    <row r="2526" ht="16.5" customHeight="1">
      <c r="A2526" s="64"/>
      <c r="B2526" s="98" t="s">
        <v>18264</v>
      </c>
      <c r="C2526" s="81"/>
      <c r="D2526" s="75"/>
      <c r="E2526" s="64"/>
      <c r="F2526" s="95"/>
      <c r="G2526" s="96"/>
      <c r="H2526" s="64"/>
      <c r="I2526" s="64"/>
      <c r="J2526" s="64"/>
      <c r="K2526" s="64"/>
      <c r="L2526" s="64"/>
    </row>
    <row r="2527" ht="16.5" customHeight="1">
      <c r="A2527" s="64"/>
      <c r="B2527" s="98" t="s">
        <v>18264</v>
      </c>
      <c r="C2527" s="81"/>
      <c r="D2527" s="75"/>
      <c r="E2527" s="64"/>
      <c r="F2527" s="95"/>
      <c r="G2527" s="96"/>
      <c r="H2527" s="64"/>
      <c r="I2527" s="64"/>
      <c r="J2527" s="64"/>
      <c r="K2527" s="64"/>
      <c r="L2527" s="64"/>
    </row>
    <row r="2528" ht="16.5" customHeight="1">
      <c r="A2528" s="64"/>
      <c r="B2528" s="98" t="s">
        <v>18264</v>
      </c>
      <c r="C2528" s="81"/>
      <c r="D2528" s="75"/>
      <c r="E2528" s="64"/>
      <c r="F2528" s="95"/>
      <c r="G2528" s="96"/>
      <c r="H2528" s="64"/>
      <c r="I2528" s="64"/>
      <c r="J2528" s="64"/>
      <c r="K2528" s="64"/>
      <c r="L2528" s="64"/>
    </row>
    <row r="2529" ht="16.5" customHeight="1">
      <c r="A2529" s="64"/>
      <c r="B2529" s="98" t="s">
        <v>18264</v>
      </c>
      <c r="C2529" s="81"/>
      <c r="D2529" s="75"/>
      <c r="E2529" s="64"/>
      <c r="F2529" s="95"/>
      <c r="G2529" s="96"/>
      <c r="H2529" s="64"/>
      <c r="I2529" s="64"/>
      <c r="J2529" s="64"/>
      <c r="K2529" s="64"/>
      <c r="L2529" s="64"/>
    </row>
    <row r="2530" ht="16.5" customHeight="1">
      <c r="A2530" s="64"/>
      <c r="B2530" s="98" t="s">
        <v>18264</v>
      </c>
      <c r="C2530" s="81"/>
      <c r="D2530" s="75"/>
      <c r="E2530" s="64"/>
      <c r="F2530" s="95"/>
      <c r="G2530" s="96"/>
      <c r="H2530" s="64"/>
      <c r="I2530" s="64"/>
      <c r="J2530" s="64"/>
      <c r="K2530" s="64"/>
      <c r="L2530" s="64"/>
    </row>
    <row r="2531" ht="16.5" customHeight="1">
      <c r="A2531" s="64"/>
      <c r="B2531" s="98" t="s">
        <v>18264</v>
      </c>
      <c r="C2531" s="81"/>
      <c r="D2531" s="75"/>
      <c r="E2531" s="64"/>
      <c r="F2531" s="95"/>
      <c r="G2531" s="96"/>
      <c r="H2531" s="64"/>
      <c r="I2531" s="64"/>
      <c r="J2531" s="64"/>
      <c r="K2531" s="64"/>
      <c r="L2531" s="64"/>
    </row>
    <row r="2532" ht="16.5" customHeight="1">
      <c r="A2532" s="64"/>
      <c r="B2532" s="98" t="s">
        <v>18264</v>
      </c>
      <c r="C2532" s="81"/>
      <c r="D2532" s="75"/>
      <c r="E2532" s="64"/>
      <c r="F2532" s="95"/>
      <c r="G2532" s="96"/>
      <c r="H2532" s="64"/>
      <c r="I2532" s="64"/>
      <c r="J2532" s="64"/>
      <c r="K2532" s="64"/>
      <c r="L2532" s="64"/>
    </row>
    <row r="2533" ht="16.5" customHeight="1">
      <c r="A2533" s="64"/>
      <c r="B2533" s="98" t="s">
        <v>18264</v>
      </c>
      <c r="C2533" s="81"/>
      <c r="D2533" s="75"/>
      <c r="E2533" s="64"/>
      <c r="F2533" s="95"/>
      <c r="G2533" s="96"/>
      <c r="H2533" s="64"/>
      <c r="I2533" s="64"/>
      <c r="J2533" s="64"/>
      <c r="K2533" s="64"/>
      <c r="L2533" s="64"/>
    </row>
    <row r="2534" ht="16.5" customHeight="1">
      <c r="A2534" s="64"/>
      <c r="B2534" s="98" t="s">
        <v>18264</v>
      </c>
      <c r="C2534" s="81"/>
      <c r="D2534" s="75"/>
      <c r="E2534" s="64"/>
      <c r="F2534" s="95"/>
      <c r="G2534" s="96"/>
      <c r="H2534" s="64"/>
      <c r="I2534" s="64"/>
      <c r="J2534" s="64"/>
      <c r="K2534" s="64"/>
      <c r="L2534" s="64"/>
    </row>
    <row r="2535" ht="16.5" customHeight="1">
      <c r="A2535" s="64"/>
      <c r="B2535" s="98" t="s">
        <v>18264</v>
      </c>
      <c r="C2535" s="81"/>
      <c r="D2535" s="75"/>
      <c r="E2535" s="64"/>
      <c r="F2535" s="95"/>
      <c r="G2535" s="96"/>
      <c r="H2535" s="64"/>
      <c r="I2535" s="64"/>
      <c r="J2535" s="64"/>
      <c r="K2535" s="64"/>
      <c r="L2535" s="64"/>
    </row>
    <row r="2536" ht="16.5" customHeight="1">
      <c r="A2536" s="64"/>
      <c r="B2536" s="98" t="s">
        <v>18264</v>
      </c>
      <c r="C2536" s="81"/>
      <c r="D2536" s="75"/>
      <c r="E2536" s="64"/>
      <c r="F2536" s="95"/>
      <c r="G2536" s="96"/>
      <c r="H2536" s="64"/>
      <c r="I2536" s="64"/>
      <c r="J2536" s="64"/>
      <c r="K2536" s="64"/>
      <c r="L2536" s="64"/>
    </row>
    <row r="2537" ht="16.5" customHeight="1">
      <c r="A2537" s="64"/>
      <c r="B2537" s="98" t="s">
        <v>18264</v>
      </c>
      <c r="C2537" s="81"/>
      <c r="D2537" s="75"/>
      <c r="E2537" s="64"/>
      <c r="F2537" s="95"/>
      <c r="G2537" s="96"/>
      <c r="H2537" s="64"/>
      <c r="I2537" s="64"/>
      <c r="J2537" s="64"/>
      <c r="K2537" s="64"/>
      <c r="L2537" s="64"/>
    </row>
    <row r="2538" ht="16.5" customHeight="1">
      <c r="A2538" s="64"/>
      <c r="B2538" s="98" t="s">
        <v>18264</v>
      </c>
      <c r="C2538" s="81"/>
      <c r="D2538" s="75"/>
      <c r="E2538" s="64"/>
      <c r="F2538" s="95"/>
      <c r="G2538" s="96"/>
      <c r="H2538" s="64"/>
      <c r="I2538" s="64"/>
      <c r="J2538" s="64"/>
      <c r="K2538" s="64"/>
      <c r="L2538" s="64"/>
    </row>
    <row r="2539" ht="16.5" customHeight="1">
      <c r="A2539" s="64"/>
      <c r="B2539" s="98" t="s">
        <v>18264</v>
      </c>
      <c r="C2539" s="81"/>
      <c r="D2539" s="75"/>
      <c r="E2539" s="64"/>
      <c r="F2539" s="95"/>
      <c r="G2539" s="96"/>
      <c r="H2539" s="64"/>
      <c r="I2539" s="64"/>
      <c r="J2539" s="64"/>
      <c r="K2539" s="64"/>
      <c r="L2539" s="64"/>
    </row>
    <row r="2540" ht="16.5" customHeight="1">
      <c r="A2540" s="64"/>
      <c r="B2540" s="98" t="s">
        <v>18264</v>
      </c>
      <c r="C2540" s="81"/>
      <c r="D2540" s="75"/>
      <c r="E2540" s="64"/>
      <c r="F2540" s="95"/>
      <c r="G2540" s="96"/>
      <c r="H2540" s="64"/>
      <c r="I2540" s="64"/>
      <c r="J2540" s="64"/>
      <c r="K2540" s="64"/>
      <c r="L2540" s="64"/>
    </row>
    <row r="2541" ht="16.5" customHeight="1">
      <c r="A2541" s="64"/>
      <c r="B2541" s="98" t="s">
        <v>18264</v>
      </c>
      <c r="C2541" s="81"/>
      <c r="D2541" s="75"/>
      <c r="E2541" s="64"/>
      <c r="F2541" s="95"/>
      <c r="G2541" s="96"/>
      <c r="H2541" s="64"/>
      <c r="I2541" s="64"/>
      <c r="J2541" s="64"/>
      <c r="K2541" s="64"/>
      <c r="L2541" s="64"/>
    </row>
    <row r="2542" ht="16.5" customHeight="1">
      <c r="A2542" s="64"/>
      <c r="B2542" s="98" t="s">
        <v>18264</v>
      </c>
      <c r="C2542" s="81"/>
      <c r="D2542" s="75"/>
      <c r="E2542" s="64"/>
      <c r="F2542" s="95"/>
      <c r="G2542" s="96"/>
      <c r="H2542" s="64"/>
      <c r="I2542" s="64"/>
      <c r="J2542" s="64"/>
      <c r="K2542" s="64"/>
      <c r="L2542" s="64"/>
    </row>
    <row r="2543" ht="16.5" customHeight="1">
      <c r="A2543" s="64"/>
      <c r="B2543" s="98" t="s">
        <v>18264</v>
      </c>
      <c r="C2543" s="81"/>
      <c r="D2543" s="75"/>
      <c r="E2543" s="64"/>
      <c r="F2543" s="95"/>
      <c r="G2543" s="96"/>
      <c r="H2543" s="64"/>
      <c r="I2543" s="64"/>
      <c r="J2543" s="64"/>
      <c r="K2543" s="64"/>
      <c r="L2543" s="64"/>
    </row>
    <row r="2544" ht="16.5" customHeight="1">
      <c r="A2544" s="64"/>
      <c r="B2544" s="98" t="s">
        <v>18264</v>
      </c>
      <c r="C2544" s="81"/>
      <c r="D2544" s="75"/>
      <c r="E2544" s="64"/>
      <c r="F2544" s="95"/>
      <c r="G2544" s="96"/>
      <c r="H2544" s="64"/>
      <c r="I2544" s="64"/>
      <c r="J2544" s="64"/>
      <c r="K2544" s="64"/>
      <c r="L2544" s="64"/>
    </row>
    <row r="2545" ht="16.5" customHeight="1">
      <c r="A2545" s="64"/>
      <c r="B2545" s="98" t="s">
        <v>18264</v>
      </c>
      <c r="C2545" s="81"/>
      <c r="D2545" s="75"/>
      <c r="E2545" s="64"/>
      <c r="F2545" s="95"/>
      <c r="G2545" s="96"/>
      <c r="H2545" s="64"/>
      <c r="I2545" s="64"/>
      <c r="J2545" s="64"/>
      <c r="K2545" s="64"/>
      <c r="L2545" s="64"/>
    </row>
    <row r="2546" ht="16.5" customHeight="1">
      <c r="A2546" s="64"/>
      <c r="B2546" s="98" t="s">
        <v>18264</v>
      </c>
      <c r="C2546" s="81"/>
      <c r="D2546" s="75"/>
      <c r="E2546" s="64"/>
      <c r="F2546" s="95"/>
      <c r="G2546" s="96"/>
      <c r="H2546" s="64"/>
      <c r="I2546" s="64"/>
      <c r="J2546" s="64"/>
      <c r="K2546" s="64"/>
      <c r="L2546" s="64"/>
    </row>
    <row r="2547" ht="16.5" customHeight="1">
      <c r="A2547" s="64"/>
      <c r="B2547" s="98" t="s">
        <v>18264</v>
      </c>
      <c r="C2547" s="81"/>
      <c r="D2547" s="75"/>
      <c r="E2547" s="64"/>
      <c r="F2547" s="95"/>
      <c r="G2547" s="96"/>
      <c r="H2547" s="64"/>
      <c r="I2547" s="64"/>
      <c r="J2547" s="64"/>
      <c r="K2547" s="64"/>
      <c r="L2547" s="64"/>
    </row>
    <row r="2548" ht="16.5" customHeight="1">
      <c r="A2548" s="64"/>
      <c r="B2548" s="98" t="s">
        <v>18264</v>
      </c>
      <c r="C2548" s="81"/>
      <c r="D2548" s="75"/>
      <c r="E2548" s="64"/>
      <c r="F2548" s="95"/>
      <c r="G2548" s="96"/>
      <c r="H2548" s="64"/>
      <c r="I2548" s="64"/>
      <c r="J2548" s="64"/>
      <c r="K2548" s="64"/>
      <c r="L2548" s="64"/>
    </row>
    <row r="2549" ht="16.5" customHeight="1">
      <c r="A2549" s="64"/>
      <c r="B2549" s="98" t="s">
        <v>18264</v>
      </c>
      <c r="C2549" s="81"/>
      <c r="D2549" s="75"/>
      <c r="E2549" s="64"/>
      <c r="F2549" s="95"/>
      <c r="G2549" s="96"/>
      <c r="H2549" s="64"/>
      <c r="I2549" s="64"/>
      <c r="J2549" s="64"/>
      <c r="K2549" s="64"/>
      <c r="L2549" s="64"/>
    </row>
    <row r="2550" ht="16.5" customHeight="1">
      <c r="A2550" s="64"/>
      <c r="B2550" s="98" t="s">
        <v>18264</v>
      </c>
      <c r="C2550" s="81"/>
      <c r="D2550" s="75"/>
      <c r="E2550" s="64"/>
      <c r="F2550" s="95"/>
      <c r="G2550" s="96"/>
      <c r="H2550" s="64"/>
      <c r="I2550" s="64"/>
      <c r="J2550" s="64"/>
      <c r="K2550" s="64"/>
      <c r="L2550" s="64"/>
    </row>
    <row r="2551" ht="16.5" customHeight="1">
      <c r="A2551" s="64"/>
      <c r="B2551" s="98" t="s">
        <v>18264</v>
      </c>
      <c r="C2551" s="81"/>
      <c r="D2551" s="75"/>
      <c r="E2551" s="64"/>
      <c r="F2551" s="95"/>
      <c r="G2551" s="96"/>
      <c r="H2551" s="64"/>
      <c r="I2551" s="64"/>
      <c r="J2551" s="64"/>
      <c r="K2551" s="64"/>
      <c r="L2551" s="64"/>
    </row>
    <row r="2552" ht="16.5" customHeight="1">
      <c r="A2552" s="64"/>
      <c r="B2552" s="98" t="s">
        <v>18264</v>
      </c>
      <c r="C2552" s="81"/>
      <c r="D2552" s="75"/>
      <c r="E2552" s="64"/>
      <c r="F2552" s="95"/>
      <c r="G2552" s="96"/>
      <c r="H2552" s="64"/>
      <c r="I2552" s="64"/>
      <c r="J2552" s="64"/>
      <c r="K2552" s="64"/>
      <c r="L2552" s="64"/>
    </row>
    <row r="2553" ht="16.5" customHeight="1">
      <c r="A2553" s="64"/>
      <c r="B2553" s="98" t="s">
        <v>18264</v>
      </c>
      <c r="C2553" s="81"/>
      <c r="D2553" s="75"/>
      <c r="E2553" s="64"/>
      <c r="F2553" s="95"/>
      <c r="G2553" s="96"/>
      <c r="H2553" s="64"/>
      <c r="I2553" s="64"/>
      <c r="J2553" s="64"/>
      <c r="K2553" s="64"/>
      <c r="L2553" s="64"/>
    </row>
    <row r="2554" ht="16.5" customHeight="1">
      <c r="A2554" s="64"/>
      <c r="B2554" s="98" t="s">
        <v>18264</v>
      </c>
      <c r="C2554" s="81"/>
      <c r="D2554" s="75"/>
      <c r="E2554" s="64"/>
      <c r="F2554" s="95"/>
      <c r="G2554" s="96"/>
      <c r="H2554" s="64"/>
      <c r="I2554" s="64"/>
      <c r="J2554" s="64"/>
      <c r="K2554" s="64"/>
      <c r="L2554" s="64"/>
    </row>
    <row r="2555" ht="16.5" customHeight="1">
      <c r="A2555" s="64"/>
      <c r="B2555" s="98" t="s">
        <v>18264</v>
      </c>
      <c r="C2555" s="81"/>
      <c r="D2555" s="75"/>
      <c r="E2555" s="64"/>
      <c r="F2555" s="95"/>
      <c r="G2555" s="96"/>
      <c r="H2555" s="64"/>
      <c r="I2555" s="64"/>
      <c r="J2555" s="64"/>
      <c r="K2555" s="64"/>
      <c r="L2555" s="64"/>
    </row>
    <row r="2556" ht="16.5" customHeight="1">
      <c r="A2556" s="64"/>
      <c r="B2556" s="98" t="s">
        <v>18264</v>
      </c>
      <c r="C2556" s="81"/>
      <c r="D2556" s="75"/>
      <c r="E2556" s="64"/>
      <c r="F2556" s="95"/>
      <c r="G2556" s="96"/>
      <c r="H2556" s="64"/>
      <c r="I2556" s="64"/>
      <c r="J2556" s="64"/>
      <c r="K2556" s="64"/>
      <c r="L2556" s="64"/>
    </row>
    <row r="2557" ht="16.5" customHeight="1">
      <c r="A2557" s="64"/>
      <c r="B2557" s="98" t="s">
        <v>18264</v>
      </c>
      <c r="C2557" s="81"/>
      <c r="D2557" s="75"/>
      <c r="E2557" s="64"/>
      <c r="F2557" s="95"/>
      <c r="G2557" s="96"/>
      <c r="H2557" s="64"/>
      <c r="I2557" s="64"/>
      <c r="J2557" s="64"/>
      <c r="K2557" s="64"/>
      <c r="L2557" s="64"/>
    </row>
    <row r="2558" ht="16.5" customHeight="1">
      <c r="A2558" s="64"/>
      <c r="B2558" s="98" t="s">
        <v>18264</v>
      </c>
      <c r="C2558" s="81"/>
      <c r="D2558" s="75"/>
      <c r="E2558" s="64"/>
      <c r="F2558" s="95"/>
      <c r="G2558" s="96"/>
      <c r="H2558" s="64"/>
      <c r="I2558" s="64"/>
      <c r="J2558" s="64"/>
      <c r="K2558" s="64"/>
      <c r="L2558" s="64"/>
    </row>
    <row r="2559" ht="16.5" customHeight="1">
      <c r="A2559" s="64"/>
      <c r="B2559" s="98" t="s">
        <v>18264</v>
      </c>
      <c r="C2559" s="81"/>
      <c r="D2559" s="75"/>
      <c r="E2559" s="64"/>
      <c r="F2559" s="95"/>
      <c r="G2559" s="96"/>
      <c r="H2559" s="64"/>
      <c r="I2559" s="64"/>
      <c r="J2559" s="64"/>
      <c r="K2559" s="64"/>
      <c r="L2559" s="64"/>
    </row>
    <row r="2560" ht="16.5" customHeight="1">
      <c r="A2560" s="64"/>
      <c r="B2560" s="98" t="s">
        <v>18264</v>
      </c>
      <c r="C2560" s="81"/>
      <c r="D2560" s="75"/>
      <c r="E2560" s="64"/>
      <c r="F2560" s="95"/>
      <c r="G2560" s="96"/>
      <c r="H2560" s="64"/>
      <c r="I2560" s="64"/>
      <c r="J2560" s="64"/>
      <c r="K2560" s="64"/>
      <c r="L2560" s="64"/>
    </row>
    <row r="2561" ht="16.5" customHeight="1">
      <c r="A2561" s="64"/>
      <c r="B2561" s="98" t="s">
        <v>18264</v>
      </c>
      <c r="C2561" s="81"/>
      <c r="D2561" s="75"/>
      <c r="E2561" s="64"/>
      <c r="F2561" s="95"/>
      <c r="G2561" s="96"/>
      <c r="H2561" s="64"/>
      <c r="I2561" s="64"/>
      <c r="J2561" s="64"/>
      <c r="K2561" s="64"/>
      <c r="L2561" s="64"/>
    </row>
    <row r="2562" ht="16.5" customHeight="1">
      <c r="A2562" s="64"/>
      <c r="B2562" s="98" t="s">
        <v>18264</v>
      </c>
      <c r="C2562" s="81"/>
      <c r="D2562" s="75"/>
      <c r="E2562" s="64"/>
      <c r="F2562" s="95"/>
      <c r="G2562" s="96"/>
      <c r="H2562" s="64"/>
      <c r="I2562" s="64"/>
      <c r="J2562" s="64"/>
      <c r="K2562" s="64"/>
      <c r="L2562" s="64"/>
    </row>
    <row r="2563" ht="16.5" customHeight="1">
      <c r="A2563" s="64"/>
      <c r="B2563" s="98" t="s">
        <v>18264</v>
      </c>
      <c r="C2563" s="81"/>
      <c r="D2563" s="75"/>
      <c r="E2563" s="64"/>
      <c r="F2563" s="95"/>
      <c r="G2563" s="96"/>
      <c r="H2563" s="64"/>
      <c r="I2563" s="64"/>
      <c r="J2563" s="64"/>
      <c r="K2563" s="64"/>
      <c r="L2563" s="64"/>
    </row>
    <row r="2564" ht="16.5" customHeight="1">
      <c r="A2564" s="64"/>
      <c r="B2564" s="98" t="s">
        <v>18264</v>
      </c>
      <c r="C2564" s="81"/>
      <c r="D2564" s="75"/>
      <c r="E2564" s="64"/>
      <c r="F2564" s="95"/>
      <c r="G2564" s="96"/>
      <c r="H2564" s="64"/>
      <c r="I2564" s="64"/>
      <c r="J2564" s="64"/>
      <c r="K2564" s="64"/>
      <c r="L2564" s="64"/>
    </row>
    <row r="2565" ht="16.5" customHeight="1">
      <c r="A2565" s="64"/>
      <c r="B2565" s="98" t="s">
        <v>18264</v>
      </c>
      <c r="C2565" s="81"/>
      <c r="D2565" s="75"/>
      <c r="E2565" s="64"/>
      <c r="F2565" s="95"/>
      <c r="G2565" s="96"/>
      <c r="H2565" s="64"/>
      <c r="I2565" s="64"/>
      <c r="J2565" s="64"/>
      <c r="K2565" s="64"/>
      <c r="L2565" s="64"/>
    </row>
    <row r="2566" ht="16.5" customHeight="1">
      <c r="A2566" s="64"/>
      <c r="B2566" s="98" t="s">
        <v>18264</v>
      </c>
      <c r="C2566" s="81"/>
      <c r="D2566" s="75"/>
      <c r="E2566" s="64"/>
      <c r="F2566" s="95"/>
      <c r="G2566" s="96"/>
      <c r="H2566" s="64"/>
      <c r="I2566" s="64"/>
      <c r="J2566" s="64"/>
      <c r="K2566" s="64"/>
      <c r="L2566" s="64"/>
    </row>
    <row r="2567" ht="16.5" customHeight="1">
      <c r="A2567" s="64"/>
      <c r="B2567" s="98" t="s">
        <v>18264</v>
      </c>
      <c r="C2567" s="81"/>
      <c r="D2567" s="75"/>
      <c r="E2567" s="64"/>
      <c r="F2567" s="95"/>
      <c r="G2567" s="96"/>
      <c r="H2567" s="64"/>
      <c r="I2567" s="64"/>
      <c r="J2567" s="64"/>
      <c r="K2567" s="64"/>
      <c r="L2567" s="64"/>
    </row>
    <row r="2568" ht="16.5" customHeight="1">
      <c r="A2568" s="64"/>
      <c r="B2568" s="98" t="s">
        <v>18264</v>
      </c>
      <c r="C2568" s="81"/>
      <c r="D2568" s="75"/>
      <c r="E2568" s="64"/>
      <c r="F2568" s="95"/>
      <c r="G2568" s="96"/>
      <c r="H2568" s="64"/>
      <c r="I2568" s="64"/>
      <c r="J2568" s="64"/>
      <c r="K2568" s="64"/>
      <c r="L2568" s="64"/>
    </row>
    <row r="2569" ht="16.5" customHeight="1">
      <c r="A2569" s="64"/>
      <c r="B2569" s="98" t="s">
        <v>18264</v>
      </c>
      <c r="C2569" s="81"/>
      <c r="D2569" s="75"/>
      <c r="E2569" s="64"/>
      <c r="F2569" s="95"/>
      <c r="G2569" s="96"/>
      <c r="H2569" s="64"/>
      <c r="I2569" s="64"/>
      <c r="J2569" s="64"/>
      <c r="K2569" s="64"/>
      <c r="L2569" s="64"/>
    </row>
    <row r="2570" ht="16.5" customHeight="1">
      <c r="A2570" s="64"/>
      <c r="B2570" s="98" t="s">
        <v>18264</v>
      </c>
      <c r="C2570" s="81"/>
      <c r="D2570" s="75"/>
      <c r="E2570" s="64"/>
      <c r="F2570" s="95"/>
      <c r="G2570" s="96"/>
      <c r="H2570" s="64"/>
      <c r="I2570" s="64"/>
      <c r="J2570" s="64"/>
      <c r="K2570" s="64"/>
      <c r="L2570" s="64"/>
    </row>
    <row r="2571" ht="16.5" customHeight="1">
      <c r="A2571" s="64"/>
      <c r="B2571" s="98" t="s">
        <v>18264</v>
      </c>
      <c r="C2571" s="81"/>
      <c r="D2571" s="75"/>
      <c r="E2571" s="64"/>
      <c r="F2571" s="95"/>
      <c r="G2571" s="96"/>
      <c r="H2571" s="64"/>
      <c r="I2571" s="64"/>
      <c r="J2571" s="64"/>
      <c r="K2571" s="64"/>
      <c r="L2571" s="64"/>
    </row>
    <row r="2572" ht="16.5" customHeight="1">
      <c r="A2572" s="64"/>
      <c r="B2572" s="98" t="s">
        <v>18264</v>
      </c>
      <c r="C2572" s="81"/>
      <c r="D2572" s="75"/>
      <c r="E2572" s="64"/>
      <c r="F2572" s="95"/>
      <c r="G2572" s="96"/>
      <c r="H2572" s="64"/>
      <c r="I2572" s="64"/>
      <c r="J2572" s="64"/>
      <c r="K2572" s="64"/>
      <c r="L2572" s="64"/>
    </row>
    <row r="2573" ht="16.5" customHeight="1">
      <c r="A2573" s="64"/>
      <c r="B2573" s="98" t="s">
        <v>18264</v>
      </c>
      <c r="C2573" s="81"/>
      <c r="D2573" s="75"/>
      <c r="E2573" s="64"/>
      <c r="F2573" s="95"/>
      <c r="G2573" s="96"/>
      <c r="H2573" s="64"/>
      <c r="I2573" s="64"/>
      <c r="J2573" s="64"/>
      <c r="K2573" s="64"/>
      <c r="L2573" s="64"/>
    </row>
    <row r="2574" ht="16.5" customHeight="1">
      <c r="A2574" s="64"/>
      <c r="B2574" s="98" t="s">
        <v>18264</v>
      </c>
      <c r="C2574" s="81"/>
      <c r="D2574" s="75"/>
      <c r="E2574" s="64"/>
      <c r="F2574" s="95"/>
      <c r="G2574" s="96"/>
      <c r="H2574" s="64"/>
      <c r="I2574" s="64"/>
      <c r="J2574" s="64"/>
      <c r="K2574" s="64"/>
      <c r="L2574" s="64"/>
    </row>
    <row r="2575" ht="16.5" customHeight="1">
      <c r="A2575" s="64"/>
      <c r="B2575" s="98" t="s">
        <v>18264</v>
      </c>
      <c r="C2575" s="81"/>
      <c r="D2575" s="75"/>
      <c r="E2575" s="64"/>
      <c r="F2575" s="95"/>
      <c r="G2575" s="96"/>
      <c r="H2575" s="64"/>
      <c r="I2575" s="64"/>
      <c r="J2575" s="64"/>
      <c r="K2575" s="64"/>
      <c r="L2575" s="64"/>
    </row>
    <row r="2576" ht="16.5" customHeight="1">
      <c r="A2576" s="64"/>
      <c r="B2576" s="98" t="s">
        <v>18264</v>
      </c>
      <c r="C2576" s="81"/>
      <c r="D2576" s="75"/>
      <c r="E2576" s="64"/>
      <c r="F2576" s="95"/>
      <c r="G2576" s="96"/>
      <c r="H2576" s="64"/>
      <c r="I2576" s="64"/>
      <c r="J2576" s="64"/>
      <c r="K2576" s="64"/>
      <c r="L2576" s="64"/>
    </row>
    <row r="2577" ht="16.5" customHeight="1">
      <c r="A2577" s="64"/>
      <c r="B2577" s="98" t="s">
        <v>18264</v>
      </c>
      <c r="C2577" s="81"/>
      <c r="D2577" s="75"/>
      <c r="E2577" s="64"/>
      <c r="F2577" s="95"/>
      <c r="G2577" s="96"/>
      <c r="H2577" s="64"/>
      <c r="I2577" s="64"/>
      <c r="J2577" s="64"/>
      <c r="K2577" s="64"/>
      <c r="L2577" s="64"/>
    </row>
    <row r="2578" ht="16.5" customHeight="1">
      <c r="A2578" s="64"/>
      <c r="B2578" s="98" t="s">
        <v>18264</v>
      </c>
      <c r="C2578" s="81"/>
      <c r="D2578" s="75"/>
      <c r="E2578" s="64"/>
      <c r="F2578" s="95"/>
      <c r="G2578" s="96"/>
      <c r="H2578" s="64"/>
      <c r="I2578" s="64"/>
      <c r="J2578" s="64"/>
      <c r="K2578" s="64"/>
      <c r="L2578" s="64"/>
    </row>
    <row r="2579" ht="16.5" customHeight="1">
      <c r="A2579" s="64"/>
      <c r="B2579" s="98" t="s">
        <v>18264</v>
      </c>
      <c r="C2579" s="81"/>
      <c r="D2579" s="75"/>
      <c r="E2579" s="64"/>
      <c r="F2579" s="95"/>
      <c r="G2579" s="96"/>
      <c r="H2579" s="64"/>
      <c r="I2579" s="64"/>
      <c r="J2579" s="64"/>
      <c r="K2579" s="64"/>
      <c r="L2579" s="64"/>
    </row>
    <row r="2580" ht="16.5" customHeight="1">
      <c r="A2580" s="64"/>
      <c r="B2580" s="98" t="s">
        <v>18264</v>
      </c>
      <c r="C2580" s="81"/>
      <c r="D2580" s="75"/>
      <c r="E2580" s="64"/>
      <c r="F2580" s="95"/>
      <c r="G2580" s="96"/>
      <c r="H2580" s="64"/>
      <c r="I2580" s="64"/>
      <c r="J2580" s="64"/>
      <c r="K2580" s="64"/>
      <c r="L2580" s="64"/>
    </row>
    <row r="2581" ht="16.5" customHeight="1">
      <c r="A2581" s="64"/>
      <c r="B2581" s="98" t="s">
        <v>18264</v>
      </c>
      <c r="C2581" s="81"/>
      <c r="D2581" s="75"/>
      <c r="E2581" s="64"/>
      <c r="F2581" s="95"/>
      <c r="G2581" s="96"/>
      <c r="H2581" s="64"/>
      <c r="I2581" s="64"/>
      <c r="J2581" s="64"/>
      <c r="K2581" s="64"/>
      <c r="L2581" s="64"/>
    </row>
    <row r="2582" ht="16.5" customHeight="1">
      <c r="A2582" s="64"/>
      <c r="B2582" s="98" t="s">
        <v>18264</v>
      </c>
      <c r="C2582" s="81"/>
      <c r="D2582" s="75"/>
      <c r="E2582" s="64"/>
      <c r="F2582" s="95"/>
      <c r="G2582" s="96"/>
      <c r="H2582" s="64"/>
      <c r="I2582" s="64"/>
      <c r="J2582" s="64"/>
      <c r="K2582" s="64"/>
      <c r="L2582" s="64"/>
    </row>
    <row r="2583" ht="16.5" customHeight="1">
      <c r="A2583" s="64"/>
      <c r="B2583" s="98" t="s">
        <v>18264</v>
      </c>
      <c r="C2583" s="81"/>
      <c r="D2583" s="75"/>
      <c r="E2583" s="64"/>
      <c r="F2583" s="95"/>
      <c r="G2583" s="96"/>
      <c r="H2583" s="64"/>
      <c r="I2583" s="64"/>
      <c r="J2583" s="64"/>
      <c r="K2583" s="64"/>
      <c r="L2583" s="64"/>
    </row>
    <row r="2584" ht="16.5" customHeight="1">
      <c r="A2584" s="64"/>
      <c r="B2584" s="98" t="s">
        <v>18264</v>
      </c>
      <c r="C2584" s="81"/>
      <c r="D2584" s="75"/>
      <c r="E2584" s="64"/>
      <c r="F2584" s="95"/>
      <c r="G2584" s="96"/>
      <c r="H2584" s="64"/>
      <c r="I2584" s="64"/>
      <c r="J2584" s="64"/>
      <c r="K2584" s="64"/>
      <c r="L2584" s="64"/>
    </row>
    <row r="2585" ht="16.5" customHeight="1">
      <c r="A2585" s="64"/>
      <c r="B2585" s="98" t="s">
        <v>18264</v>
      </c>
      <c r="C2585" s="81"/>
      <c r="D2585" s="75"/>
      <c r="E2585" s="64"/>
      <c r="F2585" s="95"/>
      <c r="G2585" s="96"/>
      <c r="H2585" s="64"/>
      <c r="I2585" s="64"/>
      <c r="J2585" s="64"/>
      <c r="K2585" s="64"/>
      <c r="L2585" s="64"/>
    </row>
    <row r="2586" ht="16.5" customHeight="1">
      <c r="A2586" s="64"/>
      <c r="B2586" s="98" t="s">
        <v>18264</v>
      </c>
      <c r="C2586" s="81"/>
      <c r="D2586" s="75"/>
      <c r="E2586" s="64"/>
      <c r="F2586" s="95"/>
      <c r="G2586" s="96"/>
      <c r="H2586" s="64"/>
      <c r="I2586" s="64"/>
      <c r="J2586" s="64"/>
      <c r="K2586" s="64"/>
      <c r="L2586" s="64"/>
    </row>
    <row r="2587" ht="16.5" customHeight="1">
      <c r="A2587" s="64"/>
      <c r="B2587" s="98" t="s">
        <v>18264</v>
      </c>
      <c r="C2587" s="81"/>
      <c r="D2587" s="75"/>
      <c r="E2587" s="64"/>
      <c r="F2587" s="95"/>
      <c r="G2587" s="96"/>
      <c r="H2587" s="64"/>
      <c r="I2587" s="64"/>
      <c r="J2587" s="64"/>
      <c r="K2587" s="64"/>
      <c r="L2587" s="64"/>
    </row>
    <row r="2588" ht="16.5" customHeight="1">
      <c r="A2588" s="64"/>
      <c r="B2588" s="98" t="s">
        <v>18264</v>
      </c>
      <c r="C2588" s="81"/>
      <c r="D2588" s="75"/>
      <c r="E2588" s="64"/>
      <c r="F2588" s="95"/>
      <c r="G2588" s="96"/>
      <c r="H2588" s="64"/>
      <c r="I2588" s="64"/>
      <c r="J2588" s="64"/>
      <c r="K2588" s="64"/>
      <c r="L2588" s="64"/>
    </row>
    <row r="2589" ht="16.5" customHeight="1">
      <c r="A2589" s="64"/>
      <c r="B2589" s="98" t="s">
        <v>18264</v>
      </c>
      <c r="C2589" s="81"/>
      <c r="D2589" s="75"/>
      <c r="E2589" s="64"/>
      <c r="F2589" s="95"/>
      <c r="G2589" s="96"/>
      <c r="H2589" s="64"/>
      <c r="I2589" s="64"/>
      <c r="J2589" s="64"/>
      <c r="K2589" s="64"/>
      <c r="L2589" s="64"/>
    </row>
    <row r="2590" ht="16.5" customHeight="1">
      <c r="A2590" s="64"/>
      <c r="B2590" s="98" t="s">
        <v>18264</v>
      </c>
      <c r="C2590" s="81"/>
      <c r="D2590" s="75"/>
      <c r="E2590" s="64"/>
      <c r="F2590" s="95"/>
      <c r="G2590" s="96"/>
      <c r="H2590" s="64"/>
      <c r="I2590" s="64"/>
      <c r="J2590" s="64"/>
      <c r="K2590" s="64"/>
      <c r="L2590" s="64"/>
    </row>
    <row r="2591" ht="16.5" customHeight="1">
      <c r="A2591" s="64"/>
      <c r="B2591" s="98" t="s">
        <v>18264</v>
      </c>
      <c r="C2591" s="81"/>
      <c r="D2591" s="75"/>
      <c r="E2591" s="64"/>
      <c r="F2591" s="95"/>
      <c r="G2591" s="96"/>
      <c r="H2591" s="64"/>
      <c r="I2591" s="64"/>
      <c r="J2591" s="64"/>
      <c r="K2591" s="64"/>
      <c r="L2591" s="64"/>
    </row>
    <row r="2592" ht="16.5" customHeight="1">
      <c r="A2592" s="64"/>
      <c r="B2592" s="98" t="s">
        <v>18264</v>
      </c>
      <c r="C2592" s="81"/>
      <c r="D2592" s="75"/>
      <c r="E2592" s="64"/>
      <c r="F2592" s="95"/>
      <c r="G2592" s="96"/>
      <c r="H2592" s="64"/>
      <c r="I2592" s="64"/>
      <c r="J2592" s="64"/>
      <c r="K2592" s="64"/>
      <c r="L2592" s="64"/>
    </row>
    <row r="2593" ht="16.5" customHeight="1">
      <c r="A2593" s="64"/>
      <c r="B2593" s="98" t="s">
        <v>18264</v>
      </c>
      <c r="C2593" s="81"/>
      <c r="D2593" s="75"/>
      <c r="E2593" s="64"/>
      <c r="F2593" s="95"/>
      <c r="G2593" s="96"/>
      <c r="H2593" s="64"/>
      <c r="I2593" s="64"/>
      <c r="J2593" s="64"/>
      <c r="K2593" s="64"/>
      <c r="L2593" s="64"/>
    </row>
    <row r="2594" ht="16.5" customHeight="1">
      <c r="A2594" s="64"/>
      <c r="B2594" s="98" t="s">
        <v>18264</v>
      </c>
      <c r="C2594" s="81"/>
      <c r="D2594" s="75"/>
      <c r="E2594" s="64"/>
      <c r="F2594" s="95"/>
      <c r="G2594" s="96"/>
      <c r="H2594" s="64"/>
      <c r="I2594" s="64"/>
      <c r="J2594" s="64"/>
      <c r="K2594" s="64"/>
      <c r="L2594" s="64"/>
    </row>
    <row r="2595" ht="16.5" customHeight="1">
      <c r="A2595" s="64"/>
      <c r="B2595" s="98" t="s">
        <v>18264</v>
      </c>
      <c r="C2595" s="81"/>
      <c r="D2595" s="75"/>
      <c r="E2595" s="64"/>
      <c r="F2595" s="95"/>
      <c r="G2595" s="96"/>
      <c r="H2595" s="64"/>
      <c r="I2595" s="64"/>
      <c r="J2595" s="64"/>
      <c r="K2595" s="64"/>
      <c r="L2595" s="64"/>
    </row>
    <row r="2596" ht="16.5" customHeight="1">
      <c r="A2596" s="64"/>
      <c r="B2596" s="98" t="s">
        <v>18264</v>
      </c>
      <c r="C2596" s="81"/>
      <c r="D2596" s="75"/>
      <c r="E2596" s="64"/>
      <c r="F2596" s="95"/>
      <c r="G2596" s="96"/>
      <c r="H2596" s="64"/>
      <c r="I2596" s="64"/>
      <c r="J2596" s="64"/>
      <c r="K2596" s="64"/>
      <c r="L2596" s="64"/>
    </row>
    <row r="2597" ht="16.5" customHeight="1">
      <c r="A2597" s="64"/>
      <c r="B2597" s="98" t="s">
        <v>18264</v>
      </c>
      <c r="C2597" s="81"/>
      <c r="D2597" s="75"/>
      <c r="E2597" s="64"/>
      <c r="F2597" s="95"/>
      <c r="G2597" s="96"/>
      <c r="H2597" s="64"/>
      <c r="I2597" s="64"/>
      <c r="J2597" s="64"/>
      <c r="K2597" s="64"/>
      <c r="L2597" s="64"/>
    </row>
    <row r="2598" ht="16.5" customHeight="1">
      <c r="A2598" s="64"/>
      <c r="B2598" s="98" t="s">
        <v>18264</v>
      </c>
      <c r="C2598" s="81"/>
      <c r="D2598" s="75"/>
      <c r="E2598" s="64"/>
      <c r="F2598" s="95"/>
      <c r="G2598" s="96"/>
      <c r="H2598" s="64"/>
      <c r="I2598" s="64"/>
      <c r="J2598" s="64"/>
      <c r="K2598" s="64"/>
      <c r="L2598" s="64"/>
    </row>
    <row r="2599" ht="16.5" customHeight="1">
      <c r="A2599" s="64"/>
      <c r="B2599" s="98" t="s">
        <v>18264</v>
      </c>
      <c r="C2599" s="81"/>
      <c r="D2599" s="75"/>
      <c r="E2599" s="64"/>
      <c r="F2599" s="95"/>
      <c r="G2599" s="96"/>
      <c r="H2599" s="64"/>
      <c r="I2599" s="64"/>
      <c r="J2599" s="64"/>
      <c r="K2599" s="64"/>
      <c r="L2599" s="64"/>
    </row>
    <row r="2600" ht="16.5" customHeight="1">
      <c r="A2600" s="64"/>
      <c r="B2600" s="98" t="s">
        <v>18264</v>
      </c>
      <c r="C2600" s="81"/>
      <c r="D2600" s="75"/>
      <c r="E2600" s="64"/>
      <c r="F2600" s="95"/>
      <c r="G2600" s="96"/>
      <c r="H2600" s="64"/>
      <c r="I2600" s="64"/>
      <c r="J2600" s="64"/>
      <c r="K2600" s="64"/>
      <c r="L2600" s="64"/>
    </row>
    <row r="2601" ht="16.5" customHeight="1">
      <c r="A2601" s="64"/>
      <c r="B2601" s="98" t="s">
        <v>18264</v>
      </c>
      <c r="C2601" s="81"/>
      <c r="D2601" s="75"/>
      <c r="E2601" s="64"/>
      <c r="F2601" s="95"/>
      <c r="G2601" s="96"/>
      <c r="H2601" s="64"/>
      <c r="I2601" s="64"/>
      <c r="J2601" s="64"/>
      <c r="K2601" s="64"/>
      <c r="L2601" s="64"/>
    </row>
    <row r="2602" ht="16.5" customHeight="1">
      <c r="A2602" s="64"/>
      <c r="B2602" s="98" t="s">
        <v>18264</v>
      </c>
      <c r="C2602" s="81"/>
      <c r="D2602" s="75"/>
      <c r="E2602" s="64"/>
      <c r="F2602" s="95"/>
      <c r="G2602" s="96"/>
      <c r="H2602" s="64"/>
      <c r="I2602" s="64"/>
      <c r="J2602" s="64"/>
      <c r="K2602" s="64"/>
      <c r="L2602" s="64"/>
    </row>
    <row r="2603" ht="16.5" customHeight="1">
      <c r="A2603" s="64"/>
      <c r="B2603" s="98" t="s">
        <v>18264</v>
      </c>
      <c r="C2603" s="81"/>
      <c r="D2603" s="75"/>
      <c r="E2603" s="64"/>
      <c r="F2603" s="95"/>
      <c r="G2603" s="96"/>
      <c r="H2603" s="64"/>
      <c r="I2603" s="64"/>
      <c r="J2603" s="64"/>
      <c r="K2603" s="64"/>
      <c r="L2603" s="64"/>
    </row>
    <row r="2604" ht="16.5" customHeight="1">
      <c r="A2604" s="64"/>
      <c r="B2604" s="98" t="s">
        <v>18264</v>
      </c>
      <c r="C2604" s="81"/>
      <c r="D2604" s="75"/>
      <c r="E2604" s="64"/>
      <c r="F2604" s="95"/>
      <c r="G2604" s="96"/>
      <c r="H2604" s="64"/>
      <c r="I2604" s="64"/>
      <c r="J2604" s="64"/>
      <c r="K2604" s="64"/>
      <c r="L2604" s="64"/>
    </row>
    <row r="2605" ht="16.5" customHeight="1">
      <c r="A2605" s="64"/>
      <c r="B2605" s="98" t="s">
        <v>18264</v>
      </c>
      <c r="C2605" s="81"/>
      <c r="D2605" s="75"/>
      <c r="E2605" s="64"/>
      <c r="F2605" s="95"/>
      <c r="G2605" s="96"/>
      <c r="H2605" s="64"/>
      <c r="I2605" s="64"/>
      <c r="J2605" s="64"/>
      <c r="K2605" s="64"/>
      <c r="L2605" s="64"/>
    </row>
    <row r="2606" ht="16.5" customHeight="1">
      <c r="A2606" s="64"/>
      <c r="B2606" s="98" t="s">
        <v>18264</v>
      </c>
      <c r="C2606" s="81"/>
      <c r="D2606" s="75"/>
      <c r="E2606" s="64"/>
      <c r="F2606" s="95"/>
      <c r="G2606" s="96"/>
      <c r="H2606" s="64"/>
      <c r="I2606" s="64"/>
      <c r="J2606" s="64"/>
      <c r="K2606" s="64"/>
      <c r="L2606" s="64"/>
    </row>
    <row r="2607" ht="16.5" customHeight="1">
      <c r="A2607" s="64"/>
      <c r="B2607" s="98" t="s">
        <v>18264</v>
      </c>
      <c r="C2607" s="81"/>
      <c r="D2607" s="75"/>
      <c r="E2607" s="64"/>
      <c r="F2607" s="95"/>
      <c r="G2607" s="96"/>
      <c r="H2607" s="64"/>
      <c r="I2607" s="64"/>
      <c r="J2607" s="64"/>
      <c r="K2607" s="64"/>
      <c r="L2607" s="64"/>
    </row>
    <row r="2608" ht="16.5" customHeight="1">
      <c r="A2608" s="64"/>
      <c r="B2608" s="98" t="s">
        <v>18264</v>
      </c>
      <c r="C2608" s="81"/>
      <c r="D2608" s="75"/>
      <c r="E2608" s="64"/>
      <c r="F2608" s="95"/>
      <c r="G2608" s="96"/>
      <c r="H2608" s="64"/>
      <c r="I2608" s="64"/>
      <c r="J2608" s="64"/>
      <c r="K2608" s="64"/>
      <c r="L2608" s="64"/>
    </row>
    <row r="2609" ht="16.5" customHeight="1">
      <c r="A2609" s="64"/>
      <c r="B2609" s="98" t="s">
        <v>18264</v>
      </c>
      <c r="C2609" s="81"/>
      <c r="D2609" s="75"/>
      <c r="E2609" s="64"/>
      <c r="F2609" s="95"/>
      <c r="G2609" s="96"/>
      <c r="H2609" s="64"/>
      <c r="I2609" s="64"/>
      <c r="J2609" s="64"/>
      <c r="K2609" s="64"/>
      <c r="L2609" s="64"/>
    </row>
    <row r="2610" ht="16.5" customHeight="1">
      <c r="A2610" s="64"/>
      <c r="B2610" s="98" t="s">
        <v>18264</v>
      </c>
      <c r="C2610" s="81"/>
      <c r="D2610" s="75"/>
      <c r="E2610" s="64"/>
      <c r="F2610" s="95"/>
      <c r="G2610" s="96"/>
      <c r="H2610" s="64"/>
      <c r="I2610" s="64"/>
      <c r="J2610" s="64"/>
      <c r="K2610" s="64"/>
      <c r="L2610" s="64"/>
    </row>
    <row r="2611" ht="16.5" customHeight="1">
      <c r="A2611" s="64"/>
      <c r="B2611" s="98" t="s">
        <v>18264</v>
      </c>
      <c r="C2611" s="81"/>
      <c r="D2611" s="75"/>
      <c r="E2611" s="64"/>
      <c r="F2611" s="95"/>
      <c r="G2611" s="96"/>
      <c r="H2611" s="64"/>
      <c r="I2611" s="64"/>
      <c r="J2611" s="64"/>
      <c r="K2611" s="64"/>
      <c r="L2611" s="64"/>
    </row>
    <row r="2612" ht="16.5" customHeight="1">
      <c r="A2612" s="64"/>
      <c r="B2612" s="98" t="s">
        <v>18264</v>
      </c>
      <c r="C2612" s="81"/>
      <c r="D2612" s="75"/>
      <c r="E2612" s="64"/>
      <c r="F2612" s="95"/>
      <c r="G2612" s="96"/>
      <c r="H2612" s="64"/>
      <c r="I2612" s="64"/>
      <c r="J2612" s="64"/>
      <c r="K2612" s="64"/>
      <c r="L2612" s="64"/>
    </row>
    <row r="2613" ht="16.5" customHeight="1">
      <c r="A2613" s="64"/>
      <c r="B2613" s="98" t="s">
        <v>18264</v>
      </c>
      <c r="C2613" s="81"/>
      <c r="D2613" s="75"/>
      <c r="E2613" s="64"/>
      <c r="F2613" s="95"/>
      <c r="G2613" s="96"/>
      <c r="H2613" s="64"/>
      <c r="I2613" s="64"/>
      <c r="J2613" s="64"/>
      <c r="K2613" s="64"/>
      <c r="L2613" s="64"/>
    </row>
    <row r="2614" ht="16.5" customHeight="1">
      <c r="A2614" s="64"/>
      <c r="B2614" s="98" t="s">
        <v>18264</v>
      </c>
      <c r="C2614" s="81"/>
      <c r="D2614" s="75"/>
      <c r="E2614" s="64"/>
      <c r="F2614" s="95"/>
      <c r="G2614" s="96"/>
      <c r="H2614" s="64"/>
      <c r="I2614" s="64"/>
      <c r="J2614" s="64"/>
      <c r="K2614" s="64"/>
      <c r="L2614" s="64"/>
    </row>
    <row r="2615" ht="16.5" customHeight="1">
      <c r="A2615" s="64"/>
      <c r="B2615" s="98" t="s">
        <v>18264</v>
      </c>
      <c r="C2615" s="81"/>
      <c r="D2615" s="75"/>
      <c r="E2615" s="64"/>
      <c r="F2615" s="95"/>
      <c r="G2615" s="96"/>
      <c r="H2615" s="64"/>
      <c r="I2615" s="64"/>
      <c r="J2615" s="64"/>
      <c r="K2615" s="64"/>
      <c r="L2615" s="64"/>
    </row>
    <row r="2616" ht="16.5" customHeight="1">
      <c r="A2616" s="64"/>
      <c r="B2616" s="98" t="s">
        <v>18264</v>
      </c>
      <c r="C2616" s="81"/>
      <c r="D2616" s="75"/>
      <c r="E2616" s="64"/>
      <c r="F2616" s="95"/>
      <c r="G2616" s="96"/>
      <c r="H2616" s="64"/>
      <c r="I2616" s="64"/>
      <c r="J2616" s="64"/>
      <c r="K2616" s="64"/>
      <c r="L2616" s="64"/>
    </row>
    <row r="2617" ht="16.5" customHeight="1">
      <c r="A2617" s="64"/>
      <c r="B2617" s="98" t="s">
        <v>18264</v>
      </c>
      <c r="C2617" s="81"/>
      <c r="D2617" s="75"/>
      <c r="E2617" s="64"/>
      <c r="F2617" s="95"/>
      <c r="G2617" s="96"/>
      <c r="H2617" s="64"/>
      <c r="I2617" s="64"/>
      <c r="J2617" s="64"/>
      <c r="K2617" s="64"/>
      <c r="L2617" s="64"/>
    </row>
    <row r="2618" ht="16.5" customHeight="1">
      <c r="A2618" s="64"/>
      <c r="B2618" s="98" t="s">
        <v>18264</v>
      </c>
      <c r="C2618" s="81"/>
      <c r="D2618" s="75"/>
      <c r="E2618" s="64"/>
      <c r="F2618" s="95"/>
      <c r="G2618" s="96"/>
      <c r="H2618" s="64"/>
      <c r="I2618" s="64"/>
      <c r="J2618" s="64"/>
      <c r="K2618" s="64"/>
      <c r="L2618" s="64"/>
    </row>
    <row r="2619" ht="16.5" customHeight="1">
      <c r="A2619" s="64"/>
      <c r="B2619" s="98" t="s">
        <v>18264</v>
      </c>
      <c r="C2619" s="81"/>
      <c r="D2619" s="75"/>
      <c r="E2619" s="64"/>
      <c r="F2619" s="95"/>
      <c r="G2619" s="96"/>
      <c r="H2619" s="64"/>
      <c r="I2619" s="64"/>
      <c r="J2619" s="64"/>
      <c r="K2619" s="64"/>
      <c r="L2619" s="64"/>
    </row>
    <row r="2620" ht="16.5" customHeight="1">
      <c r="A2620" s="64"/>
      <c r="B2620" s="98" t="s">
        <v>18264</v>
      </c>
      <c r="C2620" s="81"/>
      <c r="D2620" s="75"/>
      <c r="E2620" s="64"/>
      <c r="F2620" s="95"/>
      <c r="G2620" s="96"/>
      <c r="H2620" s="64"/>
      <c r="I2620" s="64"/>
      <c r="J2620" s="64"/>
      <c r="K2620" s="64"/>
      <c r="L2620" s="64"/>
    </row>
    <row r="2621" ht="16.5" customHeight="1">
      <c r="A2621" s="64"/>
      <c r="B2621" s="98" t="s">
        <v>18264</v>
      </c>
      <c r="C2621" s="81"/>
      <c r="D2621" s="75"/>
      <c r="E2621" s="64"/>
      <c r="F2621" s="95"/>
      <c r="G2621" s="96"/>
      <c r="H2621" s="64"/>
      <c r="I2621" s="64"/>
      <c r="J2621" s="64"/>
      <c r="K2621" s="64"/>
      <c r="L2621" s="64"/>
    </row>
    <row r="2622" ht="16.5" customHeight="1">
      <c r="A2622" s="64"/>
      <c r="B2622" s="98" t="s">
        <v>18264</v>
      </c>
      <c r="C2622" s="81"/>
      <c r="D2622" s="75"/>
      <c r="E2622" s="64"/>
      <c r="F2622" s="95"/>
      <c r="G2622" s="96"/>
      <c r="H2622" s="64"/>
      <c r="I2622" s="64"/>
      <c r="J2622" s="64"/>
      <c r="K2622" s="64"/>
      <c r="L2622" s="64"/>
    </row>
    <row r="2623" ht="16.5" customHeight="1">
      <c r="A2623" s="64"/>
      <c r="B2623" s="98" t="s">
        <v>18264</v>
      </c>
      <c r="C2623" s="81"/>
      <c r="D2623" s="75"/>
      <c r="E2623" s="64"/>
      <c r="F2623" s="95"/>
      <c r="G2623" s="96"/>
      <c r="H2623" s="64"/>
      <c r="I2623" s="64"/>
      <c r="J2623" s="64"/>
      <c r="K2623" s="64"/>
      <c r="L2623" s="64"/>
    </row>
    <row r="2624" ht="16.5" customHeight="1">
      <c r="A2624" s="64"/>
      <c r="B2624" s="98" t="s">
        <v>18264</v>
      </c>
      <c r="C2624" s="81"/>
      <c r="D2624" s="75"/>
      <c r="E2624" s="64"/>
      <c r="F2624" s="95"/>
      <c r="G2624" s="96"/>
      <c r="H2624" s="64"/>
      <c r="I2624" s="64"/>
      <c r="J2624" s="64"/>
      <c r="K2624" s="64"/>
      <c r="L2624" s="64"/>
    </row>
    <row r="2625" ht="16.5" customHeight="1">
      <c r="A2625" s="64"/>
      <c r="B2625" s="98" t="s">
        <v>18264</v>
      </c>
      <c r="C2625" s="81"/>
      <c r="D2625" s="75"/>
      <c r="E2625" s="64"/>
      <c r="F2625" s="95"/>
      <c r="G2625" s="96"/>
      <c r="H2625" s="64"/>
      <c r="I2625" s="64"/>
      <c r="J2625" s="64"/>
      <c r="K2625" s="64"/>
      <c r="L2625" s="64"/>
    </row>
    <row r="2626" ht="16.5" customHeight="1">
      <c r="A2626" s="64"/>
      <c r="B2626" s="98" t="s">
        <v>18264</v>
      </c>
      <c r="C2626" s="81"/>
      <c r="D2626" s="75"/>
      <c r="E2626" s="64"/>
      <c r="F2626" s="95"/>
      <c r="G2626" s="96"/>
      <c r="H2626" s="64"/>
      <c r="I2626" s="64"/>
      <c r="J2626" s="64"/>
      <c r="K2626" s="64"/>
      <c r="L2626" s="64"/>
    </row>
    <row r="2627" ht="16.5" customHeight="1">
      <c r="A2627" s="64"/>
      <c r="B2627" s="98" t="s">
        <v>18264</v>
      </c>
      <c r="C2627" s="81"/>
      <c r="D2627" s="75"/>
      <c r="E2627" s="64"/>
      <c r="F2627" s="95"/>
      <c r="G2627" s="96"/>
      <c r="H2627" s="64"/>
      <c r="I2627" s="64"/>
      <c r="J2627" s="64"/>
      <c r="K2627" s="64"/>
      <c r="L2627" s="64"/>
    </row>
    <row r="2628" ht="16.5" customHeight="1">
      <c r="A2628" s="64"/>
      <c r="B2628" s="98" t="s">
        <v>18264</v>
      </c>
      <c r="C2628" s="81"/>
      <c r="D2628" s="75"/>
      <c r="E2628" s="64"/>
      <c r="F2628" s="95"/>
      <c r="G2628" s="96"/>
      <c r="H2628" s="64"/>
      <c r="I2628" s="64"/>
      <c r="J2628" s="64"/>
      <c r="K2628" s="64"/>
      <c r="L2628" s="64"/>
    </row>
    <row r="2629" ht="16.5" customHeight="1">
      <c r="A2629" s="64"/>
      <c r="B2629" s="98" t="s">
        <v>18264</v>
      </c>
      <c r="C2629" s="81"/>
      <c r="D2629" s="75"/>
      <c r="E2629" s="64"/>
      <c r="F2629" s="95"/>
      <c r="G2629" s="96"/>
      <c r="H2629" s="64"/>
      <c r="I2629" s="64"/>
      <c r="J2629" s="64"/>
      <c r="K2629" s="64"/>
      <c r="L2629" s="64"/>
    </row>
    <row r="2630" ht="16.5" customHeight="1">
      <c r="A2630" s="64"/>
      <c r="B2630" s="98" t="s">
        <v>18264</v>
      </c>
      <c r="C2630" s="81"/>
      <c r="D2630" s="75"/>
      <c r="E2630" s="64"/>
      <c r="F2630" s="95"/>
      <c r="G2630" s="96"/>
      <c r="H2630" s="64"/>
      <c r="I2630" s="64"/>
      <c r="J2630" s="64"/>
      <c r="K2630" s="64"/>
      <c r="L2630" s="64"/>
    </row>
    <row r="2631" ht="16.5" customHeight="1">
      <c r="A2631" s="64"/>
      <c r="B2631" s="98" t="s">
        <v>18264</v>
      </c>
      <c r="C2631" s="81"/>
      <c r="D2631" s="75"/>
      <c r="E2631" s="64"/>
      <c r="F2631" s="95"/>
      <c r="G2631" s="96"/>
      <c r="H2631" s="64"/>
      <c r="I2631" s="64"/>
      <c r="J2631" s="64"/>
      <c r="K2631" s="64"/>
      <c r="L2631" s="64"/>
    </row>
    <row r="2632" ht="16.5" customHeight="1">
      <c r="A2632" s="64"/>
      <c r="B2632" s="98" t="s">
        <v>18264</v>
      </c>
      <c r="C2632" s="81"/>
      <c r="D2632" s="75"/>
      <c r="E2632" s="64"/>
      <c r="F2632" s="95"/>
      <c r="G2632" s="96"/>
      <c r="H2632" s="64"/>
      <c r="I2632" s="64"/>
      <c r="J2632" s="64"/>
      <c r="K2632" s="64"/>
      <c r="L2632" s="64"/>
    </row>
    <row r="2633" ht="16.5" customHeight="1">
      <c r="A2633" s="64"/>
      <c r="B2633" s="98" t="s">
        <v>18264</v>
      </c>
      <c r="C2633" s="81"/>
      <c r="D2633" s="75"/>
      <c r="E2633" s="64"/>
      <c r="F2633" s="95"/>
      <c r="G2633" s="96"/>
      <c r="H2633" s="64"/>
      <c r="I2633" s="64"/>
      <c r="J2633" s="64"/>
      <c r="K2633" s="64"/>
      <c r="L2633" s="64"/>
    </row>
    <row r="2634" ht="16.5" customHeight="1">
      <c r="A2634" s="64"/>
      <c r="B2634" s="98" t="s">
        <v>18264</v>
      </c>
      <c r="C2634" s="81"/>
      <c r="D2634" s="75"/>
      <c r="E2634" s="64"/>
      <c r="F2634" s="95"/>
      <c r="G2634" s="96"/>
      <c r="H2634" s="64"/>
      <c r="I2634" s="64"/>
      <c r="J2634" s="64"/>
      <c r="K2634" s="64"/>
      <c r="L2634" s="64"/>
    </row>
    <row r="2635" ht="16.5" customHeight="1">
      <c r="A2635" s="64"/>
      <c r="B2635" s="98" t="s">
        <v>18264</v>
      </c>
      <c r="C2635" s="81"/>
      <c r="D2635" s="75"/>
      <c r="E2635" s="64"/>
      <c r="F2635" s="95"/>
      <c r="G2635" s="96"/>
      <c r="H2635" s="64"/>
      <c r="I2635" s="64"/>
      <c r="J2635" s="64"/>
      <c r="K2635" s="64"/>
      <c r="L2635" s="64"/>
    </row>
    <row r="2636" ht="16.5" customHeight="1">
      <c r="A2636" s="64"/>
      <c r="B2636" s="98" t="s">
        <v>18264</v>
      </c>
      <c r="C2636" s="81"/>
      <c r="D2636" s="75"/>
      <c r="E2636" s="64"/>
      <c r="F2636" s="95"/>
      <c r="G2636" s="96"/>
      <c r="H2636" s="64"/>
      <c r="I2636" s="64"/>
      <c r="J2636" s="64"/>
      <c r="K2636" s="64"/>
      <c r="L2636" s="64"/>
    </row>
    <row r="2637" ht="16.5" customHeight="1">
      <c r="A2637" s="64"/>
      <c r="B2637" s="98" t="s">
        <v>18264</v>
      </c>
      <c r="C2637" s="81"/>
      <c r="D2637" s="75"/>
      <c r="E2637" s="64"/>
      <c r="F2637" s="95"/>
      <c r="G2637" s="96"/>
      <c r="H2637" s="64"/>
      <c r="I2637" s="64"/>
      <c r="J2637" s="64"/>
      <c r="K2637" s="64"/>
      <c r="L2637" s="64"/>
    </row>
    <row r="2638" ht="16.5" customHeight="1">
      <c r="A2638" s="64"/>
      <c r="B2638" s="98" t="s">
        <v>18264</v>
      </c>
      <c r="C2638" s="81"/>
      <c r="D2638" s="75"/>
      <c r="E2638" s="64"/>
      <c r="F2638" s="95"/>
      <c r="G2638" s="96"/>
      <c r="H2638" s="64"/>
      <c r="I2638" s="64"/>
      <c r="J2638" s="64"/>
      <c r="K2638" s="64"/>
      <c r="L2638" s="64"/>
    </row>
    <row r="2639" ht="16.5" customHeight="1">
      <c r="A2639" s="64"/>
      <c r="B2639" s="98" t="s">
        <v>18264</v>
      </c>
      <c r="C2639" s="81"/>
      <c r="D2639" s="75"/>
      <c r="E2639" s="64"/>
      <c r="F2639" s="95"/>
      <c r="G2639" s="96"/>
      <c r="H2639" s="64"/>
      <c r="I2639" s="64"/>
      <c r="J2639" s="64"/>
      <c r="K2639" s="64"/>
      <c r="L2639" s="64"/>
    </row>
    <row r="2640" ht="16.5" customHeight="1">
      <c r="A2640" s="64"/>
      <c r="B2640" s="98" t="s">
        <v>18264</v>
      </c>
      <c r="C2640" s="81"/>
      <c r="D2640" s="75"/>
      <c r="E2640" s="64"/>
      <c r="F2640" s="95"/>
      <c r="G2640" s="96"/>
      <c r="H2640" s="64"/>
      <c r="I2640" s="64"/>
      <c r="J2640" s="64"/>
      <c r="K2640" s="64"/>
      <c r="L2640" s="64"/>
    </row>
    <row r="2641" ht="16.5" customHeight="1">
      <c r="A2641" s="64"/>
      <c r="B2641" s="98" t="s">
        <v>18264</v>
      </c>
      <c r="C2641" s="81"/>
      <c r="D2641" s="75"/>
      <c r="E2641" s="64"/>
      <c r="F2641" s="95"/>
      <c r="G2641" s="96"/>
      <c r="H2641" s="64"/>
      <c r="I2641" s="64"/>
      <c r="J2641" s="64"/>
      <c r="K2641" s="64"/>
      <c r="L2641" s="64"/>
    </row>
    <row r="2642" ht="16.5" customHeight="1">
      <c r="A2642" s="64"/>
      <c r="B2642" s="98" t="s">
        <v>18264</v>
      </c>
      <c r="C2642" s="81"/>
      <c r="D2642" s="75"/>
      <c r="E2642" s="64"/>
      <c r="F2642" s="95"/>
      <c r="G2642" s="96"/>
      <c r="H2642" s="64"/>
      <c r="I2642" s="64"/>
      <c r="J2642" s="64"/>
      <c r="K2642" s="64"/>
      <c r="L2642" s="64"/>
    </row>
    <row r="2643" ht="16.5" customHeight="1">
      <c r="A2643" s="64"/>
      <c r="B2643" s="98" t="s">
        <v>18264</v>
      </c>
      <c r="C2643" s="81"/>
      <c r="D2643" s="75"/>
      <c r="E2643" s="64"/>
      <c r="F2643" s="95"/>
      <c r="G2643" s="96"/>
      <c r="H2643" s="64"/>
      <c r="I2643" s="64"/>
      <c r="J2643" s="64"/>
      <c r="K2643" s="64"/>
      <c r="L2643" s="64"/>
    </row>
    <row r="2644" ht="16.5" customHeight="1">
      <c r="A2644" s="64"/>
      <c r="B2644" s="98" t="s">
        <v>18264</v>
      </c>
      <c r="C2644" s="81"/>
      <c r="D2644" s="75"/>
      <c r="E2644" s="64"/>
      <c r="F2644" s="95"/>
      <c r="G2644" s="96"/>
      <c r="H2644" s="64"/>
      <c r="I2644" s="64"/>
      <c r="J2644" s="64"/>
      <c r="K2644" s="64"/>
      <c r="L2644" s="64"/>
    </row>
    <row r="2645" ht="16.5" customHeight="1">
      <c r="A2645" s="64"/>
      <c r="B2645" s="98" t="s">
        <v>18264</v>
      </c>
      <c r="C2645" s="81"/>
      <c r="D2645" s="75"/>
      <c r="E2645" s="64"/>
      <c r="F2645" s="95"/>
      <c r="G2645" s="96"/>
      <c r="H2645" s="64"/>
      <c r="I2645" s="64"/>
      <c r="J2645" s="64"/>
      <c r="K2645" s="64"/>
      <c r="L2645" s="64"/>
    </row>
    <row r="2646" ht="16.5" customHeight="1">
      <c r="A2646" s="64"/>
      <c r="B2646" s="98" t="s">
        <v>18264</v>
      </c>
      <c r="C2646" s="81"/>
      <c r="D2646" s="75"/>
      <c r="E2646" s="64"/>
      <c r="F2646" s="95"/>
      <c r="G2646" s="96"/>
      <c r="H2646" s="64"/>
      <c r="I2646" s="64"/>
      <c r="J2646" s="64"/>
      <c r="K2646" s="64"/>
      <c r="L2646" s="64"/>
    </row>
    <row r="2647" ht="16.5" customHeight="1">
      <c r="A2647" s="64"/>
      <c r="B2647" s="98" t="s">
        <v>18264</v>
      </c>
      <c r="C2647" s="81"/>
      <c r="D2647" s="75"/>
      <c r="E2647" s="64"/>
      <c r="F2647" s="95"/>
      <c r="G2647" s="96"/>
      <c r="H2647" s="64"/>
      <c r="I2647" s="64"/>
      <c r="J2647" s="64"/>
      <c r="K2647" s="64"/>
      <c r="L2647" s="64"/>
    </row>
    <row r="2648" ht="16.5" customHeight="1">
      <c r="A2648" s="64"/>
      <c r="B2648" s="98" t="s">
        <v>18264</v>
      </c>
      <c r="C2648" s="81"/>
      <c r="D2648" s="75"/>
      <c r="E2648" s="64"/>
      <c r="F2648" s="95"/>
      <c r="G2648" s="96"/>
      <c r="H2648" s="64"/>
      <c r="I2648" s="64"/>
      <c r="J2648" s="64"/>
      <c r="K2648" s="64"/>
      <c r="L2648" s="64"/>
    </row>
    <row r="2649" ht="16.5" customHeight="1">
      <c r="A2649" s="64"/>
      <c r="B2649" s="98" t="s">
        <v>18264</v>
      </c>
      <c r="C2649" s="81"/>
      <c r="D2649" s="75"/>
      <c r="E2649" s="64"/>
      <c r="F2649" s="95"/>
      <c r="G2649" s="96"/>
      <c r="H2649" s="64"/>
      <c r="I2649" s="64"/>
      <c r="J2649" s="64"/>
      <c r="K2649" s="64"/>
      <c r="L2649" s="64"/>
    </row>
    <row r="2650" ht="16.5" customHeight="1">
      <c r="A2650" s="64"/>
      <c r="B2650" s="98" t="s">
        <v>18264</v>
      </c>
      <c r="C2650" s="81"/>
      <c r="D2650" s="75"/>
      <c r="E2650" s="64"/>
      <c r="F2650" s="95"/>
      <c r="G2650" s="96"/>
      <c r="H2650" s="64"/>
      <c r="I2650" s="64"/>
      <c r="J2650" s="64"/>
      <c r="K2650" s="64"/>
      <c r="L2650" s="64"/>
    </row>
    <row r="2651" ht="16.5" customHeight="1">
      <c r="A2651" s="64"/>
      <c r="B2651" s="98" t="s">
        <v>18264</v>
      </c>
      <c r="C2651" s="81"/>
      <c r="D2651" s="75"/>
      <c r="E2651" s="64"/>
      <c r="F2651" s="95"/>
      <c r="G2651" s="96"/>
      <c r="H2651" s="64"/>
      <c r="I2651" s="64"/>
      <c r="J2651" s="64"/>
      <c r="K2651" s="64"/>
      <c r="L2651" s="64"/>
    </row>
    <row r="2652" ht="16.5" customHeight="1">
      <c r="A2652" s="64"/>
      <c r="B2652" s="98" t="s">
        <v>18264</v>
      </c>
      <c r="C2652" s="81"/>
      <c r="D2652" s="75"/>
      <c r="E2652" s="64"/>
      <c r="F2652" s="95"/>
      <c r="G2652" s="96"/>
      <c r="H2652" s="64"/>
      <c r="I2652" s="64"/>
      <c r="J2652" s="64"/>
      <c r="K2652" s="64"/>
      <c r="L2652" s="64"/>
    </row>
    <row r="2653" ht="16.5" customHeight="1">
      <c r="A2653" s="64"/>
      <c r="B2653" s="98" t="s">
        <v>18264</v>
      </c>
      <c r="C2653" s="81"/>
      <c r="D2653" s="75"/>
      <c r="E2653" s="64"/>
      <c r="F2653" s="95"/>
      <c r="G2653" s="96"/>
      <c r="H2653" s="64"/>
      <c r="I2653" s="64"/>
      <c r="J2653" s="64"/>
      <c r="K2653" s="64"/>
      <c r="L2653" s="64"/>
    </row>
    <row r="2654" ht="16.5" customHeight="1">
      <c r="A2654" s="64"/>
      <c r="B2654" s="98" t="s">
        <v>18264</v>
      </c>
      <c r="C2654" s="81"/>
      <c r="D2654" s="75"/>
      <c r="E2654" s="64"/>
      <c r="F2654" s="95"/>
      <c r="G2654" s="96"/>
      <c r="H2654" s="64"/>
      <c r="I2654" s="64"/>
      <c r="J2654" s="64"/>
      <c r="K2654" s="64"/>
      <c r="L2654" s="64"/>
    </row>
    <row r="2655" ht="16.5" customHeight="1">
      <c r="A2655" s="64"/>
      <c r="B2655" s="98" t="s">
        <v>18264</v>
      </c>
      <c r="C2655" s="81"/>
      <c r="D2655" s="75"/>
      <c r="E2655" s="64"/>
      <c r="F2655" s="95"/>
      <c r="G2655" s="96"/>
      <c r="H2655" s="64"/>
      <c r="I2655" s="64"/>
      <c r="J2655" s="64"/>
      <c r="K2655" s="64"/>
      <c r="L2655" s="64"/>
    </row>
    <row r="2656" ht="16.5" customHeight="1">
      <c r="A2656" s="64"/>
      <c r="B2656" s="98" t="s">
        <v>18264</v>
      </c>
      <c r="C2656" s="81"/>
      <c r="D2656" s="75"/>
      <c r="E2656" s="64"/>
      <c r="F2656" s="95"/>
      <c r="G2656" s="96"/>
      <c r="H2656" s="64"/>
      <c r="I2656" s="64"/>
      <c r="J2656" s="64"/>
      <c r="K2656" s="64"/>
      <c r="L2656" s="64"/>
    </row>
    <row r="2657" ht="16.5" customHeight="1">
      <c r="A2657" s="64"/>
      <c r="B2657" s="98" t="s">
        <v>18264</v>
      </c>
      <c r="C2657" s="81"/>
      <c r="D2657" s="75"/>
      <c r="E2657" s="64"/>
      <c r="F2657" s="95"/>
      <c r="G2657" s="96"/>
      <c r="H2657" s="64"/>
      <c r="I2657" s="64"/>
      <c r="J2657" s="64"/>
      <c r="K2657" s="64"/>
      <c r="L2657" s="64"/>
    </row>
    <row r="2658" ht="16.5" customHeight="1">
      <c r="A2658" s="64"/>
      <c r="B2658" s="98" t="s">
        <v>18264</v>
      </c>
      <c r="C2658" s="81"/>
      <c r="D2658" s="75"/>
      <c r="E2658" s="64"/>
      <c r="F2658" s="95"/>
      <c r="G2658" s="96"/>
      <c r="H2658" s="64"/>
      <c r="I2658" s="64"/>
      <c r="J2658" s="64"/>
      <c r="K2658" s="64"/>
      <c r="L2658" s="64"/>
    </row>
    <row r="2659" ht="16.5" customHeight="1">
      <c r="A2659" s="64"/>
      <c r="B2659" s="98" t="s">
        <v>18264</v>
      </c>
      <c r="C2659" s="81"/>
      <c r="D2659" s="75"/>
      <c r="E2659" s="64"/>
      <c r="F2659" s="95"/>
      <c r="G2659" s="96"/>
      <c r="H2659" s="64"/>
      <c r="I2659" s="64"/>
      <c r="J2659" s="64"/>
      <c r="K2659" s="64"/>
      <c r="L2659" s="64"/>
    </row>
    <row r="2660" ht="16.5" customHeight="1">
      <c r="A2660" s="64"/>
      <c r="B2660" s="98" t="s">
        <v>18264</v>
      </c>
      <c r="C2660" s="81"/>
      <c r="D2660" s="75"/>
      <c r="E2660" s="64"/>
      <c r="F2660" s="95"/>
      <c r="G2660" s="96"/>
      <c r="H2660" s="64"/>
      <c r="I2660" s="64"/>
      <c r="J2660" s="64"/>
      <c r="K2660" s="64"/>
      <c r="L2660" s="64"/>
    </row>
    <row r="2661" ht="16.5" customHeight="1">
      <c r="A2661" s="64"/>
      <c r="B2661" s="98" t="s">
        <v>18264</v>
      </c>
      <c r="C2661" s="81"/>
      <c r="D2661" s="75"/>
      <c r="E2661" s="64"/>
      <c r="F2661" s="95"/>
      <c r="G2661" s="96"/>
      <c r="H2661" s="64"/>
      <c r="I2661" s="64"/>
      <c r="J2661" s="64"/>
      <c r="K2661" s="64"/>
      <c r="L2661" s="64"/>
    </row>
    <row r="2662" ht="16.5" customHeight="1">
      <c r="A2662" s="64"/>
      <c r="B2662" s="98" t="s">
        <v>18264</v>
      </c>
      <c r="C2662" s="81"/>
      <c r="D2662" s="75"/>
      <c r="E2662" s="64"/>
      <c r="F2662" s="95"/>
      <c r="G2662" s="96"/>
      <c r="H2662" s="64"/>
      <c r="I2662" s="64"/>
      <c r="J2662" s="64"/>
      <c r="K2662" s="64"/>
      <c r="L2662" s="64"/>
    </row>
    <row r="2663" ht="16.5" customHeight="1">
      <c r="A2663" s="64"/>
      <c r="B2663" s="98" t="s">
        <v>18264</v>
      </c>
      <c r="C2663" s="81"/>
      <c r="D2663" s="75"/>
      <c r="E2663" s="64"/>
      <c r="F2663" s="95"/>
      <c r="G2663" s="96"/>
      <c r="H2663" s="64"/>
      <c r="I2663" s="64"/>
      <c r="J2663" s="64"/>
      <c r="K2663" s="64"/>
      <c r="L2663" s="64"/>
    </row>
    <row r="2664" ht="16.5" customHeight="1">
      <c r="A2664" s="64"/>
      <c r="B2664" s="98" t="s">
        <v>18264</v>
      </c>
      <c r="C2664" s="81"/>
      <c r="D2664" s="75"/>
      <c r="E2664" s="64"/>
      <c r="F2664" s="95"/>
      <c r="G2664" s="96"/>
      <c r="H2664" s="64"/>
      <c r="I2664" s="64"/>
      <c r="J2664" s="64"/>
      <c r="K2664" s="64"/>
      <c r="L2664" s="64"/>
    </row>
    <row r="2665" ht="16.5" customHeight="1">
      <c r="A2665" s="64"/>
      <c r="B2665" s="98" t="s">
        <v>18264</v>
      </c>
      <c r="C2665" s="81"/>
      <c r="D2665" s="75"/>
      <c r="E2665" s="64"/>
      <c r="F2665" s="95"/>
      <c r="G2665" s="96"/>
      <c r="H2665" s="64"/>
      <c r="I2665" s="64"/>
      <c r="J2665" s="64"/>
      <c r="K2665" s="64"/>
      <c r="L2665" s="64"/>
    </row>
    <row r="2666" ht="16.5" customHeight="1">
      <c r="A2666" s="64"/>
      <c r="B2666" s="98" t="s">
        <v>18264</v>
      </c>
      <c r="C2666" s="81"/>
      <c r="D2666" s="75"/>
      <c r="E2666" s="64"/>
      <c r="F2666" s="95"/>
      <c r="G2666" s="96"/>
      <c r="H2666" s="64"/>
      <c r="I2666" s="64"/>
      <c r="J2666" s="64"/>
      <c r="K2666" s="64"/>
      <c r="L2666" s="64"/>
    </row>
    <row r="2667" ht="16.5" customHeight="1">
      <c r="A2667" s="64"/>
      <c r="B2667" s="98" t="s">
        <v>18264</v>
      </c>
      <c r="C2667" s="81"/>
      <c r="D2667" s="75"/>
      <c r="E2667" s="64"/>
      <c r="F2667" s="95"/>
      <c r="G2667" s="96"/>
      <c r="H2667" s="64"/>
      <c r="I2667" s="64"/>
      <c r="J2667" s="64"/>
      <c r="K2667" s="64"/>
      <c r="L2667" s="64"/>
    </row>
    <row r="2668" ht="16.5" customHeight="1">
      <c r="A2668" s="64"/>
      <c r="B2668" s="98" t="s">
        <v>18264</v>
      </c>
      <c r="C2668" s="81"/>
      <c r="D2668" s="75"/>
      <c r="E2668" s="64"/>
      <c r="F2668" s="95"/>
      <c r="G2668" s="96"/>
      <c r="H2668" s="64"/>
      <c r="I2668" s="64"/>
      <c r="J2668" s="64"/>
      <c r="K2668" s="64"/>
      <c r="L2668" s="64"/>
    </row>
    <row r="2669" ht="16.5" customHeight="1">
      <c r="A2669" s="64"/>
      <c r="B2669" s="98" t="s">
        <v>18264</v>
      </c>
      <c r="C2669" s="81"/>
      <c r="D2669" s="75"/>
      <c r="E2669" s="64"/>
      <c r="F2669" s="95"/>
      <c r="G2669" s="96"/>
      <c r="H2669" s="64"/>
      <c r="I2669" s="64"/>
      <c r="J2669" s="64"/>
      <c r="K2669" s="64"/>
      <c r="L2669" s="64"/>
    </row>
    <row r="2670" ht="16.5" customHeight="1">
      <c r="A2670" s="64"/>
      <c r="B2670" s="98" t="s">
        <v>18264</v>
      </c>
      <c r="C2670" s="81"/>
      <c r="D2670" s="75"/>
      <c r="E2670" s="64"/>
      <c r="F2670" s="95"/>
      <c r="G2670" s="96"/>
      <c r="H2670" s="64"/>
      <c r="I2670" s="64"/>
      <c r="J2670" s="64"/>
      <c r="K2670" s="64"/>
      <c r="L2670" s="64"/>
    </row>
    <row r="2671" ht="16.5" customHeight="1">
      <c r="A2671" s="64"/>
      <c r="B2671" s="98" t="s">
        <v>18264</v>
      </c>
      <c r="C2671" s="81"/>
      <c r="D2671" s="75"/>
      <c r="E2671" s="64"/>
      <c r="F2671" s="95"/>
      <c r="G2671" s="96"/>
      <c r="H2671" s="64"/>
      <c r="I2671" s="64"/>
      <c r="J2671" s="64"/>
      <c r="K2671" s="64"/>
      <c r="L2671" s="64"/>
    </row>
    <row r="2672" ht="16.5" customHeight="1">
      <c r="A2672" s="64"/>
      <c r="B2672" s="98" t="s">
        <v>18264</v>
      </c>
      <c r="C2672" s="81"/>
      <c r="D2672" s="75"/>
      <c r="E2672" s="64"/>
      <c r="F2672" s="95"/>
      <c r="G2672" s="96"/>
      <c r="H2672" s="64"/>
      <c r="I2672" s="64"/>
      <c r="J2672" s="64"/>
      <c r="K2672" s="64"/>
      <c r="L2672" s="64"/>
    </row>
    <row r="2673" ht="16.5" customHeight="1">
      <c r="A2673" s="64"/>
      <c r="B2673" s="98" t="s">
        <v>18264</v>
      </c>
      <c r="C2673" s="81"/>
      <c r="D2673" s="75"/>
      <c r="E2673" s="64"/>
      <c r="F2673" s="95"/>
      <c r="G2673" s="96"/>
      <c r="H2673" s="64"/>
      <c r="I2673" s="64"/>
      <c r="J2673" s="64"/>
      <c r="K2673" s="64"/>
      <c r="L2673" s="64"/>
    </row>
    <row r="2674" ht="16.5" customHeight="1">
      <c r="A2674" s="64"/>
      <c r="B2674" s="98" t="s">
        <v>18264</v>
      </c>
      <c r="C2674" s="81"/>
      <c r="D2674" s="75"/>
      <c r="E2674" s="64"/>
      <c r="F2674" s="95"/>
      <c r="G2674" s="96"/>
      <c r="H2674" s="64"/>
      <c r="I2674" s="64"/>
      <c r="J2674" s="64"/>
      <c r="K2674" s="64"/>
      <c r="L2674" s="64"/>
    </row>
    <row r="2675" ht="16.5" customHeight="1">
      <c r="A2675" s="64"/>
      <c r="B2675" s="98" t="s">
        <v>18264</v>
      </c>
      <c r="C2675" s="81"/>
      <c r="D2675" s="75"/>
      <c r="E2675" s="64"/>
      <c r="F2675" s="95"/>
      <c r="G2675" s="96"/>
      <c r="H2675" s="64"/>
      <c r="I2675" s="64"/>
      <c r="J2675" s="64"/>
      <c r="K2675" s="64"/>
      <c r="L2675" s="64"/>
    </row>
    <row r="2676" ht="16.5" customHeight="1">
      <c r="A2676" s="64"/>
      <c r="B2676" s="98" t="s">
        <v>18264</v>
      </c>
      <c r="C2676" s="81"/>
      <c r="D2676" s="75"/>
      <c r="E2676" s="64"/>
      <c r="F2676" s="95"/>
      <c r="G2676" s="96"/>
      <c r="H2676" s="64"/>
      <c r="I2676" s="64"/>
      <c r="J2676" s="64"/>
      <c r="K2676" s="64"/>
      <c r="L2676" s="64"/>
    </row>
    <row r="2677" ht="16.5" customHeight="1">
      <c r="A2677" s="64"/>
      <c r="B2677" s="98" t="s">
        <v>18264</v>
      </c>
      <c r="C2677" s="81"/>
      <c r="D2677" s="75"/>
      <c r="E2677" s="64"/>
      <c r="F2677" s="95"/>
      <c r="G2677" s="96"/>
      <c r="H2677" s="64"/>
      <c r="I2677" s="64"/>
      <c r="J2677" s="64"/>
      <c r="K2677" s="64"/>
      <c r="L2677" s="64"/>
    </row>
    <row r="2678" ht="16.5" customHeight="1">
      <c r="A2678" s="64"/>
      <c r="B2678" s="98" t="s">
        <v>18264</v>
      </c>
      <c r="C2678" s="81"/>
      <c r="D2678" s="75"/>
      <c r="E2678" s="64"/>
      <c r="F2678" s="95"/>
      <c r="G2678" s="96"/>
      <c r="H2678" s="64"/>
      <c r="I2678" s="64"/>
      <c r="J2678" s="64"/>
      <c r="K2678" s="64"/>
      <c r="L2678" s="64"/>
    </row>
    <row r="2679" ht="16.5" customHeight="1">
      <c r="A2679" s="64"/>
      <c r="B2679" s="98" t="s">
        <v>18264</v>
      </c>
      <c r="C2679" s="81"/>
      <c r="D2679" s="75"/>
      <c r="E2679" s="64"/>
      <c r="F2679" s="95"/>
      <c r="G2679" s="96"/>
      <c r="H2679" s="64"/>
      <c r="I2679" s="64"/>
      <c r="J2679" s="64"/>
      <c r="K2679" s="64"/>
      <c r="L2679" s="64"/>
    </row>
    <row r="2680" ht="16.5" customHeight="1">
      <c r="A2680" s="64"/>
      <c r="B2680" s="98" t="s">
        <v>18264</v>
      </c>
      <c r="C2680" s="81"/>
      <c r="D2680" s="75"/>
      <c r="E2680" s="64"/>
      <c r="F2680" s="95"/>
      <c r="G2680" s="96"/>
      <c r="H2680" s="64"/>
      <c r="I2680" s="64"/>
      <c r="J2680" s="64"/>
      <c r="K2680" s="64"/>
      <c r="L2680" s="64"/>
    </row>
    <row r="2681" ht="16.5" customHeight="1">
      <c r="A2681" s="64"/>
      <c r="B2681" s="98" t="s">
        <v>18264</v>
      </c>
      <c r="C2681" s="81"/>
      <c r="D2681" s="75"/>
      <c r="E2681" s="64"/>
      <c r="F2681" s="95"/>
      <c r="G2681" s="96"/>
      <c r="H2681" s="64"/>
      <c r="I2681" s="64"/>
      <c r="J2681" s="64"/>
      <c r="K2681" s="64"/>
      <c r="L2681" s="64"/>
    </row>
    <row r="2682" ht="16.5" customHeight="1">
      <c r="A2682" s="64"/>
      <c r="B2682" s="98" t="s">
        <v>18264</v>
      </c>
      <c r="C2682" s="81"/>
      <c r="D2682" s="75"/>
      <c r="E2682" s="64"/>
      <c r="F2682" s="95"/>
      <c r="G2682" s="96"/>
      <c r="H2682" s="64"/>
      <c r="I2682" s="64"/>
      <c r="J2682" s="64"/>
      <c r="K2682" s="64"/>
      <c r="L2682" s="64"/>
    </row>
    <row r="2683" ht="16.5" customHeight="1">
      <c r="A2683" s="64"/>
      <c r="B2683" s="98" t="s">
        <v>18264</v>
      </c>
      <c r="C2683" s="81"/>
      <c r="D2683" s="75"/>
      <c r="E2683" s="64"/>
      <c r="F2683" s="95"/>
      <c r="G2683" s="96"/>
      <c r="H2683" s="64"/>
      <c r="I2683" s="64"/>
      <c r="J2683" s="64"/>
      <c r="K2683" s="64"/>
      <c r="L2683" s="64"/>
    </row>
    <row r="2684" ht="16.5" customHeight="1">
      <c r="A2684" s="64"/>
      <c r="B2684" s="98" t="s">
        <v>18264</v>
      </c>
      <c r="C2684" s="81"/>
      <c r="D2684" s="75"/>
      <c r="E2684" s="64"/>
      <c r="F2684" s="95"/>
      <c r="G2684" s="96"/>
      <c r="H2684" s="64"/>
      <c r="I2684" s="64"/>
      <c r="J2684" s="64"/>
      <c r="K2684" s="64"/>
      <c r="L2684" s="64"/>
    </row>
    <row r="2685" ht="16.5" customHeight="1">
      <c r="A2685" s="64"/>
      <c r="B2685" s="98" t="s">
        <v>18264</v>
      </c>
      <c r="C2685" s="81"/>
      <c r="D2685" s="75"/>
      <c r="E2685" s="64"/>
      <c r="F2685" s="95"/>
      <c r="G2685" s="96"/>
      <c r="H2685" s="64"/>
      <c r="I2685" s="64"/>
      <c r="J2685" s="64"/>
      <c r="K2685" s="64"/>
      <c r="L2685" s="64"/>
    </row>
    <row r="2686" ht="16.5" customHeight="1">
      <c r="A2686" s="64"/>
      <c r="B2686" s="98" t="s">
        <v>18264</v>
      </c>
      <c r="C2686" s="81"/>
      <c r="D2686" s="75"/>
      <c r="E2686" s="64"/>
      <c r="F2686" s="95"/>
      <c r="G2686" s="96"/>
      <c r="H2686" s="64"/>
      <c r="I2686" s="64"/>
      <c r="J2686" s="64"/>
      <c r="K2686" s="64"/>
      <c r="L2686" s="64"/>
    </row>
    <row r="2687" ht="16.5" customHeight="1">
      <c r="A2687" s="64"/>
      <c r="B2687" s="98" t="s">
        <v>18264</v>
      </c>
      <c r="C2687" s="81"/>
      <c r="D2687" s="75"/>
      <c r="E2687" s="64"/>
      <c r="F2687" s="95"/>
      <c r="G2687" s="96"/>
      <c r="H2687" s="64"/>
      <c r="I2687" s="64"/>
      <c r="J2687" s="64"/>
      <c r="K2687" s="64"/>
      <c r="L2687" s="64"/>
    </row>
    <row r="2688" ht="16.5" customHeight="1">
      <c r="A2688" s="64"/>
      <c r="B2688" s="98" t="s">
        <v>18264</v>
      </c>
      <c r="C2688" s="81"/>
      <c r="D2688" s="75"/>
      <c r="E2688" s="64"/>
      <c r="F2688" s="95"/>
      <c r="G2688" s="96"/>
      <c r="H2688" s="64"/>
      <c r="I2688" s="64"/>
      <c r="J2688" s="64"/>
      <c r="K2688" s="64"/>
      <c r="L2688" s="64"/>
    </row>
    <row r="2689" ht="16.5" customHeight="1">
      <c r="A2689" s="64"/>
      <c r="B2689" s="98" t="s">
        <v>18264</v>
      </c>
      <c r="C2689" s="81"/>
      <c r="D2689" s="75"/>
      <c r="E2689" s="64"/>
      <c r="F2689" s="95"/>
      <c r="G2689" s="96"/>
      <c r="H2689" s="64"/>
      <c r="I2689" s="64"/>
      <c r="J2689" s="64"/>
      <c r="K2689" s="64"/>
      <c r="L2689" s="64"/>
    </row>
    <row r="2690" ht="16.5" customHeight="1">
      <c r="A2690" s="64"/>
      <c r="B2690" s="98" t="s">
        <v>18264</v>
      </c>
      <c r="C2690" s="81"/>
      <c r="D2690" s="75"/>
      <c r="E2690" s="64"/>
      <c r="F2690" s="95"/>
      <c r="G2690" s="96"/>
      <c r="H2690" s="64"/>
      <c r="I2690" s="64"/>
      <c r="J2690" s="64"/>
      <c r="K2690" s="64"/>
      <c r="L2690" s="64"/>
    </row>
    <row r="2691" ht="16.5" customHeight="1">
      <c r="A2691" s="64"/>
      <c r="B2691" s="98" t="s">
        <v>18264</v>
      </c>
      <c r="C2691" s="81"/>
      <c r="D2691" s="75"/>
      <c r="E2691" s="64"/>
      <c r="F2691" s="95"/>
      <c r="G2691" s="96"/>
      <c r="H2691" s="64"/>
      <c r="I2691" s="64"/>
      <c r="J2691" s="64"/>
      <c r="K2691" s="64"/>
      <c r="L2691" s="64"/>
    </row>
    <row r="2692" ht="16.5" customHeight="1">
      <c r="A2692" s="64"/>
      <c r="B2692" s="98" t="s">
        <v>18264</v>
      </c>
      <c r="C2692" s="81"/>
      <c r="D2692" s="75"/>
      <c r="E2692" s="64"/>
      <c r="F2692" s="95"/>
      <c r="G2692" s="96"/>
      <c r="H2692" s="64"/>
      <c r="I2692" s="64"/>
      <c r="J2692" s="64"/>
      <c r="K2692" s="64"/>
      <c r="L2692" s="64"/>
    </row>
    <row r="2693" ht="16.5" customHeight="1">
      <c r="A2693" s="64"/>
      <c r="B2693" s="98" t="s">
        <v>18264</v>
      </c>
      <c r="C2693" s="81"/>
      <c r="D2693" s="75"/>
      <c r="E2693" s="64"/>
      <c r="F2693" s="95"/>
      <c r="G2693" s="96"/>
      <c r="H2693" s="64"/>
      <c r="I2693" s="64"/>
      <c r="J2693" s="64"/>
      <c r="K2693" s="64"/>
      <c r="L2693" s="64"/>
    </row>
    <row r="2694" ht="16.5" customHeight="1">
      <c r="A2694" s="64"/>
      <c r="B2694" s="98" t="s">
        <v>18264</v>
      </c>
      <c r="C2694" s="81"/>
      <c r="D2694" s="75"/>
      <c r="E2694" s="64"/>
      <c r="F2694" s="95"/>
      <c r="G2694" s="96"/>
      <c r="H2694" s="64"/>
      <c r="I2694" s="64"/>
      <c r="J2694" s="64"/>
      <c r="K2694" s="64"/>
      <c r="L2694" s="64"/>
    </row>
    <row r="2695" ht="16.5" customHeight="1">
      <c r="A2695" s="64"/>
      <c r="B2695" s="98" t="s">
        <v>18264</v>
      </c>
      <c r="C2695" s="81"/>
      <c r="D2695" s="75"/>
      <c r="E2695" s="64"/>
      <c r="F2695" s="95"/>
      <c r="G2695" s="96"/>
      <c r="H2695" s="64"/>
      <c r="I2695" s="64"/>
      <c r="J2695" s="64"/>
      <c r="K2695" s="64"/>
      <c r="L2695" s="64"/>
    </row>
    <row r="2696" ht="16.5" customHeight="1">
      <c r="A2696" s="64"/>
      <c r="B2696" s="98" t="s">
        <v>18264</v>
      </c>
      <c r="C2696" s="81"/>
      <c r="D2696" s="75"/>
      <c r="E2696" s="64"/>
      <c r="F2696" s="95"/>
      <c r="G2696" s="96"/>
      <c r="H2696" s="64"/>
      <c r="I2696" s="64"/>
      <c r="J2696" s="64"/>
      <c r="K2696" s="64"/>
      <c r="L2696" s="64"/>
    </row>
    <row r="2697" ht="16.5" customHeight="1">
      <c r="A2697" s="64"/>
      <c r="B2697" s="98" t="s">
        <v>18264</v>
      </c>
      <c r="C2697" s="81"/>
      <c r="D2697" s="75"/>
      <c r="E2697" s="64"/>
      <c r="F2697" s="95"/>
      <c r="G2697" s="96"/>
      <c r="H2697" s="64"/>
      <c r="I2697" s="64"/>
      <c r="J2697" s="64"/>
      <c r="K2697" s="64"/>
      <c r="L2697" s="64"/>
    </row>
    <row r="2698" ht="16.5" customHeight="1">
      <c r="A2698" s="64"/>
      <c r="B2698" s="98" t="s">
        <v>18264</v>
      </c>
      <c r="C2698" s="81"/>
      <c r="D2698" s="75"/>
      <c r="E2698" s="64"/>
      <c r="F2698" s="95"/>
      <c r="G2698" s="96"/>
      <c r="H2698" s="64"/>
      <c r="I2698" s="64"/>
      <c r="J2698" s="64"/>
      <c r="K2698" s="64"/>
      <c r="L2698" s="64"/>
    </row>
    <row r="2699" ht="16.5" customHeight="1">
      <c r="A2699" s="64"/>
      <c r="B2699" s="98" t="s">
        <v>18264</v>
      </c>
      <c r="C2699" s="81"/>
      <c r="D2699" s="75"/>
      <c r="E2699" s="64"/>
      <c r="F2699" s="95"/>
      <c r="G2699" s="96"/>
      <c r="H2699" s="64"/>
      <c r="I2699" s="64"/>
      <c r="J2699" s="64"/>
      <c r="K2699" s="64"/>
      <c r="L2699" s="64"/>
    </row>
    <row r="2700" ht="16.5" customHeight="1">
      <c r="A2700" s="64"/>
      <c r="B2700" s="98" t="s">
        <v>18264</v>
      </c>
      <c r="C2700" s="81"/>
      <c r="D2700" s="75"/>
      <c r="E2700" s="64"/>
      <c r="F2700" s="95"/>
      <c r="G2700" s="96"/>
      <c r="H2700" s="64"/>
      <c r="I2700" s="64"/>
      <c r="J2700" s="64"/>
      <c r="K2700" s="64"/>
      <c r="L2700" s="64"/>
    </row>
    <row r="2701" ht="16.5" customHeight="1">
      <c r="A2701" s="64"/>
      <c r="B2701" s="98" t="s">
        <v>18264</v>
      </c>
      <c r="C2701" s="81"/>
      <c r="D2701" s="75"/>
      <c r="E2701" s="64"/>
      <c r="F2701" s="95"/>
      <c r="G2701" s="96"/>
      <c r="H2701" s="64"/>
      <c r="I2701" s="64"/>
      <c r="J2701" s="64"/>
      <c r="K2701" s="64"/>
      <c r="L2701" s="64"/>
    </row>
    <row r="2702" ht="16.5" customHeight="1">
      <c r="A2702" s="64"/>
      <c r="B2702" s="98" t="s">
        <v>18264</v>
      </c>
      <c r="C2702" s="81"/>
      <c r="D2702" s="75"/>
      <c r="E2702" s="64"/>
      <c r="F2702" s="95"/>
      <c r="G2702" s="96"/>
      <c r="H2702" s="64"/>
      <c r="I2702" s="64"/>
      <c r="J2702" s="64"/>
      <c r="K2702" s="64"/>
      <c r="L2702" s="64"/>
    </row>
    <row r="2703" ht="16.5" customHeight="1">
      <c r="A2703" s="64"/>
      <c r="B2703" s="98" t="s">
        <v>18264</v>
      </c>
      <c r="C2703" s="81"/>
      <c r="D2703" s="75"/>
      <c r="E2703" s="64"/>
      <c r="F2703" s="95"/>
      <c r="G2703" s="96"/>
      <c r="H2703" s="64"/>
      <c r="I2703" s="64"/>
      <c r="J2703" s="64"/>
      <c r="K2703" s="64"/>
      <c r="L2703" s="64"/>
    </row>
    <row r="2704" ht="16.5" customHeight="1">
      <c r="A2704" s="64"/>
      <c r="B2704" s="98" t="s">
        <v>18264</v>
      </c>
      <c r="C2704" s="81"/>
      <c r="D2704" s="75"/>
      <c r="E2704" s="64"/>
      <c r="F2704" s="95"/>
      <c r="G2704" s="96"/>
      <c r="H2704" s="64"/>
      <c r="I2704" s="64"/>
      <c r="J2704" s="64"/>
      <c r="K2704" s="64"/>
      <c r="L2704" s="64"/>
    </row>
    <row r="2705" ht="16.5" customHeight="1">
      <c r="A2705" s="64"/>
      <c r="B2705" s="98" t="s">
        <v>18264</v>
      </c>
      <c r="C2705" s="81"/>
      <c r="D2705" s="75"/>
      <c r="E2705" s="64"/>
      <c r="F2705" s="95"/>
      <c r="G2705" s="96"/>
      <c r="H2705" s="64"/>
      <c r="I2705" s="64"/>
      <c r="J2705" s="64"/>
      <c r="K2705" s="64"/>
      <c r="L2705" s="64"/>
    </row>
    <row r="2706" ht="16.5" customHeight="1">
      <c r="A2706" s="64"/>
      <c r="B2706" s="98" t="s">
        <v>18264</v>
      </c>
      <c r="C2706" s="81"/>
      <c r="D2706" s="75"/>
      <c r="E2706" s="64"/>
      <c r="F2706" s="95"/>
      <c r="G2706" s="96"/>
      <c r="H2706" s="64"/>
      <c r="I2706" s="64"/>
      <c r="J2706" s="64"/>
      <c r="K2706" s="64"/>
      <c r="L2706" s="64"/>
    </row>
    <row r="2707" ht="16.5" customHeight="1">
      <c r="A2707" s="64"/>
      <c r="B2707" s="98" t="s">
        <v>18264</v>
      </c>
      <c r="C2707" s="81"/>
      <c r="D2707" s="75"/>
      <c r="E2707" s="64"/>
      <c r="F2707" s="95"/>
      <c r="G2707" s="96"/>
      <c r="H2707" s="64"/>
      <c r="I2707" s="64"/>
      <c r="J2707" s="64"/>
      <c r="K2707" s="64"/>
      <c r="L2707" s="64"/>
    </row>
    <row r="2708" ht="16.5" customHeight="1">
      <c r="A2708" s="64"/>
      <c r="B2708" s="98" t="s">
        <v>18264</v>
      </c>
      <c r="C2708" s="81"/>
      <c r="D2708" s="75"/>
      <c r="E2708" s="64"/>
      <c r="F2708" s="95"/>
      <c r="G2708" s="96"/>
      <c r="H2708" s="64"/>
      <c r="I2708" s="64"/>
      <c r="J2708" s="64"/>
      <c r="K2708" s="64"/>
      <c r="L2708" s="64"/>
    </row>
    <row r="2709" ht="16.5" customHeight="1">
      <c r="A2709" s="64"/>
      <c r="B2709" s="98" t="s">
        <v>18264</v>
      </c>
      <c r="C2709" s="81"/>
      <c r="D2709" s="75"/>
      <c r="E2709" s="64"/>
      <c r="F2709" s="95"/>
      <c r="G2709" s="96"/>
      <c r="H2709" s="64"/>
      <c r="I2709" s="64"/>
      <c r="J2709" s="64"/>
      <c r="K2709" s="64"/>
      <c r="L2709" s="64"/>
    </row>
    <row r="2710" ht="16.5" customHeight="1">
      <c r="A2710" s="64"/>
      <c r="B2710" s="98" t="s">
        <v>18264</v>
      </c>
      <c r="C2710" s="81"/>
      <c r="D2710" s="75"/>
      <c r="E2710" s="64"/>
      <c r="F2710" s="95"/>
      <c r="G2710" s="96"/>
      <c r="H2710" s="64"/>
      <c r="I2710" s="64"/>
      <c r="J2710" s="64"/>
      <c r="K2710" s="64"/>
      <c r="L2710" s="64"/>
    </row>
    <row r="2711" ht="16.5" customHeight="1">
      <c r="A2711" s="64"/>
      <c r="B2711" s="98" t="s">
        <v>18264</v>
      </c>
      <c r="C2711" s="81"/>
      <c r="D2711" s="75"/>
      <c r="E2711" s="64"/>
      <c r="F2711" s="95"/>
      <c r="G2711" s="96"/>
      <c r="H2711" s="64"/>
      <c r="I2711" s="64"/>
      <c r="J2711" s="64"/>
      <c r="K2711" s="64"/>
      <c r="L2711" s="64"/>
    </row>
    <row r="2712" ht="16.5" customHeight="1">
      <c r="A2712" s="64"/>
      <c r="B2712" s="98" t="s">
        <v>18264</v>
      </c>
      <c r="C2712" s="81"/>
      <c r="D2712" s="75"/>
      <c r="E2712" s="64"/>
      <c r="F2712" s="95"/>
      <c r="G2712" s="96"/>
      <c r="H2712" s="64"/>
      <c r="I2712" s="64"/>
      <c r="J2712" s="64"/>
      <c r="K2712" s="64"/>
      <c r="L2712" s="64"/>
    </row>
    <row r="2713" ht="16.5" customHeight="1">
      <c r="A2713" s="64"/>
      <c r="B2713" s="98" t="s">
        <v>18264</v>
      </c>
      <c r="C2713" s="81"/>
      <c r="D2713" s="75"/>
      <c r="E2713" s="64"/>
      <c r="F2713" s="95"/>
      <c r="G2713" s="96"/>
      <c r="H2713" s="64"/>
      <c r="I2713" s="64"/>
      <c r="J2713" s="64"/>
      <c r="K2713" s="64"/>
      <c r="L2713" s="64"/>
    </row>
    <row r="2714" ht="16.5" customHeight="1">
      <c r="A2714" s="64"/>
      <c r="B2714" s="98" t="s">
        <v>18264</v>
      </c>
      <c r="C2714" s="81"/>
      <c r="D2714" s="75"/>
      <c r="E2714" s="64"/>
      <c r="F2714" s="95"/>
      <c r="G2714" s="96"/>
      <c r="H2714" s="64"/>
      <c r="I2714" s="64"/>
      <c r="J2714" s="64"/>
      <c r="K2714" s="64"/>
      <c r="L2714" s="64"/>
    </row>
    <row r="2715" ht="16.5" customHeight="1">
      <c r="A2715" s="64"/>
      <c r="B2715" s="98" t="s">
        <v>18264</v>
      </c>
      <c r="C2715" s="81"/>
      <c r="D2715" s="75"/>
      <c r="E2715" s="64"/>
      <c r="F2715" s="95"/>
      <c r="G2715" s="96"/>
      <c r="H2715" s="64"/>
      <c r="I2715" s="64"/>
      <c r="J2715" s="64"/>
      <c r="K2715" s="64"/>
      <c r="L2715" s="64"/>
    </row>
  </sheetData>
  <conditionalFormatting sqref="E1:E308">
    <cfRule type="containsText" dxfId="0" priority="1" operator="containsText" text="#N/A">
      <formula>NOT(ISERROR(SEARCH(("#N/A"),(E1))))</formula>
    </cfRule>
  </conditionalFormatting>
  <conditionalFormatting sqref="F1:F193">
    <cfRule type="containsText" dxfId="0" priority="2" operator="containsText" text="#N/A">
      <formula>NOT(ISERROR(SEARCH(("#N/A"),(F1))))</formula>
    </cfRule>
  </conditionalFormatting>
  <conditionalFormatting sqref="L1">
    <cfRule type="containsText" dxfId="1"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49"/>
    <hyperlink r:id="rId48" ref="B50"/>
    <hyperlink r:id="rId49" ref="B51"/>
    <hyperlink r:id="rId50" ref="B52"/>
    <hyperlink r:id="rId51" ref="B53"/>
    <hyperlink r:id="rId52" ref="B54"/>
    <hyperlink r:id="rId53" ref="B55"/>
    <hyperlink r:id="rId54" ref="B56"/>
    <hyperlink r:id="rId55" ref="B57"/>
    <hyperlink r:id="rId56" ref="B58"/>
    <hyperlink r:id="rId57" ref="B59"/>
    <hyperlink r:id="rId58" ref="B60"/>
    <hyperlink r:id="rId59" ref="B61"/>
    <hyperlink r:id="rId60" ref="B62"/>
    <hyperlink r:id="rId61" ref="B63"/>
    <hyperlink r:id="rId62" ref="B64"/>
    <hyperlink r:id="rId63" ref="B65"/>
    <hyperlink r:id="rId64" ref="B66"/>
    <hyperlink r:id="rId65" ref="B67"/>
    <hyperlink r:id="rId66" ref="B68"/>
    <hyperlink r:id="rId67" ref="B69"/>
    <hyperlink r:id="rId68" ref="B70"/>
    <hyperlink r:id="rId69" ref="B71"/>
    <hyperlink r:id="rId70" ref="B72"/>
    <hyperlink r:id="rId71" ref="B73"/>
    <hyperlink r:id="rId72" ref="B74"/>
    <hyperlink r:id="rId73" ref="B75"/>
    <hyperlink r:id="rId74" ref="B76"/>
    <hyperlink r:id="rId75" ref="B77"/>
    <hyperlink r:id="rId76" ref="B78"/>
    <hyperlink r:id="rId77" ref="B79"/>
    <hyperlink r:id="rId78" ref="B80"/>
    <hyperlink r:id="rId79" ref="B81"/>
    <hyperlink r:id="rId80" ref="B82"/>
    <hyperlink r:id="rId81" ref="B83"/>
    <hyperlink r:id="rId82" ref="B84"/>
    <hyperlink r:id="rId83" ref="B85"/>
    <hyperlink r:id="rId84" ref="B86"/>
    <hyperlink r:id="rId85" ref="B87"/>
    <hyperlink r:id="rId86" ref="B88"/>
    <hyperlink r:id="rId87" ref="B89"/>
    <hyperlink r:id="rId88" ref="B90"/>
    <hyperlink r:id="rId89" ref="B91"/>
    <hyperlink r:id="rId90" ref="B92"/>
    <hyperlink r:id="rId91" ref="B93"/>
    <hyperlink r:id="rId92" ref="B94"/>
    <hyperlink r:id="rId93" ref="B95"/>
    <hyperlink r:id="rId94" ref="B96"/>
    <hyperlink r:id="rId95" ref="B97"/>
    <hyperlink r:id="rId96" ref="B98"/>
    <hyperlink r:id="rId97" ref="B99"/>
    <hyperlink r:id="rId98" ref="B100"/>
    <hyperlink r:id="rId99" ref="B101"/>
    <hyperlink r:id="rId100" ref="B102"/>
    <hyperlink r:id="rId101" ref="B103"/>
    <hyperlink r:id="rId102" ref="B104"/>
    <hyperlink r:id="rId103" ref="B105"/>
    <hyperlink r:id="rId104" ref="B106"/>
    <hyperlink r:id="rId105" ref="B107"/>
    <hyperlink r:id="rId106" ref="B108"/>
    <hyperlink r:id="rId107" ref="B109"/>
    <hyperlink r:id="rId108" ref="B110"/>
    <hyperlink r:id="rId109" ref="B111"/>
    <hyperlink r:id="rId110" ref="B112"/>
    <hyperlink r:id="rId111" ref="B113"/>
    <hyperlink r:id="rId112" ref="B114"/>
    <hyperlink r:id="rId113" ref="B115"/>
    <hyperlink r:id="rId114" ref="B116"/>
    <hyperlink r:id="rId115" ref="B117"/>
    <hyperlink r:id="rId116" ref="B118"/>
    <hyperlink r:id="rId117" ref="B119"/>
    <hyperlink r:id="rId118" ref="B120"/>
    <hyperlink r:id="rId119" ref="B121"/>
    <hyperlink r:id="rId120" ref="B122"/>
    <hyperlink r:id="rId121" ref="B123"/>
    <hyperlink r:id="rId122" ref="B124"/>
    <hyperlink r:id="rId123" ref="B125"/>
    <hyperlink r:id="rId124" ref="B126"/>
    <hyperlink r:id="rId125" ref="B127"/>
    <hyperlink r:id="rId126" ref="B128"/>
    <hyperlink r:id="rId127" ref="B129"/>
    <hyperlink r:id="rId128" ref="B130"/>
    <hyperlink r:id="rId129" ref="B131"/>
    <hyperlink r:id="rId130" ref="B132"/>
    <hyperlink r:id="rId131" ref="B133"/>
    <hyperlink r:id="rId132" ref="B134"/>
    <hyperlink r:id="rId133" ref="B135"/>
    <hyperlink r:id="rId134" ref="B136"/>
    <hyperlink r:id="rId135" ref="B137"/>
    <hyperlink r:id="rId136" ref="B138"/>
    <hyperlink r:id="rId137" ref="B139"/>
    <hyperlink r:id="rId138" ref="B140"/>
    <hyperlink r:id="rId139" ref="B141"/>
    <hyperlink r:id="rId140" ref="B142"/>
    <hyperlink r:id="rId141" ref="B143"/>
    <hyperlink r:id="rId142" ref="B144"/>
    <hyperlink r:id="rId143" ref="B145"/>
    <hyperlink r:id="rId144" ref="B146"/>
    <hyperlink r:id="rId145" ref="B147"/>
    <hyperlink r:id="rId146" ref="B148"/>
    <hyperlink r:id="rId147" ref="B149"/>
    <hyperlink r:id="rId148" ref="B150"/>
    <hyperlink r:id="rId149" ref="B151"/>
    <hyperlink r:id="rId150" ref="B152"/>
    <hyperlink r:id="rId151" ref="B153"/>
    <hyperlink r:id="rId152" ref="B154"/>
    <hyperlink r:id="rId153" ref="B155"/>
    <hyperlink r:id="rId154" ref="B156"/>
    <hyperlink r:id="rId155" ref="B157"/>
    <hyperlink r:id="rId156" ref="B158"/>
    <hyperlink r:id="rId157" ref="B159"/>
    <hyperlink r:id="rId158" ref="B160"/>
    <hyperlink r:id="rId159" ref="B161"/>
    <hyperlink r:id="rId160" ref="B162"/>
    <hyperlink r:id="rId161" ref="B163"/>
    <hyperlink r:id="rId162" ref="B164"/>
    <hyperlink r:id="rId163" ref="B165"/>
    <hyperlink r:id="rId164" ref="B166"/>
    <hyperlink r:id="rId165" ref="B167"/>
    <hyperlink r:id="rId166" ref="B168"/>
    <hyperlink r:id="rId167" ref="B169"/>
    <hyperlink r:id="rId168" ref="B170"/>
    <hyperlink r:id="rId169" ref="B171"/>
    <hyperlink r:id="rId170" ref="B172"/>
    <hyperlink r:id="rId171" ref="B173"/>
    <hyperlink r:id="rId172" ref="B174"/>
    <hyperlink r:id="rId173" ref="B175"/>
    <hyperlink r:id="rId174" ref="B176"/>
    <hyperlink r:id="rId175" ref="B177"/>
    <hyperlink r:id="rId176" ref="B178"/>
    <hyperlink r:id="rId177" ref="B179"/>
    <hyperlink r:id="rId178" ref="B180"/>
    <hyperlink r:id="rId179" ref="B181"/>
    <hyperlink r:id="rId180" ref="B182"/>
    <hyperlink r:id="rId181" ref="B183"/>
    <hyperlink r:id="rId182" ref="B184"/>
    <hyperlink r:id="rId183" ref="B185"/>
    <hyperlink r:id="rId184" ref="B186"/>
    <hyperlink r:id="rId185" ref="B187"/>
    <hyperlink r:id="rId186" ref="B188"/>
    <hyperlink r:id="rId187" ref="B189"/>
    <hyperlink r:id="rId188" ref="B190"/>
    <hyperlink r:id="rId189" ref="B191"/>
    <hyperlink r:id="rId190" ref="B192"/>
    <hyperlink r:id="rId191" ref="B193"/>
    <hyperlink r:id="rId192" ref="B194"/>
    <hyperlink r:id="rId193" ref="B195"/>
    <hyperlink r:id="rId194" ref="B196"/>
    <hyperlink r:id="rId195" ref="B197"/>
    <hyperlink r:id="rId196" ref="B198"/>
    <hyperlink r:id="rId197" ref="B199"/>
    <hyperlink r:id="rId198" ref="B200"/>
    <hyperlink r:id="rId199" ref="B201"/>
    <hyperlink r:id="rId200" ref="B202"/>
    <hyperlink r:id="rId201" ref="B203"/>
    <hyperlink r:id="rId202" ref="B204"/>
    <hyperlink r:id="rId203" ref="B205"/>
    <hyperlink r:id="rId204" ref="B206"/>
    <hyperlink r:id="rId205" ref="B207"/>
    <hyperlink r:id="rId206" ref="B208"/>
    <hyperlink r:id="rId207" ref="B209"/>
    <hyperlink r:id="rId208" ref="B210"/>
    <hyperlink r:id="rId209" ref="B211"/>
    <hyperlink r:id="rId210" ref="B212"/>
    <hyperlink r:id="rId211" ref="B213"/>
    <hyperlink r:id="rId212" ref="B214"/>
    <hyperlink r:id="rId213" ref="B215"/>
    <hyperlink r:id="rId214" ref="B216"/>
    <hyperlink r:id="rId215" ref="B217"/>
    <hyperlink r:id="rId216" ref="B218"/>
    <hyperlink r:id="rId217" ref="B219"/>
    <hyperlink r:id="rId218" ref="B220"/>
    <hyperlink r:id="rId219" ref="B221"/>
    <hyperlink r:id="rId220" ref="B222"/>
    <hyperlink r:id="rId221" ref="B223"/>
    <hyperlink r:id="rId222" ref="B224"/>
    <hyperlink r:id="rId223" ref="B225"/>
    <hyperlink r:id="rId224" ref="B226"/>
    <hyperlink r:id="rId225" ref="B227"/>
    <hyperlink r:id="rId226" ref="B228"/>
    <hyperlink r:id="rId227" ref="B229"/>
    <hyperlink r:id="rId228" ref="B230"/>
    <hyperlink r:id="rId229" ref="B231"/>
    <hyperlink r:id="rId230" ref="B232"/>
    <hyperlink r:id="rId231" ref="B233"/>
    <hyperlink r:id="rId232" ref="B234"/>
    <hyperlink r:id="rId233" ref="B235"/>
    <hyperlink r:id="rId234" ref="B236"/>
    <hyperlink r:id="rId235" ref="B237"/>
    <hyperlink r:id="rId236" ref="B238"/>
    <hyperlink r:id="rId237" ref="B239"/>
    <hyperlink r:id="rId238" ref="B240"/>
    <hyperlink r:id="rId239" ref="B241"/>
    <hyperlink r:id="rId240" ref="B242"/>
    <hyperlink r:id="rId241" ref="B243"/>
    <hyperlink r:id="rId242" ref="B244"/>
    <hyperlink r:id="rId243" ref="B245"/>
    <hyperlink r:id="rId244" ref="B246"/>
    <hyperlink r:id="rId245" ref="B247"/>
    <hyperlink r:id="rId246" ref="B248"/>
    <hyperlink r:id="rId247" ref="B249"/>
    <hyperlink r:id="rId248" ref="B250"/>
    <hyperlink r:id="rId249" ref="B251"/>
    <hyperlink r:id="rId250" ref="B252"/>
    <hyperlink r:id="rId251" ref="B253"/>
    <hyperlink r:id="rId252" ref="B254"/>
    <hyperlink r:id="rId253" ref="B255"/>
    <hyperlink r:id="rId254" ref="B256"/>
    <hyperlink r:id="rId255" ref="B257"/>
    <hyperlink r:id="rId256" ref="B258"/>
    <hyperlink r:id="rId257" ref="B259"/>
    <hyperlink r:id="rId258" ref="B260"/>
    <hyperlink r:id="rId259" ref="B261"/>
    <hyperlink r:id="rId260" ref="B262"/>
    <hyperlink r:id="rId261" ref="B263"/>
    <hyperlink r:id="rId262" ref="B264"/>
    <hyperlink r:id="rId263" ref="B265"/>
    <hyperlink r:id="rId264" ref="B266"/>
    <hyperlink r:id="rId265" ref="B267"/>
    <hyperlink r:id="rId266" ref="B268"/>
    <hyperlink r:id="rId267" ref="B269"/>
    <hyperlink r:id="rId268" ref="B270"/>
    <hyperlink r:id="rId269" ref="B271"/>
    <hyperlink r:id="rId270" ref="B272"/>
    <hyperlink r:id="rId271" ref="B273"/>
    <hyperlink r:id="rId272" ref="B274"/>
    <hyperlink r:id="rId273" ref="B275"/>
    <hyperlink r:id="rId274" ref="B276"/>
    <hyperlink r:id="rId275" ref="B277"/>
    <hyperlink r:id="rId276" ref="B278"/>
    <hyperlink r:id="rId277" ref="B279"/>
    <hyperlink r:id="rId278" ref="B280"/>
    <hyperlink r:id="rId279" ref="B281"/>
    <hyperlink r:id="rId280" ref="B282"/>
    <hyperlink r:id="rId281" ref="B283"/>
    <hyperlink r:id="rId282" ref="B284"/>
    <hyperlink r:id="rId283" ref="B285"/>
    <hyperlink r:id="rId284" ref="B286"/>
    <hyperlink r:id="rId285" ref="B287"/>
    <hyperlink r:id="rId286" ref="B288"/>
    <hyperlink r:id="rId287" ref="B289"/>
    <hyperlink r:id="rId288" ref="B290"/>
    <hyperlink r:id="rId289" ref="B291"/>
    <hyperlink r:id="rId290" ref="B292"/>
    <hyperlink r:id="rId291" ref="B293"/>
    <hyperlink r:id="rId292" ref="B294"/>
    <hyperlink r:id="rId293" ref="B295"/>
    <hyperlink r:id="rId294" ref="B296"/>
    <hyperlink r:id="rId295" ref="B297"/>
    <hyperlink r:id="rId296" ref="B298"/>
    <hyperlink r:id="rId297" ref="B299"/>
    <hyperlink r:id="rId298" ref="B300"/>
    <hyperlink r:id="rId299" ref="B301"/>
    <hyperlink r:id="rId300" ref="B302"/>
    <hyperlink r:id="rId301" ref="B303"/>
    <hyperlink r:id="rId302" ref="B304"/>
    <hyperlink r:id="rId303" ref="B305"/>
    <hyperlink r:id="rId304" ref="B306"/>
    <hyperlink r:id="rId305" ref="B307"/>
    <hyperlink r:id="rId306" ref="B308"/>
    <hyperlink r:id="rId307" ref="B309"/>
    <hyperlink r:id="rId308" ref="B310"/>
    <hyperlink r:id="rId309" ref="B311"/>
    <hyperlink r:id="rId310" ref="B312"/>
    <hyperlink r:id="rId311" ref="B313"/>
    <hyperlink r:id="rId312" ref="B314"/>
    <hyperlink r:id="rId313" ref="B315"/>
    <hyperlink r:id="rId314" ref="B316"/>
    <hyperlink r:id="rId315" ref="B317"/>
    <hyperlink r:id="rId316" ref="B318"/>
    <hyperlink r:id="rId317" ref="B319"/>
    <hyperlink r:id="rId318" ref="B320"/>
    <hyperlink r:id="rId319" ref="B321"/>
    <hyperlink r:id="rId320" ref="B322"/>
    <hyperlink r:id="rId321" ref="B323"/>
    <hyperlink r:id="rId322" ref="B324"/>
    <hyperlink r:id="rId323" ref="B325"/>
    <hyperlink r:id="rId324" ref="B326"/>
    <hyperlink r:id="rId325" ref="B327"/>
    <hyperlink r:id="rId326" ref="B328"/>
    <hyperlink r:id="rId327" ref="B329"/>
    <hyperlink r:id="rId328" ref="B330"/>
    <hyperlink r:id="rId329" ref="B331"/>
    <hyperlink r:id="rId330" ref="B332"/>
    <hyperlink r:id="rId331" ref="B333"/>
    <hyperlink r:id="rId332" ref="B334"/>
    <hyperlink r:id="rId333" ref="B335"/>
    <hyperlink r:id="rId334" ref="B336"/>
    <hyperlink r:id="rId335" ref="B337"/>
    <hyperlink r:id="rId336" ref="B338"/>
    <hyperlink r:id="rId337" ref="B339"/>
    <hyperlink r:id="rId338" ref="B340"/>
    <hyperlink r:id="rId339" ref="B341"/>
    <hyperlink r:id="rId340" ref="B342"/>
    <hyperlink r:id="rId341" ref="B343"/>
    <hyperlink r:id="rId342" ref="B344"/>
    <hyperlink r:id="rId343" ref="B345"/>
    <hyperlink r:id="rId344" ref="B346"/>
    <hyperlink r:id="rId345" ref="B347"/>
    <hyperlink r:id="rId346" ref="B348"/>
    <hyperlink r:id="rId347" ref="B349"/>
    <hyperlink r:id="rId348" ref="B350"/>
    <hyperlink r:id="rId349" ref="B351"/>
    <hyperlink r:id="rId350" ref="B352"/>
    <hyperlink r:id="rId351" ref="B353"/>
    <hyperlink r:id="rId352" ref="B354"/>
    <hyperlink r:id="rId353" ref="B355"/>
    <hyperlink r:id="rId354" ref="B356"/>
    <hyperlink r:id="rId355" ref="B357"/>
    <hyperlink r:id="rId356" ref="B358"/>
    <hyperlink r:id="rId357" ref="B359"/>
    <hyperlink r:id="rId358" ref="B360"/>
    <hyperlink r:id="rId359" ref="B361"/>
    <hyperlink r:id="rId360" ref="B362"/>
    <hyperlink r:id="rId361" ref="B363"/>
    <hyperlink r:id="rId362" ref="B364"/>
    <hyperlink r:id="rId363" ref="B365"/>
    <hyperlink r:id="rId364" ref="B366"/>
    <hyperlink r:id="rId365" ref="B367"/>
    <hyperlink r:id="rId366" ref="B368"/>
    <hyperlink r:id="rId367" ref="B369"/>
    <hyperlink r:id="rId368" ref="B370"/>
    <hyperlink r:id="rId369" ref="B371"/>
    <hyperlink r:id="rId370" ref="B372"/>
    <hyperlink r:id="rId371" ref="B373"/>
    <hyperlink r:id="rId372" ref="B374"/>
    <hyperlink r:id="rId373" ref="B375"/>
    <hyperlink r:id="rId374" ref="B376"/>
    <hyperlink r:id="rId375" ref="B377"/>
    <hyperlink r:id="rId376" ref="B378"/>
    <hyperlink r:id="rId377" ref="B379"/>
    <hyperlink r:id="rId378" ref="B380"/>
    <hyperlink r:id="rId379" ref="B381"/>
    <hyperlink r:id="rId380" ref="B382"/>
    <hyperlink r:id="rId381" ref="B383"/>
    <hyperlink r:id="rId382" ref="B384"/>
    <hyperlink r:id="rId383" ref="B385"/>
    <hyperlink r:id="rId384" ref="B386"/>
    <hyperlink r:id="rId385" ref="B387"/>
    <hyperlink r:id="rId386" ref="B388"/>
    <hyperlink r:id="rId387" ref="B389"/>
    <hyperlink r:id="rId388" ref="B390"/>
    <hyperlink r:id="rId389" ref="B391"/>
    <hyperlink r:id="rId390" ref="B392"/>
    <hyperlink r:id="rId391" ref="B393"/>
    <hyperlink r:id="rId392" ref="B394"/>
    <hyperlink r:id="rId393" ref="B395"/>
    <hyperlink r:id="rId394" ref="B396"/>
    <hyperlink r:id="rId395" ref="B397"/>
    <hyperlink r:id="rId396" ref="B398"/>
    <hyperlink r:id="rId397" ref="B399"/>
    <hyperlink r:id="rId398" ref="B400"/>
    <hyperlink r:id="rId399" ref="B401"/>
    <hyperlink r:id="rId400" ref="B402"/>
    <hyperlink r:id="rId401" ref="B403"/>
    <hyperlink r:id="rId402" ref="B404"/>
    <hyperlink r:id="rId403" ref="B405"/>
    <hyperlink r:id="rId404" ref="B406"/>
    <hyperlink r:id="rId405" ref="B407"/>
    <hyperlink r:id="rId406" ref="B408"/>
    <hyperlink r:id="rId407" ref="B409"/>
    <hyperlink r:id="rId408" ref="B410"/>
    <hyperlink r:id="rId409" ref="B411"/>
    <hyperlink r:id="rId410" ref="B412"/>
    <hyperlink r:id="rId411" ref="B413"/>
    <hyperlink r:id="rId412" ref="B414"/>
    <hyperlink r:id="rId413" ref="B415"/>
    <hyperlink r:id="rId414" ref="B416"/>
    <hyperlink r:id="rId415" ref="B417"/>
    <hyperlink r:id="rId416" ref="B418"/>
    <hyperlink r:id="rId417" ref="B419"/>
    <hyperlink r:id="rId418" ref="B420"/>
    <hyperlink r:id="rId419" ref="B421"/>
    <hyperlink r:id="rId420" ref="B422"/>
    <hyperlink r:id="rId421" ref="B423"/>
    <hyperlink r:id="rId422" ref="B424"/>
    <hyperlink r:id="rId423" ref="B425"/>
    <hyperlink r:id="rId424" ref="B426"/>
    <hyperlink r:id="rId425" ref="B427"/>
    <hyperlink r:id="rId426" ref="B428"/>
    <hyperlink r:id="rId427" ref="B429"/>
    <hyperlink r:id="rId428" ref="B430"/>
    <hyperlink r:id="rId429" ref="B431"/>
    <hyperlink r:id="rId430" ref="B432"/>
    <hyperlink r:id="rId431" ref="B433"/>
    <hyperlink r:id="rId432" ref="B434"/>
    <hyperlink r:id="rId433" ref="B435"/>
    <hyperlink r:id="rId434" ref="B436"/>
    <hyperlink r:id="rId435" ref="B437"/>
    <hyperlink r:id="rId436" ref="B438"/>
    <hyperlink r:id="rId437" ref="B439"/>
    <hyperlink r:id="rId438" ref="B440"/>
    <hyperlink r:id="rId439" ref="B441"/>
    <hyperlink r:id="rId440" ref="B442"/>
    <hyperlink r:id="rId441" ref="B443"/>
    <hyperlink r:id="rId442" ref="B444"/>
    <hyperlink r:id="rId443" ref="B445"/>
    <hyperlink r:id="rId444" ref="B446"/>
    <hyperlink r:id="rId445" ref="B447"/>
    <hyperlink r:id="rId446" ref="B448"/>
    <hyperlink r:id="rId447" ref="B449"/>
    <hyperlink r:id="rId448" ref="B450"/>
    <hyperlink r:id="rId449" ref="B451"/>
    <hyperlink r:id="rId450" ref="B452"/>
    <hyperlink r:id="rId451" ref="B453"/>
    <hyperlink r:id="rId452" ref="B454"/>
    <hyperlink r:id="rId453" ref="B455"/>
    <hyperlink r:id="rId454" ref="B456"/>
    <hyperlink r:id="rId455" ref="B457"/>
    <hyperlink r:id="rId456" ref="B458"/>
    <hyperlink r:id="rId457" ref="B459"/>
    <hyperlink r:id="rId458" ref="B460"/>
    <hyperlink r:id="rId459" ref="B461"/>
    <hyperlink r:id="rId460" ref="B462"/>
    <hyperlink r:id="rId461" ref="B463"/>
    <hyperlink r:id="rId462" ref="B464"/>
    <hyperlink r:id="rId463" ref="B465"/>
    <hyperlink r:id="rId464" ref="B466"/>
    <hyperlink r:id="rId465" ref="B467"/>
    <hyperlink r:id="rId466" ref="B468"/>
    <hyperlink r:id="rId467" ref="B469"/>
    <hyperlink r:id="rId468" ref="B470"/>
    <hyperlink r:id="rId469" ref="B471"/>
    <hyperlink r:id="rId470" ref="B472"/>
    <hyperlink r:id="rId471" ref="B473"/>
    <hyperlink r:id="rId472" ref="B474"/>
    <hyperlink r:id="rId473" ref="B475"/>
    <hyperlink r:id="rId474" ref="B476"/>
    <hyperlink r:id="rId475" ref="B477"/>
    <hyperlink r:id="rId476" ref="B478"/>
    <hyperlink r:id="rId477" ref="B479"/>
    <hyperlink r:id="rId478" ref="B480"/>
    <hyperlink r:id="rId479" ref="B481"/>
    <hyperlink r:id="rId480" ref="B482"/>
    <hyperlink r:id="rId481" ref="B483"/>
    <hyperlink r:id="rId482" ref="B484"/>
    <hyperlink r:id="rId483" ref="B485"/>
    <hyperlink r:id="rId484" ref="B486"/>
    <hyperlink r:id="rId485" ref="B487"/>
    <hyperlink r:id="rId486" ref="B488"/>
    <hyperlink r:id="rId487" ref="B489"/>
    <hyperlink r:id="rId488" ref="B490"/>
    <hyperlink r:id="rId489" ref="B491"/>
    <hyperlink r:id="rId490" ref="B492"/>
    <hyperlink r:id="rId491" ref="B493"/>
    <hyperlink r:id="rId492" ref="B494"/>
    <hyperlink r:id="rId493" ref="B495"/>
    <hyperlink r:id="rId494" ref="B496"/>
    <hyperlink r:id="rId495" ref="B497"/>
    <hyperlink r:id="rId496" ref="B498"/>
    <hyperlink r:id="rId497" ref="B499"/>
    <hyperlink r:id="rId498" ref="B500"/>
    <hyperlink r:id="rId499" ref="B501"/>
    <hyperlink r:id="rId500" ref="B502"/>
    <hyperlink r:id="rId501" ref="B503"/>
    <hyperlink r:id="rId502" ref="B504"/>
    <hyperlink r:id="rId503" ref="B505"/>
    <hyperlink r:id="rId504" ref="B506"/>
    <hyperlink r:id="rId505" ref="B507"/>
    <hyperlink r:id="rId506" ref="B508"/>
    <hyperlink r:id="rId507" ref="B509"/>
    <hyperlink r:id="rId508" ref="B510"/>
    <hyperlink r:id="rId509" ref="B511"/>
    <hyperlink r:id="rId510" ref="B512"/>
    <hyperlink r:id="rId511" ref="B513"/>
    <hyperlink r:id="rId512" ref="B514"/>
    <hyperlink r:id="rId513" ref="B515"/>
    <hyperlink r:id="rId514" ref="B516"/>
    <hyperlink r:id="rId515" ref="B517"/>
    <hyperlink r:id="rId516" ref="B518"/>
    <hyperlink r:id="rId517" ref="B519"/>
    <hyperlink r:id="rId518" ref="B520"/>
    <hyperlink r:id="rId519" ref="B521"/>
    <hyperlink r:id="rId520" ref="B522"/>
    <hyperlink r:id="rId521" ref="B523"/>
    <hyperlink r:id="rId522" ref="B524"/>
    <hyperlink r:id="rId523" ref="B525"/>
    <hyperlink r:id="rId524" ref="B526"/>
    <hyperlink r:id="rId525" ref="B527"/>
    <hyperlink r:id="rId526" ref="B528"/>
    <hyperlink r:id="rId527" ref="B529"/>
    <hyperlink r:id="rId528" ref="B530"/>
    <hyperlink r:id="rId529" ref="B531"/>
    <hyperlink r:id="rId530" ref="B532"/>
    <hyperlink r:id="rId531" ref="B533"/>
    <hyperlink r:id="rId532" ref="B534"/>
    <hyperlink r:id="rId533" ref="B535"/>
    <hyperlink r:id="rId534" ref="B536"/>
    <hyperlink r:id="rId535" ref="B537"/>
    <hyperlink r:id="rId536" ref="B538"/>
    <hyperlink r:id="rId537" ref="B539"/>
    <hyperlink r:id="rId538" ref="B540"/>
    <hyperlink r:id="rId539" ref="B541"/>
    <hyperlink r:id="rId540" ref="B542"/>
    <hyperlink r:id="rId541" ref="B543"/>
    <hyperlink r:id="rId542" ref="B544"/>
    <hyperlink r:id="rId543" ref="B545"/>
    <hyperlink r:id="rId544" ref="B546"/>
    <hyperlink r:id="rId545" ref="B547"/>
    <hyperlink r:id="rId546" ref="B548"/>
    <hyperlink r:id="rId547" ref="B549"/>
    <hyperlink r:id="rId548" ref="B550"/>
    <hyperlink r:id="rId549" ref="B551"/>
    <hyperlink r:id="rId550" ref="B552"/>
    <hyperlink r:id="rId551" ref="B553"/>
    <hyperlink r:id="rId552" ref="B554"/>
    <hyperlink r:id="rId553" ref="B555"/>
    <hyperlink r:id="rId554" ref="B556"/>
    <hyperlink r:id="rId555" ref="B557"/>
    <hyperlink r:id="rId556" ref="B558"/>
    <hyperlink r:id="rId557" ref="B559"/>
    <hyperlink r:id="rId558" ref="B560"/>
    <hyperlink r:id="rId559" ref="B561"/>
    <hyperlink r:id="rId560" ref="B562"/>
    <hyperlink r:id="rId561" ref="B563"/>
    <hyperlink r:id="rId562" ref="B564"/>
    <hyperlink r:id="rId563" ref="B565"/>
    <hyperlink r:id="rId564" ref="B566"/>
    <hyperlink r:id="rId565" ref="B567"/>
    <hyperlink r:id="rId566" ref="B568"/>
    <hyperlink r:id="rId567" ref="B569"/>
    <hyperlink r:id="rId568" ref="B570"/>
    <hyperlink r:id="rId569" ref="B571"/>
    <hyperlink r:id="rId570" ref="B572"/>
    <hyperlink r:id="rId571" ref="B573"/>
    <hyperlink r:id="rId572" ref="B574"/>
    <hyperlink r:id="rId573" ref="B575"/>
    <hyperlink r:id="rId574" ref="B576"/>
    <hyperlink r:id="rId575" ref="B577"/>
    <hyperlink r:id="rId576" ref="B578"/>
    <hyperlink r:id="rId577" ref="B579"/>
    <hyperlink r:id="rId578" ref="B580"/>
    <hyperlink r:id="rId579" ref="B581"/>
    <hyperlink r:id="rId580" ref="B582"/>
    <hyperlink r:id="rId581" ref="B583"/>
    <hyperlink r:id="rId582" ref="B584"/>
    <hyperlink r:id="rId583" ref="B585"/>
    <hyperlink r:id="rId584" ref="B586"/>
    <hyperlink r:id="rId585" ref="B587"/>
    <hyperlink r:id="rId586" ref="B588"/>
    <hyperlink r:id="rId587" ref="B589"/>
    <hyperlink r:id="rId588" ref="B590"/>
    <hyperlink r:id="rId589" ref="B591"/>
    <hyperlink r:id="rId590" ref="B592"/>
    <hyperlink r:id="rId591" ref="B593"/>
    <hyperlink r:id="rId592" ref="B594"/>
    <hyperlink r:id="rId593" ref="B595"/>
    <hyperlink r:id="rId594" ref="B596"/>
    <hyperlink r:id="rId595" ref="B597"/>
    <hyperlink r:id="rId596" ref="B598"/>
    <hyperlink r:id="rId597" ref="B599"/>
    <hyperlink r:id="rId598" ref="B600"/>
    <hyperlink r:id="rId599" ref="B601"/>
    <hyperlink r:id="rId600" ref="B602"/>
    <hyperlink r:id="rId601" ref="B603"/>
    <hyperlink r:id="rId602" ref="B604"/>
    <hyperlink r:id="rId603" ref="B605"/>
    <hyperlink r:id="rId604" ref="B606"/>
    <hyperlink r:id="rId605" ref="B607"/>
    <hyperlink r:id="rId606" ref="B608"/>
    <hyperlink r:id="rId607" ref="B609"/>
    <hyperlink r:id="rId608" ref="B610"/>
    <hyperlink r:id="rId609" ref="B611"/>
    <hyperlink r:id="rId610" ref="B612"/>
    <hyperlink r:id="rId611" ref="B613"/>
    <hyperlink r:id="rId612" ref="B614"/>
    <hyperlink r:id="rId613" ref="B615"/>
    <hyperlink r:id="rId614" ref="B616"/>
    <hyperlink r:id="rId615" ref="B617"/>
    <hyperlink r:id="rId616" ref="B618"/>
    <hyperlink r:id="rId617" ref="B619"/>
    <hyperlink r:id="rId618" ref="B620"/>
    <hyperlink r:id="rId619" ref="B621"/>
    <hyperlink r:id="rId620" ref="B622"/>
    <hyperlink r:id="rId621" ref="B623"/>
    <hyperlink r:id="rId622" ref="B624"/>
    <hyperlink r:id="rId623" ref="B625"/>
    <hyperlink r:id="rId624" ref="B626"/>
    <hyperlink r:id="rId625" ref="B627"/>
    <hyperlink r:id="rId626" ref="B628"/>
    <hyperlink r:id="rId627" ref="B629"/>
    <hyperlink r:id="rId628" ref="B630"/>
    <hyperlink r:id="rId629" ref="B631"/>
    <hyperlink r:id="rId630" ref="B632"/>
    <hyperlink r:id="rId631" ref="B633"/>
    <hyperlink r:id="rId632" ref="B634"/>
    <hyperlink r:id="rId633" ref="B635"/>
    <hyperlink r:id="rId634" ref="B636"/>
    <hyperlink r:id="rId635" ref="B637"/>
    <hyperlink r:id="rId636" ref="B638"/>
    <hyperlink r:id="rId637" ref="B639"/>
    <hyperlink r:id="rId638" ref="B640"/>
    <hyperlink r:id="rId639" ref="B641"/>
    <hyperlink r:id="rId640" ref="B642"/>
    <hyperlink r:id="rId641" ref="B643"/>
    <hyperlink r:id="rId642" ref="B644"/>
    <hyperlink r:id="rId643" ref="B645"/>
    <hyperlink r:id="rId644" ref="B646"/>
    <hyperlink r:id="rId645" ref="B647"/>
    <hyperlink r:id="rId646" ref="B648"/>
    <hyperlink r:id="rId647" ref="B649"/>
    <hyperlink r:id="rId648" ref="B650"/>
    <hyperlink r:id="rId649" ref="B651"/>
    <hyperlink r:id="rId650" ref="B652"/>
    <hyperlink r:id="rId651" ref="B653"/>
    <hyperlink r:id="rId652" ref="B654"/>
    <hyperlink r:id="rId653" ref="B655"/>
    <hyperlink r:id="rId654" ref="B656"/>
    <hyperlink r:id="rId655" ref="B657"/>
    <hyperlink r:id="rId656" ref="B658"/>
    <hyperlink r:id="rId657" ref="B659"/>
    <hyperlink r:id="rId658" ref="B660"/>
    <hyperlink r:id="rId659" ref="B661"/>
    <hyperlink r:id="rId660" ref="B662"/>
    <hyperlink r:id="rId661" ref="B663"/>
    <hyperlink r:id="rId662" ref="B664"/>
    <hyperlink r:id="rId663" ref="B665"/>
    <hyperlink r:id="rId664" ref="B666"/>
    <hyperlink r:id="rId665" ref="B667"/>
    <hyperlink r:id="rId666" ref="B668"/>
    <hyperlink r:id="rId667" ref="B669"/>
    <hyperlink r:id="rId668" ref="B670"/>
    <hyperlink r:id="rId669" ref="B671"/>
    <hyperlink r:id="rId670" ref="B672"/>
    <hyperlink r:id="rId671" ref="B673"/>
    <hyperlink r:id="rId672" ref="B674"/>
    <hyperlink r:id="rId673" ref="B675"/>
    <hyperlink r:id="rId674" ref="B676"/>
    <hyperlink r:id="rId675" ref="B677"/>
    <hyperlink r:id="rId676" ref="B678"/>
    <hyperlink r:id="rId677" ref="B679"/>
    <hyperlink r:id="rId678" ref="B680"/>
    <hyperlink r:id="rId679" ref="B681"/>
    <hyperlink r:id="rId680" ref="B682"/>
    <hyperlink r:id="rId681" ref="B683"/>
    <hyperlink r:id="rId682" ref="B684"/>
    <hyperlink r:id="rId683" ref="B685"/>
    <hyperlink r:id="rId684" ref="B686"/>
    <hyperlink r:id="rId685" ref="B687"/>
    <hyperlink r:id="rId686" ref="B688"/>
    <hyperlink r:id="rId687" ref="B689"/>
    <hyperlink r:id="rId688" ref="B690"/>
    <hyperlink r:id="rId689" ref="B691"/>
    <hyperlink r:id="rId690" ref="B692"/>
    <hyperlink r:id="rId691" ref="B693"/>
    <hyperlink r:id="rId692" ref="B694"/>
    <hyperlink r:id="rId693" ref="B695"/>
    <hyperlink r:id="rId694" ref="B696"/>
    <hyperlink r:id="rId695" ref="B697"/>
    <hyperlink r:id="rId696" ref="B698"/>
    <hyperlink r:id="rId697" ref="B699"/>
    <hyperlink r:id="rId698" ref="B700"/>
    <hyperlink r:id="rId699" ref="B701"/>
    <hyperlink r:id="rId700" ref="B702"/>
    <hyperlink r:id="rId701" ref="B703"/>
    <hyperlink r:id="rId702" ref="B704"/>
    <hyperlink r:id="rId703" ref="B705"/>
    <hyperlink r:id="rId704" ref="B706"/>
    <hyperlink r:id="rId705" ref="B707"/>
    <hyperlink r:id="rId706" ref="B708"/>
    <hyperlink r:id="rId707" ref="B709"/>
    <hyperlink r:id="rId708" ref="B710"/>
    <hyperlink r:id="rId709" ref="B711"/>
    <hyperlink r:id="rId710" ref="B712"/>
    <hyperlink r:id="rId711" ref="B713"/>
    <hyperlink r:id="rId712" ref="B714"/>
    <hyperlink r:id="rId713" ref="B715"/>
    <hyperlink r:id="rId714" ref="B716"/>
    <hyperlink r:id="rId715" ref="B717"/>
    <hyperlink r:id="rId716" ref="B718"/>
    <hyperlink r:id="rId717" ref="B719"/>
    <hyperlink r:id="rId718" ref="B720"/>
    <hyperlink r:id="rId719" ref="B721"/>
    <hyperlink r:id="rId720" ref="B722"/>
    <hyperlink r:id="rId721" ref="B723"/>
    <hyperlink r:id="rId722" ref="B724"/>
    <hyperlink r:id="rId723" ref="B725"/>
    <hyperlink r:id="rId724" ref="B726"/>
    <hyperlink r:id="rId725" ref="B727"/>
    <hyperlink r:id="rId726" ref="B728"/>
    <hyperlink r:id="rId727" ref="B729"/>
    <hyperlink r:id="rId728" ref="B730"/>
    <hyperlink r:id="rId729" ref="B731"/>
    <hyperlink r:id="rId730" ref="B732"/>
    <hyperlink r:id="rId731" ref="B733"/>
    <hyperlink r:id="rId732" ref="B734"/>
    <hyperlink r:id="rId733" ref="B735"/>
    <hyperlink r:id="rId734" ref="B736"/>
    <hyperlink r:id="rId735" ref="B737"/>
    <hyperlink r:id="rId736" ref="B738"/>
    <hyperlink r:id="rId737" ref="B739"/>
    <hyperlink r:id="rId738" ref="B740"/>
    <hyperlink r:id="rId739" ref="B741"/>
    <hyperlink r:id="rId740" ref="B742"/>
    <hyperlink r:id="rId741" ref="B743"/>
    <hyperlink r:id="rId742" ref="B744"/>
    <hyperlink r:id="rId743" ref="B745"/>
    <hyperlink r:id="rId744" ref="B746"/>
    <hyperlink r:id="rId745" ref="B747"/>
    <hyperlink r:id="rId746" ref="B748"/>
    <hyperlink r:id="rId747" ref="B749"/>
    <hyperlink r:id="rId748" ref="B750"/>
    <hyperlink r:id="rId749" ref="B751"/>
    <hyperlink r:id="rId750" ref="B752"/>
    <hyperlink r:id="rId751" ref="B753"/>
    <hyperlink r:id="rId752" ref="B754"/>
    <hyperlink r:id="rId753" ref="B755"/>
    <hyperlink r:id="rId754" ref="B756"/>
    <hyperlink r:id="rId755" ref="B757"/>
    <hyperlink r:id="rId756" ref="B758"/>
    <hyperlink r:id="rId757" ref="B759"/>
    <hyperlink r:id="rId758" ref="B760"/>
    <hyperlink r:id="rId759" ref="B761"/>
    <hyperlink r:id="rId760" ref="B762"/>
    <hyperlink r:id="rId761" ref="B763"/>
    <hyperlink r:id="rId762" ref="B764"/>
    <hyperlink r:id="rId763" ref="B765"/>
    <hyperlink r:id="rId764" ref="B766"/>
    <hyperlink r:id="rId765" ref="B767"/>
    <hyperlink r:id="rId766" ref="B768"/>
    <hyperlink r:id="rId767" ref="B769"/>
    <hyperlink r:id="rId768" ref="B770"/>
    <hyperlink r:id="rId769" ref="B771"/>
    <hyperlink r:id="rId770" ref="B772"/>
    <hyperlink r:id="rId771" ref="B773"/>
    <hyperlink r:id="rId772" ref="B774"/>
    <hyperlink r:id="rId773" ref="B775"/>
    <hyperlink r:id="rId774" ref="B776"/>
    <hyperlink r:id="rId775" ref="B777"/>
    <hyperlink r:id="rId776" ref="B778"/>
    <hyperlink r:id="rId777" ref="B779"/>
    <hyperlink r:id="rId778" ref="B780"/>
    <hyperlink r:id="rId779" ref="B781"/>
    <hyperlink r:id="rId780" ref="B782"/>
    <hyperlink r:id="rId781" ref="B783"/>
    <hyperlink r:id="rId782" ref="B784"/>
    <hyperlink r:id="rId783" ref="B785"/>
    <hyperlink r:id="rId784" ref="B786"/>
    <hyperlink r:id="rId785" ref="B787"/>
    <hyperlink r:id="rId786" ref="B788"/>
    <hyperlink r:id="rId787" ref="B789"/>
    <hyperlink r:id="rId788" ref="B790"/>
    <hyperlink r:id="rId789" ref="B791"/>
    <hyperlink r:id="rId790" ref="B792"/>
    <hyperlink r:id="rId791" ref="B793"/>
    <hyperlink r:id="rId792" ref="B794"/>
    <hyperlink r:id="rId793" ref="B795"/>
    <hyperlink r:id="rId794" ref="B796"/>
    <hyperlink r:id="rId795" ref="B797"/>
    <hyperlink r:id="rId796" ref="B798"/>
    <hyperlink r:id="rId797" ref="B799"/>
    <hyperlink r:id="rId798" ref="B800"/>
    <hyperlink r:id="rId799" ref="B801"/>
    <hyperlink r:id="rId800" ref="B802"/>
    <hyperlink r:id="rId801" ref="B803"/>
    <hyperlink r:id="rId802" ref="B804"/>
    <hyperlink r:id="rId803" ref="B805"/>
    <hyperlink r:id="rId804" ref="B806"/>
    <hyperlink r:id="rId805" ref="B807"/>
    <hyperlink r:id="rId806" ref="B808"/>
    <hyperlink r:id="rId807" ref="B809"/>
    <hyperlink r:id="rId808" ref="B810"/>
    <hyperlink r:id="rId809" ref="B811"/>
    <hyperlink r:id="rId810" ref="B812"/>
    <hyperlink r:id="rId811" ref="B813"/>
    <hyperlink r:id="rId812" ref="B814"/>
    <hyperlink r:id="rId813" ref="B815"/>
    <hyperlink r:id="rId814" ref="B816"/>
    <hyperlink r:id="rId815" ref="B817"/>
    <hyperlink r:id="rId816" ref="B818"/>
    <hyperlink r:id="rId817" ref="B819"/>
    <hyperlink r:id="rId818" ref="B820"/>
    <hyperlink r:id="rId819" ref="B821"/>
    <hyperlink r:id="rId820" ref="B822"/>
    <hyperlink r:id="rId821" ref="B823"/>
    <hyperlink r:id="rId822" ref="B824"/>
    <hyperlink r:id="rId823" ref="B825"/>
    <hyperlink r:id="rId824" ref="B826"/>
    <hyperlink r:id="rId825" ref="B827"/>
    <hyperlink r:id="rId826" ref="B828"/>
    <hyperlink r:id="rId827" ref="B829"/>
    <hyperlink r:id="rId828" ref="B830"/>
    <hyperlink r:id="rId829" ref="B831"/>
    <hyperlink r:id="rId830" ref="B832"/>
    <hyperlink r:id="rId831" ref="B833"/>
    <hyperlink r:id="rId832" ref="B834"/>
    <hyperlink r:id="rId833" ref="B835"/>
    <hyperlink r:id="rId834" ref="B836"/>
    <hyperlink r:id="rId835" ref="B837"/>
    <hyperlink r:id="rId836" ref="B838"/>
    <hyperlink r:id="rId837" ref="B839"/>
    <hyperlink r:id="rId838" ref="B840"/>
    <hyperlink r:id="rId839" ref="B841"/>
    <hyperlink r:id="rId840" ref="B842"/>
    <hyperlink r:id="rId841" ref="B843"/>
    <hyperlink r:id="rId842" ref="B844"/>
    <hyperlink r:id="rId843" ref="B845"/>
    <hyperlink r:id="rId844" ref="B846"/>
    <hyperlink r:id="rId845" ref="B847"/>
    <hyperlink r:id="rId846" ref="B848"/>
    <hyperlink r:id="rId847" ref="B849"/>
    <hyperlink r:id="rId848" ref="B850"/>
    <hyperlink r:id="rId849" ref="B851"/>
    <hyperlink r:id="rId850" ref="B852"/>
    <hyperlink r:id="rId851" ref="B853"/>
    <hyperlink r:id="rId852" ref="B854"/>
    <hyperlink r:id="rId853" ref="B855"/>
    <hyperlink r:id="rId854" ref="B856"/>
    <hyperlink r:id="rId855" ref="B857"/>
    <hyperlink r:id="rId856" ref="B858"/>
    <hyperlink r:id="rId857" ref="B859"/>
    <hyperlink r:id="rId858" ref="B860"/>
    <hyperlink r:id="rId859" ref="B861"/>
    <hyperlink r:id="rId860" ref="B862"/>
    <hyperlink r:id="rId861" ref="B863"/>
    <hyperlink r:id="rId862" ref="B864"/>
    <hyperlink r:id="rId863" ref="B865"/>
    <hyperlink r:id="rId864" ref="B866"/>
    <hyperlink r:id="rId865" ref="B867"/>
    <hyperlink r:id="rId866" ref="B868"/>
    <hyperlink r:id="rId867" ref="B869"/>
    <hyperlink r:id="rId868" ref="B870"/>
    <hyperlink r:id="rId869" ref="B871"/>
    <hyperlink r:id="rId870" ref="B872"/>
    <hyperlink r:id="rId871" ref="B873"/>
    <hyperlink r:id="rId872" ref="B874"/>
    <hyperlink r:id="rId873" ref="B875"/>
    <hyperlink r:id="rId874" ref="B876"/>
    <hyperlink r:id="rId875" ref="B877"/>
    <hyperlink r:id="rId876" ref="B878"/>
    <hyperlink r:id="rId877" ref="B879"/>
    <hyperlink r:id="rId878" ref="B880"/>
    <hyperlink r:id="rId879" ref="B881"/>
    <hyperlink r:id="rId880" ref="B882"/>
    <hyperlink r:id="rId881" ref="B883"/>
    <hyperlink r:id="rId882" ref="B884"/>
    <hyperlink r:id="rId883" ref="B885"/>
    <hyperlink r:id="rId884" ref="B886"/>
    <hyperlink r:id="rId885" ref="B887"/>
    <hyperlink r:id="rId886" ref="B888"/>
    <hyperlink r:id="rId887" ref="B889"/>
    <hyperlink r:id="rId888" ref="B890"/>
    <hyperlink r:id="rId889" ref="B891"/>
    <hyperlink r:id="rId890" ref="B892"/>
    <hyperlink r:id="rId891" ref="B893"/>
    <hyperlink r:id="rId892" ref="B894"/>
    <hyperlink r:id="rId893" ref="B895"/>
    <hyperlink r:id="rId894" ref="B896"/>
    <hyperlink r:id="rId895" ref="B897"/>
    <hyperlink r:id="rId896" ref="B898"/>
    <hyperlink r:id="rId897" ref="B899"/>
    <hyperlink r:id="rId898" ref="B900"/>
    <hyperlink r:id="rId899" ref="B901"/>
    <hyperlink r:id="rId900" ref="B902"/>
    <hyperlink r:id="rId901" ref="B903"/>
    <hyperlink r:id="rId902" ref="B904"/>
    <hyperlink r:id="rId903" ref="B905"/>
    <hyperlink r:id="rId904" ref="B906"/>
    <hyperlink r:id="rId905" ref="B907"/>
    <hyperlink r:id="rId906" ref="B908"/>
    <hyperlink r:id="rId907" ref="B909"/>
    <hyperlink r:id="rId908" ref="B910"/>
    <hyperlink r:id="rId909" ref="B911"/>
    <hyperlink r:id="rId910" ref="B912"/>
    <hyperlink r:id="rId911" ref="B913"/>
    <hyperlink r:id="rId912" ref="B914"/>
    <hyperlink r:id="rId913" ref="B915"/>
    <hyperlink r:id="rId914" ref="B916"/>
    <hyperlink r:id="rId915" ref="B917"/>
    <hyperlink r:id="rId916" ref="B918"/>
    <hyperlink r:id="rId917" ref="B919"/>
    <hyperlink r:id="rId918" ref="B920"/>
    <hyperlink r:id="rId919" ref="B921"/>
    <hyperlink r:id="rId920" ref="B922"/>
    <hyperlink r:id="rId921" ref="B923"/>
    <hyperlink r:id="rId922" ref="B924"/>
    <hyperlink r:id="rId923" ref="B925"/>
    <hyperlink r:id="rId924" ref="B926"/>
    <hyperlink r:id="rId925" ref="B927"/>
    <hyperlink r:id="rId926" ref="B928"/>
    <hyperlink r:id="rId927" ref="B929"/>
    <hyperlink r:id="rId928" ref="B930"/>
    <hyperlink r:id="rId929" ref="B931"/>
    <hyperlink r:id="rId930" ref="B932"/>
    <hyperlink r:id="rId931" ref="B933"/>
    <hyperlink r:id="rId932" ref="B934"/>
    <hyperlink r:id="rId933" ref="B935"/>
    <hyperlink r:id="rId934" ref="B936"/>
    <hyperlink r:id="rId935" ref="B937"/>
    <hyperlink r:id="rId936" ref="B938"/>
    <hyperlink r:id="rId937" ref="B939"/>
    <hyperlink r:id="rId938" ref="B940"/>
    <hyperlink r:id="rId939" ref="B941"/>
    <hyperlink r:id="rId940" ref="B942"/>
    <hyperlink r:id="rId941" ref="B943"/>
    <hyperlink r:id="rId942" ref="B944"/>
    <hyperlink r:id="rId943" ref="B945"/>
    <hyperlink r:id="rId944" ref="B946"/>
    <hyperlink r:id="rId945" ref="B947"/>
    <hyperlink r:id="rId946" ref="B948"/>
    <hyperlink r:id="rId947" ref="B949"/>
    <hyperlink r:id="rId948" ref="B950"/>
    <hyperlink r:id="rId949" ref="B951"/>
    <hyperlink r:id="rId950" ref="B952"/>
    <hyperlink r:id="rId951" ref="B953"/>
    <hyperlink r:id="rId952" ref="B954"/>
    <hyperlink r:id="rId953" ref="B955"/>
    <hyperlink r:id="rId954" ref="B956"/>
    <hyperlink r:id="rId955" ref="B957"/>
    <hyperlink r:id="rId956" ref="B958"/>
    <hyperlink r:id="rId957" ref="B959"/>
    <hyperlink r:id="rId958" ref="B960"/>
    <hyperlink r:id="rId959" ref="B961"/>
    <hyperlink r:id="rId960" ref="B962"/>
    <hyperlink r:id="rId961" ref="B963"/>
    <hyperlink r:id="rId962" ref="B964"/>
    <hyperlink r:id="rId963" ref="B965"/>
    <hyperlink r:id="rId964" ref="B966"/>
    <hyperlink r:id="rId965" ref="B967"/>
    <hyperlink r:id="rId966" ref="B968"/>
    <hyperlink r:id="rId967" ref="B969"/>
    <hyperlink r:id="rId968" ref="B970"/>
    <hyperlink r:id="rId969" ref="B971"/>
    <hyperlink r:id="rId970" ref="B972"/>
    <hyperlink r:id="rId971" ref="B973"/>
    <hyperlink r:id="rId972" ref="B974"/>
    <hyperlink r:id="rId973" ref="B975"/>
    <hyperlink r:id="rId974" ref="B976"/>
    <hyperlink r:id="rId975" ref="B977"/>
    <hyperlink r:id="rId976" ref="B978"/>
    <hyperlink r:id="rId977" ref="B979"/>
    <hyperlink r:id="rId978" ref="B980"/>
    <hyperlink r:id="rId979" ref="B981"/>
    <hyperlink r:id="rId980" ref="B982"/>
    <hyperlink r:id="rId981" ref="B983"/>
    <hyperlink r:id="rId982" ref="B984"/>
    <hyperlink r:id="rId983" ref="B985"/>
    <hyperlink r:id="rId984" ref="B986"/>
    <hyperlink r:id="rId985" ref="B987"/>
    <hyperlink r:id="rId986" ref="B988"/>
    <hyperlink r:id="rId987" ref="B989"/>
    <hyperlink r:id="rId988" ref="B990"/>
    <hyperlink r:id="rId989" ref="B991"/>
    <hyperlink r:id="rId990" ref="B992"/>
    <hyperlink r:id="rId991" ref="B993"/>
    <hyperlink r:id="rId992" ref="B994"/>
    <hyperlink r:id="rId993" ref="B995"/>
    <hyperlink r:id="rId994" ref="B996"/>
    <hyperlink r:id="rId995" ref="B997"/>
    <hyperlink r:id="rId996" ref="B998"/>
    <hyperlink r:id="rId997" ref="B999"/>
    <hyperlink r:id="rId998" ref="B1000"/>
    <hyperlink r:id="rId999" ref="B1001"/>
    <hyperlink r:id="rId1000" ref="B1002"/>
    <hyperlink r:id="rId1001" ref="B1003"/>
    <hyperlink r:id="rId1002" ref="B1004"/>
    <hyperlink r:id="rId1003" ref="B1005"/>
    <hyperlink r:id="rId1004" ref="B1006"/>
    <hyperlink r:id="rId1005" ref="B1007"/>
    <hyperlink r:id="rId1006" ref="B1008"/>
    <hyperlink r:id="rId1007" ref="B1009"/>
    <hyperlink r:id="rId1008" ref="B1010"/>
    <hyperlink r:id="rId1009" ref="B1011"/>
    <hyperlink r:id="rId1010" ref="B1012"/>
    <hyperlink r:id="rId1011" ref="B1013"/>
    <hyperlink r:id="rId1012" ref="B1014"/>
    <hyperlink r:id="rId1013" ref="B1015"/>
    <hyperlink r:id="rId1014" ref="B1016"/>
    <hyperlink r:id="rId1015" ref="B1017"/>
    <hyperlink r:id="rId1016" ref="B1018"/>
    <hyperlink r:id="rId1017" ref="B1019"/>
    <hyperlink r:id="rId1018" ref="B1020"/>
    <hyperlink r:id="rId1019" ref="B1021"/>
    <hyperlink r:id="rId1020" ref="B1022"/>
    <hyperlink r:id="rId1021" ref="B1023"/>
    <hyperlink r:id="rId1022" ref="B1024"/>
    <hyperlink r:id="rId1023" ref="B1025"/>
    <hyperlink r:id="rId1024" ref="B1026"/>
    <hyperlink r:id="rId1025" ref="B1027"/>
    <hyperlink r:id="rId1026" ref="B1028"/>
    <hyperlink r:id="rId1027" ref="B1029"/>
    <hyperlink r:id="rId1028" ref="B1030"/>
    <hyperlink r:id="rId1029" ref="B1031"/>
    <hyperlink r:id="rId1030" ref="B1032"/>
    <hyperlink r:id="rId1031" ref="B1033"/>
    <hyperlink r:id="rId1032" ref="B1034"/>
    <hyperlink r:id="rId1033" ref="B1035"/>
    <hyperlink r:id="rId1034" ref="B1036"/>
    <hyperlink r:id="rId1035" ref="B1037"/>
    <hyperlink r:id="rId1036" ref="B1038"/>
    <hyperlink r:id="rId1037" ref="B1039"/>
    <hyperlink r:id="rId1038" ref="B1040"/>
    <hyperlink r:id="rId1039" ref="B1041"/>
    <hyperlink r:id="rId1040" ref="B1042"/>
    <hyperlink r:id="rId1041" ref="B1043"/>
    <hyperlink r:id="rId1042" ref="B1044"/>
    <hyperlink r:id="rId1043" ref="B1045"/>
    <hyperlink r:id="rId1044" ref="B1046"/>
    <hyperlink r:id="rId1045" ref="B1047"/>
    <hyperlink r:id="rId1046" ref="B1048"/>
    <hyperlink r:id="rId1047" ref="B1049"/>
    <hyperlink r:id="rId1048" ref="B1050"/>
    <hyperlink r:id="rId1049" ref="B1051"/>
    <hyperlink r:id="rId1050" ref="B1052"/>
    <hyperlink r:id="rId1051" ref="B1053"/>
    <hyperlink r:id="rId1052" ref="B1054"/>
    <hyperlink r:id="rId1053" ref="B1055"/>
    <hyperlink r:id="rId1054" ref="B1056"/>
    <hyperlink r:id="rId1055" ref="B1057"/>
    <hyperlink r:id="rId1056" ref="B1058"/>
    <hyperlink r:id="rId1057" ref="B1059"/>
    <hyperlink r:id="rId1058" ref="B1060"/>
    <hyperlink r:id="rId1059" ref="B1061"/>
    <hyperlink r:id="rId1060" ref="B1062"/>
    <hyperlink r:id="rId1061" ref="B1063"/>
    <hyperlink r:id="rId1062" ref="B1064"/>
    <hyperlink r:id="rId1063" ref="B1065"/>
    <hyperlink r:id="rId1064" ref="B1066"/>
    <hyperlink r:id="rId1065" ref="B1067"/>
    <hyperlink r:id="rId1066" ref="B1068"/>
    <hyperlink r:id="rId1067" ref="B1069"/>
    <hyperlink r:id="rId1068" ref="B1070"/>
    <hyperlink r:id="rId1069" ref="B1071"/>
    <hyperlink r:id="rId1070" ref="B1072"/>
    <hyperlink r:id="rId1071" ref="B1073"/>
    <hyperlink r:id="rId1072" ref="B1074"/>
    <hyperlink r:id="rId1073" ref="B1075"/>
    <hyperlink r:id="rId1074" ref="B1076"/>
    <hyperlink r:id="rId1075" ref="B1077"/>
    <hyperlink r:id="rId1076" ref="B1078"/>
    <hyperlink r:id="rId1077" ref="B1079"/>
    <hyperlink r:id="rId1078" ref="B1080"/>
    <hyperlink r:id="rId1079" ref="B1081"/>
    <hyperlink r:id="rId1080" ref="B1082"/>
    <hyperlink r:id="rId1081" ref="B1083"/>
    <hyperlink r:id="rId1082" ref="B1084"/>
    <hyperlink r:id="rId1083" ref="B1085"/>
    <hyperlink r:id="rId1084" ref="B1086"/>
    <hyperlink r:id="rId1085" ref="B1087"/>
    <hyperlink r:id="rId1086" ref="B1088"/>
    <hyperlink r:id="rId1087" ref="B1089"/>
    <hyperlink r:id="rId1088" ref="B1090"/>
    <hyperlink r:id="rId1089" ref="B1091"/>
    <hyperlink r:id="rId1090" ref="B1092"/>
    <hyperlink r:id="rId1091" ref="B1093"/>
    <hyperlink r:id="rId1092" ref="B1094"/>
    <hyperlink r:id="rId1093" ref="B1095"/>
    <hyperlink r:id="rId1094" ref="B1096"/>
    <hyperlink r:id="rId1095" ref="B1097"/>
    <hyperlink r:id="rId1096" ref="B1098"/>
    <hyperlink r:id="rId1097" ref="B1099"/>
    <hyperlink r:id="rId1098" ref="B1100"/>
    <hyperlink r:id="rId1099" ref="B1101"/>
    <hyperlink r:id="rId1100" ref="B1102"/>
    <hyperlink r:id="rId1101" ref="B1103"/>
    <hyperlink r:id="rId1102" ref="B1104"/>
    <hyperlink r:id="rId1103" ref="B1105"/>
    <hyperlink r:id="rId1104" ref="B1106"/>
    <hyperlink r:id="rId1105" ref="B1107"/>
    <hyperlink r:id="rId1106" ref="B1108"/>
    <hyperlink r:id="rId1107" ref="B1109"/>
    <hyperlink r:id="rId1108" ref="B1110"/>
    <hyperlink r:id="rId1109" ref="B1111"/>
    <hyperlink r:id="rId1110" ref="B1112"/>
    <hyperlink r:id="rId1111" ref="B1113"/>
    <hyperlink r:id="rId1112" ref="B1114"/>
    <hyperlink r:id="rId1113" ref="B1115"/>
    <hyperlink r:id="rId1114" ref="B1116"/>
    <hyperlink r:id="rId1115" ref="B1117"/>
    <hyperlink r:id="rId1116" ref="B1118"/>
    <hyperlink r:id="rId1117" ref="B1119"/>
    <hyperlink r:id="rId1118" ref="B1120"/>
    <hyperlink r:id="rId1119" ref="B1121"/>
    <hyperlink r:id="rId1120" ref="B1122"/>
    <hyperlink r:id="rId1121" ref="B1123"/>
    <hyperlink r:id="rId1122" ref="B1124"/>
    <hyperlink r:id="rId1123" ref="B1125"/>
    <hyperlink r:id="rId1124" ref="B1126"/>
    <hyperlink r:id="rId1125" ref="B1127"/>
    <hyperlink r:id="rId1126" ref="B1128"/>
    <hyperlink r:id="rId1127" ref="B1129"/>
    <hyperlink r:id="rId1128" ref="B1130"/>
    <hyperlink r:id="rId1129" ref="B1131"/>
    <hyperlink r:id="rId1130" ref="B1132"/>
    <hyperlink r:id="rId1131" ref="B1133"/>
    <hyperlink r:id="rId1132" ref="B1134"/>
    <hyperlink r:id="rId1133" ref="B1135"/>
    <hyperlink r:id="rId1134" ref="B1136"/>
    <hyperlink r:id="rId1135" ref="B1137"/>
    <hyperlink r:id="rId1136" ref="B1138"/>
    <hyperlink r:id="rId1137" ref="B1139"/>
    <hyperlink r:id="rId1138" ref="B1140"/>
    <hyperlink r:id="rId1139" ref="B1141"/>
    <hyperlink r:id="rId1140" ref="B1142"/>
    <hyperlink r:id="rId1141" ref="B1143"/>
    <hyperlink r:id="rId1142" ref="B1144"/>
    <hyperlink r:id="rId1143" ref="B1145"/>
    <hyperlink r:id="rId1144" ref="B1146"/>
    <hyperlink r:id="rId1145" ref="B1147"/>
    <hyperlink r:id="rId1146" ref="B1148"/>
    <hyperlink r:id="rId1147" ref="B1149"/>
    <hyperlink r:id="rId1148" ref="B1150"/>
    <hyperlink r:id="rId1149" ref="B1151"/>
    <hyperlink r:id="rId1150" ref="B1152"/>
    <hyperlink r:id="rId1151" ref="B1153"/>
    <hyperlink r:id="rId1152" ref="B1154"/>
    <hyperlink r:id="rId1153" ref="B1155"/>
    <hyperlink r:id="rId1154" ref="B1156"/>
    <hyperlink r:id="rId1155" ref="B1157"/>
    <hyperlink r:id="rId1156" ref="B1158"/>
    <hyperlink r:id="rId1157" ref="B1159"/>
    <hyperlink r:id="rId1158" ref="B1160"/>
    <hyperlink r:id="rId1159" ref="B1161"/>
    <hyperlink r:id="rId1160" ref="B1162"/>
    <hyperlink r:id="rId1161" ref="B1163"/>
    <hyperlink r:id="rId1162" ref="B1164"/>
    <hyperlink r:id="rId1163" ref="B1165"/>
    <hyperlink r:id="rId1164" ref="B1166"/>
    <hyperlink r:id="rId1165" ref="B1167"/>
    <hyperlink r:id="rId1166" ref="B1168"/>
    <hyperlink r:id="rId1167" ref="B1169"/>
    <hyperlink r:id="rId1168" ref="B1170"/>
    <hyperlink r:id="rId1169" ref="B1171"/>
    <hyperlink r:id="rId1170" ref="B1172"/>
    <hyperlink r:id="rId1171" ref="B1173"/>
    <hyperlink r:id="rId1172" ref="B1174"/>
    <hyperlink r:id="rId1173" ref="B1175"/>
    <hyperlink r:id="rId1174" ref="B1176"/>
    <hyperlink r:id="rId1175" ref="B1177"/>
    <hyperlink r:id="rId1176" ref="B1178"/>
    <hyperlink r:id="rId1177" ref="B1179"/>
    <hyperlink r:id="rId1178" ref="B1180"/>
    <hyperlink r:id="rId1179" ref="B1181"/>
    <hyperlink r:id="rId1180" ref="B1182"/>
    <hyperlink r:id="rId1181" ref="B1183"/>
    <hyperlink r:id="rId1182" ref="B1184"/>
    <hyperlink r:id="rId1183" ref="B1185"/>
    <hyperlink r:id="rId1184" ref="B1186"/>
    <hyperlink r:id="rId1185" ref="B1187"/>
    <hyperlink r:id="rId1186" ref="B1188"/>
    <hyperlink r:id="rId1187" ref="B1189"/>
    <hyperlink r:id="rId1188" ref="B1190"/>
    <hyperlink r:id="rId1189" ref="B1191"/>
    <hyperlink r:id="rId1190" ref="B1192"/>
    <hyperlink r:id="rId1191" ref="B1193"/>
    <hyperlink r:id="rId1192" ref="B1194"/>
    <hyperlink r:id="rId1193" ref="B1195"/>
    <hyperlink r:id="rId1194" ref="B1196"/>
    <hyperlink r:id="rId1195" ref="B1197"/>
    <hyperlink r:id="rId1196" ref="B1198"/>
    <hyperlink r:id="rId1197" ref="B1199"/>
    <hyperlink r:id="rId1198" ref="B1200"/>
    <hyperlink r:id="rId1199" ref="B1201"/>
    <hyperlink r:id="rId1200" ref="B1202"/>
    <hyperlink r:id="rId1201" ref="B1203"/>
    <hyperlink r:id="rId1202" ref="B1204"/>
    <hyperlink r:id="rId1203" ref="B1205"/>
    <hyperlink r:id="rId1204" ref="B1206"/>
    <hyperlink r:id="rId1205" ref="B1207"/>
    <hyperlink r:id="rId1206" ref="B1208"/>
    <hyperlink r:id="rId1207" ref="B1209"/>
    <hyperlink r:id="rId1208" ref="B1210"/>
    <hyperlink r:id="rId1209" ref="B1211"/>
    <hyperlink r:id="rId1210" ref="B1212"/>
    <hyperlink r:id="rId1211" ref="B1213"/>
    <hyperlink r:id="rId1212" ref="B1214"/>
    <hyperlink r:id="rId1213" ref="B1215"/>
    <hyperlink r:id="rId1214" ref="B1216"/>
    <hyperlink r:id="rId1215" ref="B1217"/>
    <hyperlink r:id="rId1216" ref="B1218"/>
    <hyperlink r:id="rId1217" ref="B1219"/>
    <hyperlink r:id="rId1218" ref="B1220"/>
    <hyperlink r:id="rId1219" ref="B1221"/>
    <hyperlink r:id="rId1220" ref="B1222"/>
    <hyperlink r:id="rId1221" ref="B1223"/>
    <hyperlink r:id="rId1222" ref="B1224"/>
    <hyperlink r:id="rId1223" ref="B1225"/>
    <hyperlink r:id="rId1224" ref="B1226"/>
    <hyperlink r:id="rId1225" ref="B1227"/>
    <hyperlink r:id="rId1226" ref="B1228"/>
    <hyperlink r:id="rId1227" ref="B1229"/>
    <hyperlink r:id="rId1228" ref="B1230"/>
    <hyperlink r:id="rId1229" ref="B1231"/>
    <hyperlink r:id="rId1230" ref="B1232"/>
    <hyperlink r:id="rId1231" ref="B1233"/>
    <hyperlink r:id="rId1232" ref="B1234"/>
    <hyperlink r:id="rId1233" ref="B1235"/>
    <hyperlink r:id="rId1234" ref="B1236"/>
    <hyperlink r:id="rId1235" ref="B1237"/>
    <hyperlink r:id="rId1236" ref="B1238"/>
    <hyperlink r:id="rId1237" ref="B1239"/>
    <hyperlink r:id="rId1238" ref="B1240"/>
    <hyperlink r:id="rId1239" ref="B1241"/>
    <hyperlink r:id="rId1240" ref="B1242"/>
    <hyperlink r:id="rId1241" ref="B1243"/>
    <hyperlink r:id="rId1242" ref="B1244"/>
    <hyperlink r:id="rId1243" ref="B1245"/>
    <hyperlink r:id="rId1244" ref="B1246"/>
    <hyperlink r:id="rId1245" ref="B1247"/>
    <hyperlink r:id="rId1246" ref="B1248"/>
    <hyperlink r:id="rId1247" ref="B1249"/>
    <hyperlink r:id="rId1248" ref="B1250"/>
    <hyperlink r:id="rId1249" ref="B1251"/>
    <hyperlink r:id="rId1250" ref="B1252"/>
    <hyperlink r:id="rId1251" ref="B1253"/>
    <hyperlink r:id="rId1252" ref="B1254"/>
    <hyperlink r:id="rId1253" ref="B1255"/>
    <hyperlink r:id="rId1254" ref="B1256"/>
    <hyperlink r:id="rId1255" ref="B1257"/>
    <hyperlink r:id="rId1256" ref="B1258"/>
    <hyperlink r:id="rId1257" ref="B1259"/>
    <hyperlink r:id="rId1258" ref="B1260"/>
    <hyperlink r:id="rId1259" ref="B1261"/>
    <hyperlink r:id="rId1260" ref="B1262"/>
    <hyperlink r:id="rId1261" ref="B1263"/>
    <hyperlink r:id="rId1262" ref="B1264"/>
    <hyperlink r:id="rId1263" ref="B1265"/>
    <hyperlink r:id="rId1264" ref="B1266"/>
    <hyperlink r:id="rId1265" ref="B1267"/>
    <hyperlink r:id="rId1266" ref="B1268"/>
    <hyperlink r:id="rId1267" ref="B1269"/>
    <hyperlink r:id="rId1268" ref="B1270"/>
    <hyperlink r:id="rId1269" ref="B1271"/>
    <hyperlink r:id="rId1270" ref="B1272"/>
    <hyperlink r:id="rId1271" ref="B1273"/>
    <hyperlink r:id="rId1272" ref="B1274"/>
    <hyperlink r:id="rId1273" ref="B1275"/>
    <hyperlink r:id="rId1274" ref="B1276"/>
    <hyperlink r:id="rId1275" ref="B1277"/>
    <hyperlink r:id="rId1276" ref="B1278"/>
    <hyperlink r:id="rId1277" ref="B1279"/>
    <hyperlink r:id="rId1278" ref="B1280"/>
    <hyperlink r:id="rId1279" ref="B1281"/>
    <hyperlink r:id="rId1280" ref="B1282"/>
    <hyperlink r:id="rId1281" ref="B1283"/>
    <hyperlink r:id="rId1282" ref="B1284"/>
    <hyperlink r:id="rId1283" ref="B1285"/>
    <hyperlink r:id="rId1284" ref="B1286"/>
    <hyperlink r:id="rId1285" ref="B1287"/>
    <hyperlink r:id="rId1286" ref="B1288"/>
    <hyperlink r:id="rId1287" ref="B1289"/>
    <hyperlink r:id="rId1288" ref="B1290"/>
    <hyperlink r:id="rId1289" ref="B1291"/>
    <hyperlink r:id="rId1290" ref="B1292"/>
    <hyperlink r:id="rId1291" ref="B1293"/>
    <hyperlink r:id="rId1292" ref="B1294"/>
    <hyperlink r:id="rId1293" ref="B1295"/>
    <hyperlink r:id="rId1294" ref="B1296"/>
    <hyperlink r:id="rId1295" ref="B1297"/>
    <hyperlink r:id="rId1296" ref="B1298"/>
    <hyperlink r:id="rId1297" ref="B1299"/>
    <hyperlink r:id="rId1298" ref="B1300"/>
    <hyperlink r:id="rId1299" ref="B1301"/>
    <hyperlink r:id="rId1300" ref="B1302"/>
    <hyperlink r:id="rId1301" ref="B1303"/>
    <hyperlink r:id="rId1302" ref="B1304"/>
    <hyperlink r:id="rId1303" ref="B1305"/>
    <hyperlink r:id="rId1304" ref="B1306"/>
    <hyperlink r:id="rId1305" ref="B1307"/>
    <hyperlink r:id="rId1306" ref="B1308"/>
    <hyperlink r:id="rId1307" ref="B1309"/>
    <hyperlink r:id="rId1308" ref="B1310"/>
    <hyperlink r:id="rId1309" ref="B1311"/>
    <hyperlink r:id="rId1310" ref="B1312"/>
    <hyperlink r:id="rId1311" ref="B1313"/>
    <hyperlink r:id="rId1312" ref="B1314"/>
    <hyperlink r:id="rId1313" ref="B1315"/>
    <hyperlink r:id="rId1314" ref="B1316"/>
    <hyperlink r:id="rId1315" ref="B1317"/>
    <hyperlink r:id="rId1316" ref="B1318"/>
    <hyperlink r:id="rId1317" ref="B1319"/>
    <hyperlink r:id="rId1318" ref="B1320"/>
    <hyperlink r:id="rId1319" ref="B1321"/>
    <hyperlink r:id="rId1320" ref="B1322"/>
    <hyperlink r:id="rId1321" ref="B1323"/>
    <hyperlink r:id="rId1322" ref="B1324"/>
    <hyperlink r:id="rId1323" ref="B1325"/>
    <hyperlink r:id="rId1324" ref="B1326"/>
    <hyperlink r:id="rId1325" ref="B1327"/>
    <hyperlink r:id="rId1326" ref="B1328"/>
    <hyperlink r:id="rId1327" ref="B1329"/>
    <hyperlink r:id="rId1328" ref="B1330"/>
    <hyperlink r:id="rId1329" ref="B1331"/>
    <hyperlink r:id="rId1330" ref="B1332"/>
    <hyperlink r:id="rId1331" ref="B1333"/>
    <hyperlink r:id="rId1332" ref="B1334"/>
    <hyperlink r:id="rId1333" ref="B1335"/>
    <hyperlink r:id="rId1334" ref="B1336"/>
    <hyperlink r:id="rId1335" ref="B1337"/>
    <hyperlink r:id="rId1336" ref="B1338"/>
    <hyperlink r:id="rId1337" ref="B1339"/>
    <hyperlink r:id="rId1338" ref="B1340"/>
    <hyperlink r:id="rId1339" ref="B1341"/>
    <hyperlink r:id="rId1340" ref="B1342"/>
    <hyperlink r:id="rId1341" ref="B1343"/>
    <hyperlink r:id="rId1342" ref="B1344"/>
    <hyperlink r:id="rId1343" ref="B1345"/>
    <hyperlink r:id="rId1344" ref="B1346"/>
    <hyperlink r:id="rId1345" ref="B1347"/>
    <hyperlink r:id="rId1346" ref="B1348"/>
    <hyperlink r:id="rId1347" ref="B1349"/>
    <hyperlink r:id="rId1348" ref="B1350"/>
    <hyperlink r:id="rId1349" ref="B1351"/>
    <hyperlink r:id="rId1350" ref="B1352"/>
    <hyperlink r:id="rId1351" ref="B1353"/>
    <hyperlink r:id="rId1352" ref="B1354"/>
    <hyperlink r:id="rId1353" ref="B1355"/>
    <hyperlink r:id="rId1354" ref="B1356"/>
    <hyperlink r:id="rId1355" ref="B1357"/>
    <hyperlink r:id="rId1356" ref="B1358"/>
    <hyperlink r:id="rId1357" ref="B1359"/>
    <hyperlink r:id="rId1358" ref="B1360"/>
    <hyperlink r:id="rId1359" ref="B1361"/>
    <hyperlink r:id="rId1360" ref="B1362"/>
    <hyperlink r:id="rId1361" ref="B1363"/>
    <hyperlink r:id="rId1362" ref="B1364"/>
    <hyperlink r:id="rId1363" ref="B1365"/>
    <hyperlink r:id="rId1364" ref="B1366"/>
    <hyperlink r:id="rId1365" ref="B1367"/>
    <hyperlink r:id="rId1366" ref="B1368"/>
    <hyperlink r:id="rId1367" ref="B1369"/>
    <hyperlink r:id="rId1368" ref="B1370"/>
    <hyperlink r:id="rId1369" ref="B1371"/>
    <hyperlink r:id="rId1370" ref="B1372"/>
    <hyperlink r:id="rId1371" ref="B1373"/>
    <hyperlink r:id="rId1372" ref="B1374"/>
    <hyperlink r:id="rId1373" ref="B1375"/>
    <hyperlink r:id="rId1374" ref="B1376"/>
    <hyperlink r:id="rId1375" ref="B1377"/>
    <hyperlink r:id="rId1376" ref="B1378"/>
    <hyperlink r:id="rId1377" ref="B1379"/>
    <hyperlink r:id="rId1378" ref="B1380"/>
    <hyperlink r:id="rId1379" ref="B1381"/>
    <hyperlink r:id="rId1380" ref="B1382"/>
    <hyperlink r:id="rId1381" ref="B1383"/>
    <hyperlink r:id="rId1382" ref="B1384"/>
    <hyperlink r:id="rId1383" ref="B1385"/>
    <hyperlink r:id="rId1384" ref="B1386"/>
    <hyperlink r:id="rId1385" ref="B1387"/>
    <hyperlink r:id="rId1386" ref="B1388"/>
    <hyperlink r:id="rId1387" ref="B1389"/>
    <hyperlink r:id="rId1388" ref="B1390"/>
    <hyperlink r:id="rId1389" ref="B1391"/>
    <hyperlink r:id="rId1390" ref="B1392"/>
    <hyperlink r:id="rId1391" ref="B1393"/>
    <hyperlink r:id="rId1392" ref="B1394"/>
    <hyperlink r:id="rId1393" ref="B1395"/>
    <hyperlink r:id="rId1394" ref="B1396"/>
    <hyperlink r:id="rId1395" ref="B1397"/>
    <hyperlink r:id="rId1396" ref="B1398"/>
    <hyperlink r:id="rId1397" ref="B1399"/>
    <hyperlink r:id="rId1398" ref="B1400"/>
    <hyperlink r:id="rId1399" ref="B1401"/>
    <hyperlink r:id="rId1400" ref="B1402"/>
    <hyperlink r:id="rId1401" ref="B1403"/>
    <hyperlink r:id="rId1402" ref="B1404"/>
    <hyperlink r:id="rId1403" ref="B1405"/>
    <hyperlink r:id="rId1404" ref="B1406"/>
    <hyperlink r:id="rId1405" ref="B1407"/>
    <hyperlink r:id="rId1406" ref="B1408"/>
    <hyperlink r:id="rId1407" ref="B1409"/>
    <hyperlink r:id="rId1408" ref="B1410"/>
    <hyperlink r:id="rId1409" ref="B1411"/>
    <hyperlink r:id="rId1410" ref="B1412"/>
    <hyperlink r:id="rId1411" ref="B1413"/>
    <hyperlink r:id="rId1412" ref="B1414"/>
    <hyperlink r:id="rId1413" ref="B1415"/>
    <hyperlink r:id="rId1414" ref="B1416"/>
    <hyperlink r:id="rId1415" ref="B1417"/>
    <hyperlink r:id="rId1416" ref="B1418"/>
    <hyperlink r:id="rId1417" ref="B1419"/>
    <hyperlink r:id="rId1418" ref="B1420"/>
    <hyperlink r:id="rId1419" ref="B1421"/>
    <hyperlink r:id="rId1420" ref="B1422"/>
    <hyperlink r:id="rId1421" ref="B1423"/>
    <hyperlink r:id="rId1422" ref="B1424"/>
    <hyperlink r:id="rId1423" ref="B1425"/>
    <hyperlink r:id="rId1424" ref="B1426"/>
    <hyperlink r:id="rId1425" ref="B1427"/>
    <hyperlink r:id="rId1426" ref="B1428"/>
    <hyperlink r:id="rId1427" ref="B1429"/>
    <hyperlink r:id="rId1428" ref="B1430"/>
    <hyperlink r:id="rId1429" ref="B1431"/>
    <hyperlink r:id="rId1430" ref="B1432"/>
    <hyperlink r:id="rId1431" ref="B1433"/>
    <hyperlink r:id="rId1432" ref="B1434"/>
    <hyperlink r:id="rId1433" ref="B1435"/>
    <hyperlink r:id="rId1434" ref="B1436"/>
    <hyperlink r:id="rId1435" ref="B1437"/>
    <hyperlink r:id="rId1436" ref="B1438"/>
    <hyperlink r:id="rId1437" ref="B1439"/>
    <hyperlink r:id="rId1438" ref="B1440"/>
    <hyperlink r:id="rId1439" ref="B1441"/>
    <hyperlink r:id="rId1440" ref="B1442"/>
    <hyperlink r:id="rId1441" ref="B1443"/>
    <hyperlink r:id="rId1442" ref="B1444"/>
    <hyperlink r:id="rId1443" ref="B1445"/>
    <hyperlink r:id="rId1444" ref="B1446"/>
    <hyperlink r:id="rId1445" ref="B1447"/>
    <hyperlink r:id="rId1446" ref="B1448"/>
    <hyperlink r:id="rId1447" ref="B1449"/>
    <hyperlink r:id="rId1448" ref="B1450"/>
    <hyperlink r:id="rId1449" ref="B1451"/>
    <hyperlink r:id="rId1450" ref="B1452"/>
    <hyperlink r:id="rId1451" ref="B1453"/>
    <hyperlink r:id="rId1452" ref="B1454"/>
    <hyperlink r:id="rId1453" ref="B1455"/>
    <hyperlink r:id="rId1454" ref="B1456"/>
    <hyperlink r:id="rId1455" ref="B1457"/>
    <hyperlink r:id="rId1456" ref="B1458"/>
    <hyperlink r:id="rId1457" ref="B1459"/>
    <hyperlink r:id="rId1458" ref="B1460"/>
    <hyperlink r:id="rId1459" ref="B1461"/>
    <hyperlink r:id="rId1460" ref="B1462"/>
    <hyperlink r:id="rId1461" ref="B1463"/>
    <hyperlink r:id="rId1462" ref="B1464"/>
    <hyperlink r:id="rId1463" ref="B1465"/>
    <hyperlink r:id="rId1464" ref="B1466"/>
    <hyperlink r:id="rId1465" ref="B1467"/>
    <hyperlink r:id="rId1466" ref="B1468"/>
    <hyperlink r:id="rId1467" ref="B1469"/>
    <hyperlink r:id="rId1468" ref="B1470"/>
    <hyperlink r:id="rId1469" ref="B1471"/>
    <hyperlink r:id="rId1470" ref="B1472"/>
    <hyperlink r:id="rId1471" ref="B1473"/>
    <hyperlink r:id="rId1472" ref="B1474"/>
    <hyperlink r:id="rId1473" ref="B1475"/>
    <hyperlink r:id="rId1474" ref="B1476"/>
    <hyperlink r:id="rId1475" ref="B1477"/>
    <hyperlink r:id="rId1476" ref="B1478"/>
    <hyperlink r:id="rId1477" ref="B1479"/>
    <hyperlink r:id="rId1478" ref="B1480"/>
    <hyperlink r:id="rId1479" ref="B1481"/>
    <hyperlink r:id="rId1480" ref="B1482"/>
    <hyperlink r:id="rId1481" ref="B1483"/>
    <hyperlink r:id="rId1482" ref="B1484"/>
    <hyperlink r:id="rId1483" ref="B1485"/>
    <hyperlink r:id="rId1484" ref="B1486"/>
    <hyperlink r:id="rId1485" ref="B1487"/>
    <hyperlink r:id="rId1486" ref="B1488"/>
    <hyperlink r:id="rId1487" ref="B1489"/>
    <hyperlink r:id="rId1488" ref="B1490"/>
    <hyperlink r:id="rId1489" ref="B1491"/>
    <hyperlink r:id="rId1490" ref="B1492"/>
    <hyperlink r:id="rId1491" ref="B1493"/>
    <hyperlink r:id="rId1492" ref="B1494"/>
    <hyperlink r:id="rId1493" ref="B1495"/>
    <hyperlink r:id="rId1494" ref="B1496"/>
    <hyperlink r:id="rId1495" ref="B1497"/>
    <hyperlink r:id="rId1496" ref="B1498"/>
    <hyperlink r:id="rId1497" ref="B1499"/>
    <hyperlink r:id="rId1498" ref="B1500"/>
    <hyperlink r:id="rId1499" ref="B1501"/>
    <hyperlink r:id="rId1500" ref="B1502"/>
    <hyperlink r:id="rId1501" ref="B1503"/>
    <hyperlink r:id="rId1502" ref="B1504"/>
    <hyperlink r:id="rId1503" ref="B1505"/>
    <hyperlink r:id="rId1504" ref="B1506"/>
    <hyperlink r:id="rId1505" ref="B1507"/>
    <hyperlink r:id="rId1506" ref="B1508"/>
    <hyperlink r:id="rId1507" ref="B1509"/>
    <hyperlink r:id="rId1508" ref="B1510"/>
    <hyperlink r:id="rId1509" ref="B1511"/>
    <hyperlink r:id="rId1510" ref="B1512"/>
    <hyperlink r:id="rId1511" ref="B1513"/>
    <hyperlink r:id="rId1512" ref="B1514"/>
    <hyperlink r:id="rId1513" ref="B1515"/>
    <hyperlink r:id="rId1514" ref="B1516"/>
    <hyperlink r:id="rId1515" ref="B1517"/>
    <hyperlink r:id="rId1516" ref="B1518"/>
    <hyperlink r:id="rId1517" ref="B1519"/>
    <hyperlink r:id="rId1518" ref="B1520"/>
    <hyperlink r:id="rId1519" ref="B1521"/>
    <hyperlink r:id="rId1520" ref="B1522"/>
    <hyperlink r:id="rId1521" ref="B1523"/>
    <hyperlink r:id="rId1522" ref="B1524"/>
    <hyperlink r:id="rId1523" ref="B1525"/>
    <hyperlink r:id="rId1524" ref="B1526"/>
    <hyperlink r:id="rId1525" ref="B1527"/>
    <hyperlink r:id="rId1526" ref="B1528"/>
    <hyperlink r:id="rId1527" ref="B1529"/>
    <hyperlink r:id="rId1528" ref="B1530"/>
    <hyperlink r:id="rId1529" ref="B1531"/>
    <hyperlink r:id="rId1530" ref="B1532"/>
    <hyperlink r:id="rId1531" ref="B1533"/>
    <hyperlink r:id="rId1532" ref="B1534"/>
    <hyperlink r:id="rId1533" ref="B1535"/>
    <hyperlink r:id="rId1534" ref="B1536"/>
    <hyperlink r:id="rId1535" ref="B1537"/>
    <hyperlink r:id="rId1536" ref="B1538"/>
    <hyperlink r:id="rId1537" ref="B1539"/>
    <hyperlink r:id="rId1538" ref="B1540"/>
    <hyperlink r:id="rId1539" ref="B1541"/>
    <hyperlink r:id="rId1540" ref="B1542"/>
    <hyperlink r:id="rId1541" ref="B1543"/>
    <hyperlink r:id="rId1542" ref="B1544"/>
    <hyperlink r:id="rId1543" ref="B1545"/>
    <hyperlink r:id="rId1544" ref="B1546"/>
    <hyperlink r:id="rId1545" ref="B1547"/>
    <hyperlink r:id="rId1546" ref="B1548"/>
    <hyperlink r:id="rId1547" ref="B1549"/>
    <hyperlink r:id="rId1548" ref="B1550"/>
    <hyperlink r:id="rId1549" ref="B1551"/>
    <hyperlink r:id="rId1550" ref="B1552"/>
    <hyperlink r:id="rId1551" ref="B1553"/>
    <hyperlink r:id="rId1552" ref="B1554"/>
    <hyperlink r:id="rId1553" ref="B1555"/>
    <hyperlink r:id="rId1554" ref="B1556"/>
    <hyperlink r:id="rId1555" ref="B1557"/>
    <hyperlink r:id="rId1556" ref="B1558"/>
    <hyperlink r:id="rId1557" ref="B1559"/>
    <hyperlink r:id="rId1558" ref="B1560"/>
    <hyperlink r:id="rId1559" ref="B1561"/>
    <hyperlink r:id="rId1560" ref="B1562"/>
    <hyperlink r:id="rId1561" ref="B1563"/>
    <hyperlink r:id="rId1562" ref="B1564"/>
    <hyperlink r:id="rId1563" ref="B1565"/>
    <hyperlink r:id="rId1564" ref="B1566"/>
    <hyperlink r:id="rId1565" ref="B1567"/>
    <hyperlink r:id="rId1566" ref="B1568"/>
    <hyperlink r:id="rId1567" ref="B1569"/>
    <hyperlink r:id="rId1568" ref="B1570"/>
    <hyperlink r:id="rId1569" ref="B1571"/>
    <hyperlink r:id="rId1570" ref="B1572"/>
    <hyperlink r:id="rId1571" ref="B1573"/>
    <hyperlink r:id="rId1572" ref="B1574"/>
    <hyperlink r:id="rId1573" ref="B1575"/>
    <hyperlink r:id="rId1574" ref="B1576"/>
    <hyperlink r:id="rId1575" ref="B1577"/>
    <hyperlink r:id="rId1576" ref="B1578"/>
    <hyperlink r:id="rId1577" ref="B1579"/>
    <hyperlink r:id="rId1578" ref="B1580"/>
    <hyperlink r:id="rId1579" ref="B1581"/>
    <hyperlink r:id="rId1580" ref="B1582"/>
    <hyperlink r:id="rId1581" ref="B1583"/>
    <hyperlink r:id="rId1582" ref="B1584"/>
    <hyperlink r:id="rId1583" ref="B1585"/>
    <hyperlink r:id="rId1584" ref="B1586"/>
    <hyperlink r:id="rId1585" ref="B1587"/>
    <hyperlink r:id="rId1586" ref="B1588"/>
    <hyperlink r:id="rId1587" ref="B1589"/>
    <hyperlink r:id="rId1588" ref="B1590"/>
    <hyperlink r:id="rId1589" ref="B1591"/>
    <hyperlink r:id="rId1590" ref="B1592"/>
    <hyperlink r:id="rId1591" ref="B1593"/>
    <hyperlink r:id="rId1592" ref="B1594"/>
    <hyperlink r:id="rId1593" ref="B1595"/>
    <hyperlink r:id="rId1594" ref="B1596"/>
    <hyperlink r:id="rId1595" ref="B1597"/>
    <hyperlink r:id="rId1596" ref="B1598"/>
    <hyperlink r:id="rId1597" ref="B1599"/>
    <hyperlink r:id="rId1598" ref="B1600"/>
    <hyperlink r:id="rId1599" ref="B1601"/>
    <hyperlink r:id="rId1600" ref="B1602"/>
    <hyperlink r:id="rId1601" ref="B1603"/>
    <hyperlink r:id="rId1602" ref="B1604"/>
    <hyperlink r:id="rId1603" ref="B1605"/>
    <hyperlink r:id="rId1604" ref="B1606"/>
    <hyperlink r:id="rId1605" ref="B1607"/>
    <hyperlink r:id="rId1606" ref="B1608"/>
    <hyperlink r:id="rId1607" ref="B1609"/>
    <hyperlink r:id="rId1608" ref="B1610"/>
    <hyperlink r:id="rId1609" ref="B1611"/>
    <hyperlink r:id="rId1610" ref="B1612"/>
    <hyperlink r:id="rId1611" ref="B1613"/>
    <hyperlink r:id="rId1612" ref="B1614"/>
    <hyperlink r:id="rId1613" ref="B1615"/>
    <hyperlink r:id="rId1614" ref="B1616"/>
    <hyperlink r:id="rId1615" ref="B1617"/>
    <hyperlink r:id="rId1616" ref="B1618"/>
    <hyperlink r:id="rId1617" ref="B1619"/>
    <hyperlink r:id="rId1618" ref="B1620"/>
    <hyperlink r:id="rId1619" ref="B1621"/>
    <hyperlink r:id="rId1620" ref="B1622"/>
    <hyperlink r:id="rId1621" ref="B1623"/>
    <hyperlink r:id="rId1622" ref="B1624"/>
    <hyperlink r:id="rId1623" ref="B1625"/>
    <hyperlink r:id="rId1624" ref="B1626"/>
    <hyperlink r:id="rId1625" ref="B1627"/>
    <hyperlink r:id="rId1626" ref="B1628"/>
    <hyperlink r:id="rId1627" ref="B1629"/>
    <hyperlink r:id="rId1628" ref="B1630"/>
    <hyperlink r:id="rId1629" ref="B1631"/>
    <hyperlink r:id="rId1630" ref="B1632"/>
    <hyperlink r:id="rId1631" ref="B1633"/>
    <hyperlink r:id="rId1632" ref="B1634"/>
    <hyperlink r:id="rId1633" ref="B1635"/>
    <hyperlink r:id="rId1634" ref="B1636"/>
    <hyperlink r:id="rId1635" ref="B1637"/>
    <hyperlink r:id="rId1636" ref="B1638"/>
    <hyperlink r:id="rId1637" ref="B1639"/>
    <hyperlink r:id="rId1638" ref="B1640"/>
    <hyperlink r:id="rId1639" ref="B1641"/>
    <hyperlink r:id="rId1640" ref="B1642"/>
    <hyperlink r:id="rId1641" ref="B1643"/>
    <hyperlink r:id="rId1642" ref="B1644"/>
    <hyperlink r:id="rId1643" ref="B1645"/>
    <hyperlink r:id="rId1644" ref="B1646"/>
    <hyperlink r:id="rId1645" ref="B1647"/>
    <hyperlink r:id="rId1646" ref="B1648"/>
    <hyperlink r:id="rId1647" ref="B1649"/>
    <hyperlink r:id="rId1648" ref="B1650"/>
    <hyperlink r:id="rId1649" ref="B1651"/>
    <hyperlink r:id="rId1650" ref="B1652"/>
    <hyperlink r:id="rId1651" ref="B1653"/>
    <hyperlink r:id="rId1652" ref="B1654"/>
    <hyperlink r:id="rId1653" ref="B1655"/>
    <hyperlink r:id="rId1654" ref="B1656"/>
    <hyperlink r:id="rId1655" ref="B1657"/>
    <hyperlink r:id="rId1656" ref="B1658"/>
    <hyperlink r:id="rId1657" ref="B1659"/>
    <hyperlink r:id="rId1658" ref="B1660"/>
    <hyperlink r:id="rId1659" ref="B1661"/>
    <hyperlink r:id="rId1660" ref="B1662"/>
    <hyperlink r:id="rId1661" ref="B1663"/>
    <hyperlink r:id="rId1662" ref="B1664"/>
    <hyperlink r:id="rId1663" ref="B1665"/>
    <hyperlink r:id="rId1664" ref="B1666"/>
    <hyperlink r:id="rId1665" ref="B1667"/>
    <hyperlink r:id="rId1666" ref="B1668"/>
    <hyperlink r:id="rId1667" ref="B1669"/>
    <hyperlink r:id="rId1668" ref="B1670"/>
    <hyperlink r:id="rId1669" ref="B1671"/>
    <hyperlink r:id="rId1670" ref="B1672"/>
    <hyperlink r:id="rId1671" ref="B1673"/>
    <hyperlink r:id="rId1672" ref="B1674"/>
    <hyperlink r:id="rId1673" ref="B1675"/>
    <hyperlink r:id="rId1674" ref="B1676"/>
    <hyperlink r:id="rId1675" ref="B1677"/>
    <hyperlink r:id="rId1676" ref="B1678"/>
    <hyperlink r:id="rId1677" ref="B1679"/>
    <hyperlink r:id="rId1678" ref="B1680"/>
    <hyperlink r:id="rId1679" ref="B1681"/>
    <hyperlink r:id="rId1680" ref="B1682"/>
    <hyperlink r:id="rId1681" ref="B1683"/>
    <hyperlink r:id="rId1682" ref="B1684"/>
    <hyperlink r:id="rId1683" ref="B1685"/>
    <hyperlink r:id="rId1684" ref="B1686"/>
    <hyperlink r:id="rId1685" ref="B1687"/>
    <hyperlink r:id="rId1686" ref="B1688"/>
    <hyperlink r:id="rId1687" ref="B1689"/>
    <hyperlink r:id="rId1688" ref="B1690"/>
    <hyperlink r:id="rId1689" ref="B1691"/>
    <hyperlink r:id="rId1690" ref="B1692"/>
    <hyperlink r:id="rId1691" ref="B1693"/>
    <hyperlink r:id="rId1692" ref="B1694"/>
    <hyperlink r:id="rId1693" ref="B1695"/>
    <hyperlink r:id="rId1694" ref="B1696"/>
    <hyperlink r:id="rId1695" ref="B1697"/>
    <hyperlink r:id="rId1696" ref="B1698"/>
    <hyperlink r:id="rId1697" ref="B1699"/>
    <hyperlink r:id="rId1698" ref="B1700"/>
    <hyperlink r:id="rId1699" ref="B1701"/>
    <hyperlink r:id="rId1700" ref="B1702"/>
    <hyperlink r:id="rId1701" ref="B1703"/>
    <hyperlink r:id="rId1702" ref="B1704"/>
    <hyperlink r:id="rId1703" ref="B1705"/>
    <hyperlink r:id="rId1704" ref="B1706"/>
    <hyperlink r:id="rId1705" ref="B1707"/>
    <hyperlink r:id="rId1706" ref="B1708"/>
    <hyperlink r:id="rId1707" ref="B1709"/>
    <hyperlink r:id="rId1708" ref="B1710"/>
    <hyperlink r:id="rId1709" ref="B1711"/>
    <hyperlink r:id="rId1710" ref="B1712"/>
    <hyperlink r:id="rId1711" ref="B1713"/>
    <hyperlink r:id="rId1712" ref="B1714"/>
    <hyperlink r:id="rId1713" ref="B1715"/>
    <hyperlink r:id="rId1714" ref="B1716"/>
    <hyperlink r:id="rId1715" ref="B1717"/>
    <hyperlink r:id="rId1716" ref="B1718"/>
    <hyperlink r:id="rId1717" ref="B1719"/>
    <hyperlink r:id="rId1718" ref="B1720"/>
    <hyperlink r:id="rId1719" ref="B1721"/>
    <hyperlink r:id="rId1720" ref="B1722"/>
    <hyperlink r:id="rId1721" ref="B1723"/>
    <hyperlink r:id="rId1722" ref="B1724"/>
    <hyperlink r:id="rId1723" ref="B1725"/>
    <hyperlink r:id="rId1724" ref="B1726"/>
    <hyperlink r:id="rId1725" ref="B1727"/>
    <hyperlink r:id="rId1726" ref="B1728"/>
    <hyperlink r:id="rId1727" ref="B1729"/>
    <hyperlink r:id="rId1728" ref="B1730"/>
    <hyperlink r:id="rId1729" ref="B1731"/>
    <hyperlink r:id="rId1730" ref="B1732"/>
    <hyperlink r:id="rId1731" ref="B1733"/>
    <hyperlink r:id="rId1732" ref="B1734"/>
    <hyperlink r:id="rId1733" ref="B1735"/>
    <hyperlink r:id="rId1734" ref="B1736"/>
    <hyperlink r:id="rId1735" ref="B1737"/>
    <hyperlink r:id="rId1736" ref="B1738"/>
    <hyperlink r:id="rId1737" ref="B1739"/>
    <hyperlink r:id="rId1738" ref="B1740"/>
    <hyperlink r:id="rId1739" ref="B1741"/>
    <hyperlink r:id="rId1740" ref="B1742"/>
    <hyperlink r:id="rId1741" ref="B1743"/>
    <hyperlink r:id="rId1742" ref="B1744"/>
    <hyperlink r:id="rId1743" ref="B1745"/>
    <hyperlink r:id="rId1744" ref="B1746"/>
    <hyperlink r:id="rId1745" ref="B1747"/>
    <hyperlink r:id="rId1746" ref="B1748"/>
    <hyperlink r:id="rId1747" ref="B1749"/>
    <hyperlink r:id="rId1748" ref="B1750"/>
    <hyperlink r:id="rId1749" ref="B1751"/>
    <hyperlink r:id="rId1750" ref="B1752"/>
    <hyperlink r:id="rId1751" ref="B1753"/>
    <hyperlink r:id="rId1752" ref="B1754"/>
    <hyperlink r:id="rId1753" ref="B1755"/>
    <hyperlink r:id="rId1754" ref="B1756"/>
    <hyperlink r:id="rId1755" ref="B1757"/>
    <hyperlink r:id="rId1756" ref="B1758"/>
    <hyperlink r:id="rId1757" ref="B1759"/>
    <hyperlink r:id="rId1758" ref="B1760"/>
    <hyperlink r:id="rId1759" ref="B1761"/>
    <hyperlink r:id="rId1760" ref="B1762"/>
    <hyperlink r:id="rId1761" ref="B1763"/>
    <hyperlink r:id="rId1762" ref="B1764"/>
    <hyperlink r:id="rId1763" ref="B1765"/>
    <hyperlink r:id="rId1764" ref="B1766"/>
    <hyperlink r:id="rId1765" ref="B1767"/>
    <hyperlink r:id="rId1766" ref="B1768"/>
    <hyperlink r:id="rId1767" ref="B1769"/>
    <hyperlink r:id="rId1768" ref="B1770"/>
    <hyperlink r:id="rId1769" ref="B1771"/>
    <hyperlink r:id="rId1770" ref="B1772"/>
    <hyperlink r:id="rId1771" ref="B1773"/>
    <hyperlink r:id="rId1772" ref="B1774"/>
    <hyperlink r:id="rId1773" ref="B1775"/>
    <hyperlink r:id="rId1774" ref="B1776"/>
    <hyperlink r:id="rId1775" ref="B1777"/>
    <hyperlink r:id="rId1776" ref="B1778"/>
    <hyperlink r:id="rId1777" ref="B1779"/>
    <hyperlink r:id="rId1778" ref="B1780"/>
    <hyperlink r:id="rId1779" ref="B1781"/>
    <hyperlink r:id="rId1780" ref="B1782"/>
    <hyperlink r:id="rId1781" ref="B1783"/>
    <hyperlink r:id="rId1782" ref="B1784"/>
    <hyperlink r:id="rId1783" ref="B1785"/>
    <hyperlink r:id="rId1784" ref="B1786"/>
    <hyperlink r:id="rId1785" ref="B1787"/>
    <hyperlink r:id="rId1786" ref="B1788"/>
    <hyperlink r:id="rId1787" ref="B1789"/>
    <hyperlink r:id="rId1788" ref="B1790"/>
    <hyperlink r:id="rId1789" ref="B1791"/>
    <hyperlink r:id="rId1790" ref="B1792"/>
    <hyperlink r:id="rId1791" ref="B1793"/>
    <hyperlink r:id="rId1792" ref="B1794"/>
    <hyperlink r:id="rId1793" ref="B1795"/>
    <hyperlink r:id="rId1794" ref="B1796"/>
    <hyperlink r:id="rId1795" ref="B1797"/>
    <hyperlink r:id="rId1796" ref="B1798"/>
    <hyperlink r:id="rId1797" ref="B1799"/>
    <hyperlink r:id="rId1798" ref="B1800"/>
    <hyperlink r:id="rId1799" ref="B1801"/>
    <hyperlink r:id="rId1800" ref="B1802"/>
    <hyperlink r:id="rId1801" ref="B1803"/>
    <hyperlink r:id="rId1802" ref="B1804"/>
    <hyperlink r:id="rId1803" ref="B1805"/>
    <hyperlink r:id="rId1804" ref="B1806"/>
    <hyperlink r:id="rId1805" ref="B1807"/>
    <hyperlink r:id="rId1806" ref="B1808"/>
    <hyperlink r:id="rId1807" ref="B1809"/>
    <hyperlink r:id="rId1808" ref="B1810"/>
    <hyperlink r:id="rId1809" ref="B1811"/>
    <hyperlink r:id="rId1810" ref="B1812"/>
    <hyperlink r:id="rId1811" ref="B1813"/>
    <hyperlink r:id="rId1812" ref="B1814"/>
    <hyperlink r:id="rId1813" ref="B1815"/>
    <hyperlink r:id="rId1814" ref="B1816"/>
    <hyperlink r:id="rId1815" ref="B1817"/>
    <hyperlink r:id="rId1816" ref="B1818"/>
    <hyperlink r:id="rId1817" ref="B1819"/>
    <hyperlink r:id="rId1818" ref="B1820"/>
    <hyperlink r:id="rId1819" ref="B1821"/>
    <hyperlink r:id="rId1820" ref="B1822"/>
    <hyperlink r:id="rId1821" ref="B1823"/>
    <hyperlink r:id="rId1822" ref="B1824"/>
    <hyperlink r:id="rId1823" ref="B1825"/>
    <hyperlink r:id="rId1824" ref="B1826"/>
    <hyperlink r:id="rId1825" ref="B1827"/>
    <hyperlink r:id="rId1826" ref="B1828"/>
    <hyperlink r:id="rId1827" ref="B1829"/>
    <hyperlink r:id="rId1828" ref="B1830"/>
    <hyperlink r:id="rId1829" ref="B1831"/>
    <hyperlink r:id="rId1830" ref="B1832"/>
    <hyperlink r:id="rId1831" ref="B1833"/>
    <hyperlink r:id="rId1832" ref="B1834"/>
    <hyperlink r:id="rId1833" ref="B1835"/>
    <hyperlink r:id="rId1834" ref="B1836"/>
    <hyperlink r:id="rId1835" ref="B1837"/>
    <hyperlink r:id="rId1836" ref="B1838"/>
    <hyperlink r:id="rId1837" ref="B1839"/>
    <hyperlink r:id="rId1838" ref="B1840"/>
    <hyperlink r:id="rId1839" ref="B1841"/>
    <hyperlink r:id="rId1840" ref="B1842"/>
    <hyperlink r:id="rId1841" ref="B1843"/>
    <hyperlink r:id="rId1842" ref="B1844"/>
    <hyperlink r:id="rId1843" ref="B1845"/>
    <hyperlink r:id="rId1844" ref="B1846"/>
    <hyperlink r:id="rId1845" ref="B1847"/>
    <hyperlink r:id="rId1846" ref="B1848"/>
    <hyperlink r:id="rId1847" ref="B1849"/>
    <hyperlink r:id="rId1848" ref="B1850"/>
    <hyperlink r:id="rId1849" ref="B1851"/>
    <hyperlink r:id="rId1850" ref="B1852"/>
    <hyperlink r:id="rId1851" ref="B1853"/>
    <hyperlink r:id="rId1852" ref="B1854"/>
    <hyperlink r:id="rId1853" ref="B1855"/>
    <hyperlink r:id="rId1854" ref="B1856"/>
    <hyperlink r:id="rId1855" ref="B1857"/>
    <hyperlink r:id="rId1856" ref="B1858"/>
    <hyperlink r:id="rId1857" ref="B1859"/>
    <hyperlink r:id="rId1858" ref="B1860"/>
    <hyperlink r:id="rId1859" ref="B1861"/>
    <hyperlink r:id="rId1860" ref="B1862"/>
    <hyperlink r:id="rId1861" ref="B1863"/>
    <hyperlink r:id="rId1862" ref="B1864"/>
    <hyperlink r:id="rId1863" ref="B1865"/>
    <hyperlink r:id="rId1864" ref="B1866"/>
    <hyperlink r:id="rId1865" ref="B1867"/>
    <hyperlink r:id="rId1866" ref="B1868"/>
    <hyperlink r:id="rId1867" ref="B1869"/>
    <hyperlink r:id="rId1868" ref="B1870"/>
    <hyperlink r:id="rId1869" ref="B1871"/>
    <hyperlink r:id="rId1870" ref="B1872"/>
    <hyperlink r:id="rId1871" ref="B1873"/>
    <hyperlink r:id="rId1872" ref="B1874"/>
    <hyperlink r:id="rId1873" ref="B1875"/>
    <hyperlink r:id="rId1874" ref="B1876"/>
    <hyperlink r:id="rId1875" ref="B1877"/>
    <hyperlink r:id="rId1876" ref="B1878"/>
    <hyperlink r:id="rId1877" ref="B1879"/>
    <hyperlink r:id="rId1878" ref="B1880"/>
    <hyperlink r:id="rId1879" ref="B1881"/>
    <hyperlink r:id="rId1880" ref="B1882"/>
    <hyperlink r:id="rId1881" ref="B1883"/>
    <hyperlink r:id="rId1882" ref="B1884"/>
    <hyperlink r:id="rId1883" ref="B1885"/>
    <hyperlink r:id="rId1884" ref="B1886"/>
    <hyperlink r:id="rId1885" ref="B1887"/>
    <hyperlink r:id="rId1886" ref="B1888"/>
    <hyperlink r:id="rId1887" ref="B1889"/>
    <hyperlink r:id="rId1888" ref="B1890"/>
    <hyperlink r:id="rId1889" ref="B1891"/>
    <hyperlink r:id="rId1890" ref="B1892"/>
    <hyperlink r:id="rId1891" ref="B1893"/>
    <hyperlink r:id="rId1892" ref="B1894"/>
    <hyperlink r:id="rId1893" ref="B1895"/>
    <hyperlink r:id="rId1894" ref="B1896"/>
    <hyperlink r:id="rId1895" ref="B1897"/>
    <hyperlink r:id="rId1896" ref="B1898"/>
    <hyperlink r:id="rId1897" ref="B1899"/>
    <hyperlink r:id="rId1898" ref="B1900"/>
    <hyperlink r:id="rId1899" ref="B1901"/>
    <hyperlink r:id="rId1900" ref="B1902"/>
    <hyperlink r:id="rId1901" ref="B1903"/>
    <hyperlink r:id="rId1902" ref="B1904"/>
    <hyperlink r:id="rId1903" ref="B1905"/>
    <hyperlink r:id="rId1904" ref="B1906"/>
    <hyperlink r:id="rId1905" ref="B1907"/>
    <hyperlink r:id="rId1906" ref="B1908"/>
    <hyperlink r:id="rId1907" ref="B1909"/>
    <hyperlink r:id="rId1908" ref="B1910"/>
    <hyperlink r:id="rId1909" ref="B1911"/>
    <hyperlink r:id="rId1910" ref="B1912"/>
    <hyperlink r:id="rId1911" ref="B1913"/>
    <hyperlink r:id="rId1912" ref="B1914"/>
    <hyperlink r:id="rId1913" ref="B1915"/>
    <hyperlink r:id="rId1914" ref="B1916"/>
    <hyperlink r:id="rId1915" ref="B1917"/>
    <hyperlink r:id="rId1916" ref="B1918"/>
    <hyperlink r:id="rId1917" ref="B1919"/>
    <hyperlink r:id="rId1918" ref="B1920"/>
    <hyperlink r:id="rId1919" ref="B1921"/>
    <hyperlink r:id="rId1920" ref="B1922"/>
    <hyperlink r:id="rId1921" ref="B1923"/>
    <hyperlink r:id="rId1922" ref="B1924"/>
    <hyperlink r:id="rId1923" ref="B1925"/>
    <hyperlink r:id="rId1924" ref="B1926"/>
    <hyperlink r:id="rId1925" ref="B1927"/>
    <hyperlink r:id="rId1926" ref="B1928"/>
    <hyperlink r:id="rId1927" ref="B1929"/>
    <hyperlink r:id="rId1928" ref="B1930"/>
    <hyperlink r:id="rId1929" ref="B1931"/>
    <hyperlink r:id="rId1930" ref="B1932"/>
    <hyperlink r:id="rId1931" ref="B1933"/>
    <hyperlink r:id="rId1932" ref="B1934"/>
    <hyperlink r:id="rId1933" ref="B1935"/>
    <hyperlink r:id="rId1934" ref="B1936"/>
    <hyperlink r:id="rId1935" ref="B1937"/>
    <hyperlink r:id="rId1936" ref="B1938"/>
    <hyperlink r:id="rId1937" ref="B1939"/>
    <hyperlink r:id="rId1938" ref="B1940"/>
    <hyperlink r:id="rId1939" ref="B1941"/>
    <hyperlink r:id="rId1940" ref="B1942"/>
    <hyperlink r:id="rId1941" ref="B1943"/>
    <hyperlink r:id="rId1942" ref="B1944"/>
    <hyperlink r:id="rId1943" ref="B1945"/>
    <hyperlink r:id="rId1944" ref="B1946"/>
    <hyperlink r:id="rId1945" ref="B1947"/>
    <hyperlink r:id="rId1946" ref="B1948"/>
    <hyperlink r:id="rId1947" ref="B1949"/>
    <hyperlink r:id="rId1948" ref="B1950"/>
    <hyperlink r:id="rId1949" ref="B1951"/>
    <hyperlink r:id="rId1950" ref="B1952"/>
    <hyperlink r:id="rId1951" ref="B1953"/>
    <hyperlink r:id="rId1952" ref="B1954"/>
    <hyperlink r:id="rId1953" ref="B1955"/>
    <hyperlink r:id="rId1954" ref="B1956"/>
    <hyperlink r:id="rId1955" ref="B1957"/>
    <hyperlink r:id="rId1956" ref="B1958"/>
    <hyperlink r:id="rId1957" ref="B1959"/>
    <hyperlink r:id="rId1958" ref="B1960"/>
    <hyperlink r:id="rId1959" ref="B1961"/>
    <hyperlink r:id="rId1960" ref="B1962"/>
    <hyperlink r:id="rId1961" ref="B1963"/>
    <hyperlink r:id="rId1962" ref="B1964"/>
    <hyperlink r:id="rId1963" ref="B1965"/>
    <hyperlink r:id="rId1964" ref="B1966"/>
    <hyperlink r:id="rId1965" ref="B1967"/>
    <hyperlink r:id="rId1966" ref="B1968"/>
    <hyperlink r:id="rId1967" ref="B1969"/>
    <hyperlink r:id="rId1968" ref="B1970"/>
    <hyperlink r:id="rId1969" ref="B1971"/>
    <hyperlink r:id="rId1970" ref="B1972"/>
    <hyperlink r:id="rId1971" ref="B1973"/>
    <hyperlink r:id="rId1972" ref="B1974"/>
    <hyperlink r:id="rId1973" ref="B1975"/>
    <hyperlink r:id="rId1974" ref="B1976"/>
    <hyperlink r:id="rId1975" ref="B1977"/>
    <hyperlink r:id="rId1976" ref="B1978"/>
    <hyperlink r:id="rId1977" ref="B1979"/>
    <hyperlink r:id="rId1978" ref="B1980"/>
    <hyperlink r:id="rId1979" ref="B1981"/>
    <hyperlink r:id="rId1980" ref="B1982"/>
    <hyperlink r:id="rId1981" ref="B1983"/>
    <hyperlink r:id="rId1982" ref="B1984"/>
    <hyperlink r:id="rId1983" ref="B1985"/>
    <hyperlink r:id="rId1984" ref="B1986"/>
    <hyperlink r:id="rId1985" ref="B1987"/>
    <hyperlink r:id="rId1986" ref="B1988"/>
    <hyperlink r:id="rId1987" ref="B1989"/>
    <hyperlink r:id="rId1988" ref="B1990"/>
    <hyperlink r:id="rId1989" ref="B1991"/>
    <hyperlink r:id="rId1990" ref="B1992"/>
    <hyperlink r:id="rId1991" ref="B1993"/>
    <hyperlink r:id="rId1992" ref="B1994"/>
    <hyperlink r:id="rId1993" ref="B1995"/>
    <hyperlink r:id="rId1994" ref="B1996"/>
    <hyperlink r:id="rId1995" ref="B1997"/>
    <hyperlink r:id="rId1996" ref="B1998"/>
    <hyperlink r:id="rId1997" ref="B1999"/>
    <hyperlink r:id="rId1998" ref="B2000"/>
    <hyperlink r:id="rId1999" ref="B2001"/>
    <hyperlink r:id="rId2000" ref="B2002"/>
    <hyperlink r:id="rId2001" ref="B2003"/>
    <hyperlink r:id="rId2002" ref="B2004"/>
    <hyperlink r:id="rId2003" ref="B2005"/>
    <hyperlink r:id="rId2004" ref="B2006"/>
    <hyperlink r:id="rId2005" ref="B2007"/>
    <hyperlink r:id="rId2006" ref="B2008"/>
    <hyperlink r:id="rId2007" ref="B2009"/>
    <hyperlink r:id="rId2008" ref="B2010"/>
    <hyperlink r:id="rId2009" ref="B2011"/>
    <hyperlink r:id="rId2010" ref="B2012"/>
    <hyperlink r:id="rId2011" ref="B2013"/>
    <hyperlink r:id="rId2012" ref="B2014"/>
    <hyperlink r:id="rId2013" ref="B2015"/>
    <hyperlink r:id="rId2014" ref="B2016"/>
    <hyperlink r:id="rId2015" ref="B2017"/>
    <hyperlink r:id="rId2016" ref="B2018"/>
    <hyperlink r:id="rId2017" ref="B2019"/>
    <hyperlink r:id="rId2018" ref="B2020"/>
    <hyperlink r:id="rId2019" ref="B2021"/>
    <hyperlink r:id="rId2020" ref="B2022"/>
    <hyperlink r:id="rId2021" ref="B2023"/>
    <hyperlink r:id="rId2022" ref="B2024"/>
    <hyperlink r:id="rId2023" ref="B2025"/>
    <hyperlink r:id="rId2024" ref="B2026"/>
    <hyperlink r:id="rId2025" ref="B2027"/>
    <hyperlink r:id="rId2026" ref="B2028"/>
    <hyperlink r:id="rId2027" ref="B2029"/>
    <hyperlink r:id="rId2028" ref="B2030"/>
    <hyperlink r:id="rId2029" ref="B2031"/>
    <hyperlink r:id="rId2030" ref="B2032"/>
    <hyperlink r:id="rId2031" ref="B2033"/>
    <hyperlink r:id="rId2032" ref="B2034"/>
    <hyperlink r:id="rId2033" ref="B2035"/>
    <hyperlink r:id="rId2034" ref="B2036"/>
    <hyperlink r:id="rId2035" ref="B2037"/>
    <hyperlink r:id="rId2036" ref="B2038"/>
    <hyperlink r:id="rId2037" ref="B2039"/>
    <hyperlink r:id="rId2038" ref="B2040"/>
    <hyperlink r:id="rId2039" ref="B2041"/>
    <hyperlink r:id="rId2040" ref="B2042"/>
    <hyperlink r:id="rId2041" ref="B2043"/>
    <hyperlink r:id="rId2042" ref="B2044"/>
    <hyperlink r:id="rId2043" ref="B2045"/>
    <hyperlink r:id="rId2044" ref="B2046"/>
    <hyperlink r:id="rId2045" ref="B2047"/>
    <hyperlink r:id="rId2046" ref="B2048"/>
    <hyperlink r:id="rId2047" ref="B2049"/>
    <hyperlink r:id="rId2048" ref="B2050"/>
    <hyperlink r:id="rId2049" ref="B2051"/>
    <hyperlink r:id="rId2050" ref="B2052"/>
    <hyperlink r:id="rId2051" ref="B2053"/>
    <hyperlink r:id="rId2052" ref="B2054"/>
    <hyperlink r:id="rId2053" ref="B2055"/>
    <hyperlink r:id="rId2054" ref="B2056"/>
    <hyperlink r:id="rId2055" ref="B2057"/>
    <hyperlink r:id="rId2056" ref="B2058"/>
    <hyperlink r:id="rId2057" ref="B2059"/>
    <hyperlink r:id="rId2058" ref="B2060"/>
    <hyperlink r:id="rId2059" ref="B2061"/>
    <hyperlink r:id="rId2060" ref="B2062"/>
    <hyperlink r:id="rId2061" ref="B2063"/>
    <hyperlink r:id="rId2062" ref="B2064"/>
    <hyperlink r:id="rId2063" ref="B2065"/>
    <hyperlink r:id="rId2064" ref="B2066"/>
    <hyperlink r:id="rId2065" ref="B2067"/>
    <hyperlink r:id="rId2066" ref="B2068"/>
    <hyperlink r:id="rId2067" ref="B2069"/>
    <hyperlink r:id="rId2068" ref="B2070"/>
    <hyperlink r:id="rId2069" ref="B2071"/>
    <hyperlink r:id="rId2070" ref="B2072"/>
    <hyperlink r:id="rId2071" ref="B2073"/>
    <hyperlink r:id="rId2072" ref="B2074"/>
    <hyperlink r:id="rId2073" ref="B2075"/>
    <hyperlink r:id="rId2074" ref="B2076"/>
    <hyperlink r:id="rId2075" ref="B2077"/>
    <hyperlink r:id="rId2076" ref="B2078"/>
    <hyperlink r:id="rId2077" ref="B2079"/>
    <hyperlink r:id="rId2078" ref="B2080"/>
    <hyperlink r:id="rId2079" ref="B2081"/>
    <hyperlink r:id="rId2080" ref="B2082"/>
    <hyperlink r:id="rId2081" ref="B2083"/>
    <hyperlink r:id="rId2082" ref="B2084"/>
    <hyperlink r:id="rId2083" ref="B2085"/>
    <hyperlink r:id="rId2084" ref="B2086"/>
    <hyperlink r:id="rId2085" ref="B2087"/>
    <hyperlink r:id="rId2086" ref="B2088"/>
    <hyperlink r:id="rId2087" ref="B2089"/>
    <hyperlink r:id="rId2088" ref="B2090"/>
    <hyperlink r:id="rId2089" ref="B2091"/>
    <hyperlink r:id="rId2090" ref="B2092"/>
    <hyperlink r:id="rId2091" ref="B2093"/>
    <hyperlink r:id="rId2092" ref="B2094"/>
    <hyperlink r:id="rId2093" ref="B2095"/>
    <hyperlink r:id="rId2094" ref="B2096"/>
    <hyperlink r:id="rId2095" ref="B2097"/>
    <hyperlink r:id="rId2096" ref="B2098"/>
    <hyperlink r:id="rId2097" ref="B2099"/>
    <hyperlink r:id="rId2098" ref="B2100"/>
    <hyperlink r:id="rId2099" ref="B2101"/>
    <hyperlink r:id="rId2100" ref="B2102"/>
    <hyperlink r:id="rId2101" ref="B2103"/>
    <hyperlink r:id="rId2102" ref="B2104"/>
    <hyperlink r:id="rId2103" ref="B2105"/>
    <hyperlink r:id="rId2104" ref="B2106"/>
    <hyperlink r:id="rId2105" ref="B2107"/>
    <hyperlink r:id="rId2106" ref="B2108"/>
    <hyperlink r:id="rId2107" ref="B2109"/>
    <hyperlink r:id="rId2108" ref="B2110"/>
    <hyperlink r:id="rId2109" ref="B2111"/>
    <hyperlink r:id="rId2110" ref="B2112"/>
    <hyperlink r:id="rId2111" ref="B2113"/>
    <hyperlink r:id="rId2112" ref="B2114"/>
    <hyperlink r:id="rId2113" ref="B2115"/>
    <hyperlink r:id="rId2114" ref="B2116"/>
    <hyperlink r:id="rId2115" ref="B2117"/>
    <hyperlink r:id="rId2116" ref="B2118"/>
    <hyperlink r:id="rId2117" ref="B2119"/>
    <hyperlink r:id="rId2118" ref="B2120"/>
    <hyperlink r:id="rId2119" ref="B2121"/>
    <hyperlink r:id="rId2120" ref="B2122"/>
    <hyperlink r:id="rId2121" ref="B2123"/>
    <hyperlink r:id="rId2122" ref="B2124"/>
    <hyperlink r:id="rId2123" ref="B2125"/>
    <hyperlink r:id="rId2124" ref="B2126"/>
    <hyperlink r:id="rId2125" ref="B2127"/>
    <hyperlink r:id="rId2126" ref="B2128"/>
    <hyperlink r:id="rId2127" ref="B2129"/>
    <hyperlink r:id="rId2128" ref="B2130"/>
    <hyperlink r:id="rId2129" ref="B2131"/>
    <hyperlink r:id="rId2130" ref="B2132"/>
    <hyperlink r:id="rId2131" ref="B2133"/>
    <hyperlink r:id="rId2132" ref="B2134"/>
    <hyperlink r:id="rId2133" ref="B2135"/>
    <hyperlink r:id="rId2134" ref="B2136"/>
    <hyperlink r:id="rId2135" ref="B2137"/>
    <hyperlink r:id="rId2136" ref="B2138"/>
    <hyperlink r:id="rId2137" ref="B2139"/>
    <hyperlink r:id="rId2138" ref="B2140"/>
    <hyperlink r:id="rId2139" ref="B2141"/>
    <hyperlink r:id="rId2140" ref="B2142"/>
    <hyperlink r:id="rId2141" ref="B2143"/>
    <hyperlink r:id="rId2142" ref="B2144"/>
    <hyperlink r:id="rId2143" ref="B2145"/>
    <hyperlink r:id="rId2144" ref="B2146"/>
    <hyperlink r:id="rId2145" ref="B2147"/>
    <hyperlink r:id="rId2146" ref="B2148"/>
    <hyperlink r:id="rId2147" ref="B2149"/>
    <hyperlink r:id="rId2148" ref="B2150"/>
    <hyperlink r:id="rId2149" ref="B2151"/>
    <hyperlink r:id="rId2150" ref="B2152"/>
    <hyperlink r:id="rId2151" ref="B2153"/>
    <hyperlink r:id="rId2152" ref="B2154"/>
    <hyperlink r:id="rId2153" ref="B2155"/>
    <hyperlink r:id="rId2154" ref="B2156"/>
    <hyperlink r:id="rId2155" ref="B2157"/>
    <hyperlink r:id="rId2156" ref="B2158"/>
    <hyperlink r:id="rId2157" ref="B2159"/>
    <hyperlink r:id="rId2158" ref="B2160"/>
    <hyperlink r:id="rId2159" ref="B2161"/>
    <hyperlink r:id="rId2160" ref="B2162"/>
    <hyperlink r:id="rId2161" ref="B2163"/>
    <hyperlink r:id="rId2162" ref="B2164"/>
    <hyperlink r:id="rId2163" ref="B2165"/>
    <hyperlink r:id="rId2164" ref="B2166"/>
    <hyperlink r:id="rId2165" ref="B2167"/>
    <hyperlink r:id="rId2166" ref="B2168"/>
    <hyperlink r:id="rId2167" ref="B2169"/>
    <hyperlink r:id="rId2168" ref="B2170"/>
    <hyperlink r:id="rId2169" ref="B2171"/>
    <hyperlink r:id="rId2170" ref="B2172"/>
    <hyperlink r:id="rId2171" ref="B2173"/>
    <hyperlink r:id="rId2172" ref="B2174"/>
    <hyperlink r:id="rId2173" ref="B2175"/>
    <hyperlink r:id="rId2174" ref="B2176"/>
    <hyperlink r:id="rId2175" ref="B2177"/>
    <hyperlink r:id="rId2176" ref="B2178"/>
    <hyperlink r:id="rId2177" ref="B2179"/>
    <hyperlink r:id="rId2178" ref="B2180"/>
    <hyperlink r:id="rId2179" ref="B2181"/>
    <hyperlink r:id="rId2180" ref="B2182"/>
    <hyperlink r:id="rId2181" ref="B2183"/>
    <hyperlink r:id="rId2182" ref="B2184"/>
    <hyperlink r:id="rId2183" ref="B2185"/>
    <hyperlink r:id="rId2184" ref="B2186"/>
    <hyperlink r:id="rId2185" ref="B2187"/>
    <hyperlink r:id="rId2186" ref="B2188"/>
    <hyperlink r:id="rId2187" ref="B2189"/>
    <hyperlink r:id="rId2188" ref="B2190"/>
    <hyperlink r:id="rId2189" ref="B2191"/>
    <hyperlink r:id="rId2190" ref="B2192"/>
    <hyperlink r:id="rId2191" ref="B2193"/>
    <hyperlink r:id="rId2192" ref="B2194"/>
    <hyperlink r:id="rId2193" ref="B2195"/>
    <hyperlink r:id="rId2194" ref="B2196"/>
    <hyperlink r:id="rId2195" ref="B2197"/>
    <hyperlink r:id="rId2196" ref="B2198"/>
    <hyperlink r:id="rId2197" ref="B2199"/>
    <hyperlink r:id="rId2198" ref="B2200"/>
    <hyperlink r:id="rId2199" ref="B2201"/>
    <hyperlink r:id="rId2200" ref="B2202"/>
    <hyperlink r:id="rId2201" ref="B2203"/>
    <hyperlink r:id="rId2202" ref="B2204"/>
    <hyperlink r:id="rId2203" ref="B2205"/>
    <hyperlink r:id="rId2204" ref="B2206"/>
    <hyperlink r:id="rId2205" ref="B2207"/>
    <hyperlink r:id="rId2206" ref="B2208"/>
    <hyperlink r:id="rId2207" ref="B2209"/>
    <hyperlink r:id="rId2208" ref="B2210"/>
    <hyperlink r:id="rId2209" ref="B2211"/>
    <hyperlink r:id="rId2210" ref="B2212"/>
    <hyperlink r:id="rId2211" ref="B2213"/>
    <hyperlink r:id="rId2212" ref="B2214"/>
    <hyperlink r:id="rId2213" ref="B2215"/>
  </hyperlinks>
  <drawing r:id="rId221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25"/>
    <col customWidth="1" min="2" max="2" width="17.75"/>
    <col customWidth="1" min="3" max="4" width="12.13"/>
    <col customWidth="1" min="5" max="5" width="23.0"/>
    <col customWidth="1" min="6" max="6" width="57.5"/>
    <col customWidth="1" min="7" max="7" width="5.75"/>
    <col customWidth="1" hidden="1" min="8" max="8" width="5.63"/>
    <col customWidth="1" min="9" max="9" width="4.63"/>
    <col customWidth="1" hidden="1" min="10" max="10" width="6.63"/>
    <col hidden="1" min="11" max="11" width="12.63"/>
    <col customWidth="1" hidden="1" min="12" max="12" width="5.63"/>
    <col customWidth="1" hidden="1" min="13" max="13" width="17.13"/>
    <col customWidth="1" hidden="1" min="14" max="15" width="7.25"/>
    <col hidden="1" min="16" max="21" width="12.63"/>
    <col customWidth="1" min="22" max="22" width="6.38"/>
  </cols>
  <sheetData>
    <row r="1" ht="27.75" customHeight="1">
      <c r="B1" s="99" t="str">
        <f>IF(Dashboard!dCalc="On","TAGS Archive for "&amp;ReadmeSettings!B9,"TAGS Archive for ")</f>
        <v>TAGS Archive for #BrexitReality</v>
      </c>
      <c r="F1" s="70" t="s">
        <v>18245</v>
      </c>
      <c r="J1" s="100"/>
      <c r="K1" s="101"/>
      <c r="L1" s="102"/>
      <c r="M1" s="103"/>
      <c r="Q1" s="104"/>
      <c r="V1" s="70" t="s">
        <v>18246</v>
      </c>
    </row>
    <row r="2" ht="25.5" customHeight="1">
      <c r="F2" s="105" t="s">
        <v>18265</v>
      </c>
      <c r="G2" s="105"/>
      <c r="H2" s="105"/>
      <c r="I2" s="105"/>
      <c r="J2" s="105"/>
      <c r="K2" s="78" t="s">
        <v>18248</v>
      </c>
      <c r="L2" s="79">
        <f t="array" ref="L2">IF(Dashboard!dCalc="On",SUM(IF(ISERROR(FIND("https://",LOWER(Archive!$C:$C))),0,1)),"")</f>
        <v>834</v>
      </c>
      <c r="M2" s="103"/>
      <c r="N2" s="71" t="s">
        <v>18266</v>
      </c>
      <c r="O2" s="71" t="s">
        <v>18267</v>
      </c>
      <c r="Q2" s="106"/>
      <c r="R2" s="71"/>
      <c r="S2" s="71"/>
      <c r="T2" s="71" t="str">
        <f>IFERROR(__xludf.DUMMYFUNCTION("IF(Dashboard!dCalc=""On"",QUERY(Archive!B:M,"" Select B, COUNT(J)  WHERE B &lt;&gt; '' GROUP BY B ORDER BY COUNT(J) desc LIMIT 10 LABEL B 'Top Tweeters', COUNT(J) 'No.'"",TRUE),"""")"),"Top Tweeters")</f>
        <v>Top Tweeters</v>
      </c>
      <c r="U2" t="str">
        <f>IFERROR(__xludf.DUMMYFUNCTION("""COMPUTED_VALUE"""),"No.")</f>
        <v>No.</v>
      </c>
    </row>
    <row r="3">
      <c r="B3" s="107" t="s">
        <v>18268</v>
      </c>
      <c r="C3" s="107" t="s">
        <v>18269</v>
      </c>
      <c r="D3" s="107" t="s">
        <v>18270</v>
      </c>
      <c r="K3" s="78" t="s">
        <v>18250</v>
      </c>
      <c r="L3" s="79">
        <f t="array" ref="L3">IF(Dashboard!dCalc="On",SUM(IF(ISERROR(FIND("RT",Archive!$C:$C)),0,1)),"")</f>
        <v>2560</v>
      </c>
      <c r="M3" s="62">
        <f>ROUND($D$4,1)-3</f>
        <v>44680.5</v>
      </c>
      <c r="N3">
        <f t="array" ref="N3:N149">FREQUENCY(Archive!H:H,M3:M148)</f>
        <v>0</v>
      </c>
      <c r="O3">
        <f>IFERROR(__xludf.DUMMYFUNCTION("FREQUENCY(FILTER(Archive!H:H,Archive!N:N&lt;&gt;""""),M3:M148)"),0.0)</f>
        <v>0</v>
      </c>
      <c r="Q3" s="104"/>
      <c r="T3" t="str">
        <f>IFERROR(__xludf.DUMMYFUNCTION("""COMPUTED_VALUE"""),"007dnf")</f>
        <v>007dnf</v>
      </c>
      <c r="U3">
        <f>IFERROR(__xludf.DUMMYFUNCTION("""COMPUTED_VALUE"""),0.0)</f>
        <v>0</v>
      </c>
    </row>
    <row r="4" ht="18.0" customHeight="1">
      <c r="B4" s="108" t="str">
        <f>IF(Dashboard!dCalc="On",ReadmeSettings!B20&amp;" Tweets","")</f>
        <v>3006 Tweets</v>
      </c>
      <c r="C4" s="109">
        <f>IF(Dashboard!dCalc="On",ReadmeSettings!B21,"")</f>
        <v>44682.94916</v>
      </c>
      <c r="D4" s="109">
        <f>IF(Dashboard!dCalc="On",ReadmeSettings!B22,"")</f>
        <v>44683.47786</v>
      </c>
      <c r="K4" s="78"/>
      <c r="L4" s="79"/>
      <c r="M4" s="62">
        <f t="shared" ref="M4:M148" si="1">M3+1/48</f>
        <v>44680.52083</v>
      </c>
      <c r="N4">
        <v>0.0</v>
      </c>
      <c r="O4">
        <f>IFERROR(__xludf.DUMMYFUNCTION("""COMPUTED_VALUE"""),0.0)</f>
        <v>0</v>
      </c>
      <c r="Q4" s="104"/>
      <c r="T4" t="str">
        <f>IFERROR(__xludf.DUMMYFUNCTION("""COMPUTED_VALUE"""),"100_maincove")</f>
        <v>100_maincove</v>
      </c>
      <c r="U4">
        <f>IFERROR(__xludf.DUMMYFUNCTION("""COMPUTED_VALUE"""),0.0)</f>
        <v>0</v>
      </c>
    </row>
    <row r="5">
      <c r="B5" s="110" t="str">
        <f>IF(Dashboard!dCalc="On",IF(ISERROR(L2),"",L2&amp;" Links "&amp;L3&amp;" RTs Threads "&amp;IF(L5&gt;0,TEXT(L8/L5,"#%")&amp;" (n."&amp;L8&amp;")","")),"")</f>
        <v>834 Links 2560 RTs Threads 7% (n.199)</v>
      </c>
      <c r="C5" s="111">
        <f>IF(Dashboard!dCalc="On",ReadmeSettings!B21,"")</f>
        <v>44682.94916</v>
      </c>
      <c r="D5" s="111">
        <f>IF(Dashboard!dCalc="On",ReadmeSettings!B22,"")</f>
        <v>44683.47786</v>
      </c>
      <c r="K5" s="78" t="s">
        <v>24</v>
      </c>
      <c r="L5" s="79">
        <f>IFERROR(__xludf.DUMMYFUNCTION("IF(Dashboard!dCalc=""On"",COUNTA(UNIQUE(Archive!$A:$A))-1,"""")"),3006.0)</f>
        <v>3006</v>
      </c>
      <c r="M5" s="62">
        <f t="shared" si="1"/>
        <v>44680.54167</v>
      </c>
      <c r="N5">
        <v>0.0</v>
      </c>
      <c r="O5">
        <f>IFERROR(__xludf.DUMMYFUNCTION("""COMPUTED_VALUE"""),0.0)</f>
        <v>0</v>
      </c>
      <c r="Q5" s="104"/>
      <c r="T5" t="str">
        <f>IFERROR(__xludf.DUMMYFUNCTION("""COMPUTED_VALUE"""),"100pctcocoa")</f>
        <v>100pctcocoa</v>
      </c>
      <c r="U5">
        <f>IFERROR(__xludf.DUMMYFUNCTION("""COMPUTED_VALUE"""),0.0)</f>
        <v>0</v>
      </c>
    </row>
    <row r="6" ht="15.0" customHeight="1">
      <c r="B6" s="112"/>
      <c r="C6" s="113"/>
      <c r="D6" s="113"/>
      <c r="K6" s="78"/>
      <c r="L6" s="83"/>
      <c r="M6" s="62">
        <f t="shared" si="1"/>
        <v>44680.5625</v>
      </c>
      <c r="N6">
        <v>0.0</v>
      </c>
      <c r="O6">
        <f>IFERROR(__xludf.DUMMYFUNCTION("""COMPUTED_VALUE"""),0.0)</f>
        <v>0</v>
      </c>
      <c r="Q6" s="104"/>
      <c r="T6" t="str">
        <f>IFERROR(__xludf.DUMMYFUNCTION("""COMPUTED_VALUE"""),"1066cariad")</f>
        <v>1066cariad</v>
      </c>
      <c r="U6">
        <f>IFERROR(__xludf.DUMMYFUNCTION("""COMPUTED_VALUE"""),0.0)</f>
        <v>0</v>
      </c>
    </row>
    <row r="7" ht="15.0" customHeight="1">
      <c r="K7" s="78"/>
      <c r="L7" s="83"/>
      <c r="M7" s="62">
        <f t="shared" si="1"/>
        <v>44680.58333</v>
      </c>
      <c r="N7">
        <v>0.0</v>
      </c>
      <c r="O7">
        <f>IFERROR(__xludf.DUMMYFUNCTION("""COMPUTED_VALUE"""),0.0)</f>
        <v>0</v>
      </c>
      <c r="Q7" s="104"/>
      <c r="T7" t="str">
        <f>IFERROR(__xludf.DUMMYFUNCTION("""COMPUTED_VALUE"""),"10_000BC")</f>
        <v>10_000BC</v>
      </c>
      <c r="U7">
        <f>IFERROR(__xludf.DUMMYFUNCTION("""COMPUTED_VALUE"""),0.0)</f>
        <v>0</v>
      </c>
    </row>
    <row r="8" ht="15.0" customHeight="1">
      <c r="K8" s="78" t="s">
        <v>18256</v>
      </c>
      <c r="L8" s="79">
        <f>IF(Dashboard!dCalc="On",COUNTA(Archive!$N:$N)-1,"")</f>
        <v>199</v>
      </c>
      <c r="M8" s="62">
        <f t="shared" si="1"/>
        <v>44680.60417</v>
      </c>
      <c r="N8">
        <v>0.0</v>
      </c>
      <c r="O8">
        <f>IFERROR(__xludf.DUMMYFUNCTION("""COMPUTED_VALUE"""),0.0)</f>
        <v>0</v>
      </c>
      <c r="Q8" s="104"/>
      <c r="T8" t="str">
        <f>IFERROR(__xludf.DUMMYFUNCTION("""COMPUTED_VALUE"""),"16Sharkey")</f>
        <v>16Sharkey</v>
      </c>
      <c r="U8">
        <f>IFERROR(__xludf.DUMMYFUNCTION("""COMPUTED_VALUE"""),0.0)</f>
        <v>0</v>
      </c>
    </row>
    <row r="9" ht="15.0" customHeight="1">
      <c r="K9" s="78" t="s">
        <v>18257</v>
      </c>
      <c r="L9" s="79">
        <f t="array" ref="L9">IF(Dashboard!dCalc="On",COUNTIF(LEFT(Archive!$C:$C,1),"@"),"")</f>
        <v>198</v>
      </c>
      <c r="M9" s="62">
        <f t="shared" si="1"/>
        <v>44680.625</v>
      </c>
      <c r="N9">
        <v>0.0</v>
      </c>
      <c r="O9">
        <f>IFERROR(__xludf.DUMMYFUNCTION("""COMPUTED_VALUE"""),0.0)</f>
        <v>0</v>
      </c>
      <c r="Q9" s="104"/>
      <c r="T9" t="str">
        <f>IFERROR(__xludf.DUMMYFUNCTION("""COMPUTED_VALUE"""),"1949jack")</f>
        <v>1949jack</v>
      </c>
      <c r="U9">
        <f>IFERROR(__xludf.DUMMYFUNCTION("""COMPUTED_VALUE"""),0.0)</f>
        <v>0</v>
      </c>
    </row>
    <row r="10" ht="15.0" customHeight="1">
      <c r="K10" s="78"/>
      <c r="L10" s="79"/>
      <c r="M10" s="62">
        <f t="shared" si="1"/>
        <v>44680.64583</v>
      </c>
      <c r="N10">
        <v>0.0</v>
      </c>
      <c r="O10">
        <f>IFERROR(__xludf.DUMMYFUNCTION("""COMPUTED_VALUE"""),0.0)</f>
        <v>0</v>
      </c>
      <c r="Q10" s="104"/>
      <c r="T10" t="str">
        <f>IFERROR(__xludf.DUMMYFUNCTION("""COMPUTED_VALUE"""),"1973GJWEcon")</f>
        <v>1973GJWEcon</v>
      </c>
      <c r="U10">
        <f>IFERROR(__xludf.DUMMYFUNCTION("""COMPUTED_VALUE"""),0.0)</f>
        <v>0</v>
      </c>
    </row>
    <row r="11" ht="15.0" customHeight="1">
      <c r="K11" s="114"/>
      <c r="L11" s="115"/>
      <c r="M11" s="62">
        <f t="shared" si="1"/>
        <v>44680.66667</v>
      </c>
      <c r="N11">
        <v>0.0</v>
      </c>
      <c r="O11">
        <f>IFERROR(__xludf.DUMMYFUNCTION("""COMPUTED_VALUE"""),0.0)</f>
        <v>0</v>
      </c>
      <c r="Q11" s="104"/>
      <c r="T11" t="str">
        <f>IFERROR(__xludf.DUMMYFUNCTION("""COMPUTED_VALUE"""),"1karenannwalker")</f>
        <v>1karenannwalker</v>
      </c>
      <c r="U11">
        <f>IFERROR(__xludf.DUMMYFUNCTION("""COMPUTED_VALUE"""),0.0)</f>
        <v>0</v>
      </c>
    </row>
    <row r="12" ht="15.0" customHeight="1">
      <c r="K12" s="114"/>
      <c r="L12" s="115"/>
      <c r="M12" s="62">
        <f t="shared" si="1"/>
        <v>44680.6875</v>
      </c>
      <c r="N12">
        <v>0.0</v>
      </c>
      <c r="O12">
        <f>IFERROR(__xludf.DUMMYFUNCTION("""COMPUTED_VALUE"""),0.0)</f>
        <v>0</v>
      </c>
      <c r="Q12" s="104"/>
      <c r="T12" t="str">
        <f>IFERROR(__xludf.DUMMYFUNCTION("""COMPUTED_VALUE"""),"2busy2bhere")</f>
        <v>2busy2bhere</v>
      </c>
      <c r="U12">
        <f>IFERROR(__xludf.DUMMYFUNCTION("""COMPUTED_VALUE"""),0.0)</f>
        <v>0</v>
      </c>
    </row>
    <row r="13" ht="15.0" customHeight="1">
      <c r="K13" s="114"/>
      <c r="L13" s="115"/>
      <c r="M13" s="62">
        <f t="shared" si="1"/>
        <v>44680.70833</v>
      </c>
      <c r="N13">
        <v>0.0</v>
      </c>
      <c r="O13">
        <f>IFERROR(__xludf.DUMMYFUNCTION("""COMPUTED_VALUE"""),0.0)</f>
        <v>0</v>
      </c>
      <c r="Q13" s="106"/>
      <c r="R13" s="71"/>
      <c r="S13" s="71"/>
      <c r="T13" s="71"/>
    </row>
    <row r="14" ht="15.0" customHeight="1">
      <c r="K14" s="114"/>
      <c r="L14" s="115"/>
      <c r="M14" s="62">
        <f t="shared" si="1"/>
        <v>44680.72917</v>
      </c>
      <c r="N14">
        <v>0.0</v>
      </c>
      <c r="O14">
        <f>IFERROR(__xludf.DUMMYFUNCTION("""COMPUTED_VALUE"""),0.0)</f>
        <v>0</v>
      </c>
      <c r="Q14" s="106" t="s">
        <v>18271</v>
      </c>
      <c r="R14" t="str">
        <f>IFERROR(__xludf.DUMMYFUNCTION("IF(Dashboard!dCalc=""On"",QUERY({Archive!A:A,Archive!H:H},""SELECT COUNT(Col1), YEAR(Col2), MONTH(Col2), DAY(Col2) WHERE dateDiff(now(), Col2) &lt; 60 GROUP BY YEAR(Col2), MONTH(Col2), DAY(Col2) LABEL COUNT(Col1) 'count'""),"""")"),"count")</f>
        <v>count</v>
      </c>
      <c r="S14" t="str">
        <f>IFERROR(__xludf.DUMMYFUNCTION("""COMPUTED_VALUE"""),"year(time)")</f>
        <v>year(time)</v>
      </c>
      <c r="T14" t="str">
        <f>IFERROR(__xludf.DUMMYFUNCTION("""COMPUTED_VALUE"""),"month(time)")</f>
        <v>month(time)</v>
      </c>
      <c r="U14" t="str">
        <f>IFERROR(__xludf.DUMMYFUNCTION("""COMPUTED_VALUE"""),"day(time)")</f>
        <v>day(time)</v>
      </c>
    </row>
    <row r="15" ht="15.0" customHeight="1">
      <c r="K15" s="114"/>
      <c r="L15" s="115"/>
      <c r="M15" s="62">
        <f t="shared" si="1"/>
        <v>44680.75</v>
      </c>
      <c r="N15">
        <v>0.0</v>
      </c>
      <c r="O15">
        <f>IFERROR(__xludf.DUMMYFUNCTION("""COMPUTED_VALUE"""),0.0)</f>
        <v>0</v>
      </c>
      <c r="Q15" s="104" t="str">
        <f t="array" ref="Q15:Q202">IF(S15:S202&lt;&gt;"",DATE(S15:S202,T15:T202+1,U15:U202),"")</f>
        <v/>
      </c>
      <c r="R15">
        <f>IFERROR(__xludf.DUMMYFUNCTION("""COMPUTED_VALUE"""),0.0)</f>
        <v>0</v>
      </c>
    </row>
    <row r="16" ht="15.0" customHeight="1">
      <c r="K16" s="114"/>
      <c r="L16" s="115"/>
      <c r="M16" s="62">
        <f t="shared" si="1"/>
        <v>44680.77083</v>
      </c>
      <c r="N16">
        <v>0.0</v>
      </c>
      <c r="O16">
        <f>IFERROR(__xludf.DUMMYFUNCTION("""COMPUTED_VALUE"""),0.0)</f>
        <v>0</v>
      </c>
      <c r="Q16" s="104" t="s">
        <v>18264</v>
      </c>
    </row>
    <row r="17" ht="15.0" customHeight="1">
      <c r="K17" s="114"/>
      <c r="L17" s="115"/>
      <c r="M17" s="62">
        <f t="shared" si="1"/>
        <v>44680.79167</v>
      </c>
      <c r="N17">
        <v>0.0</v>
      </c>
      <c r="O17">
        <f>IFERROR(__xludf.DUMMYFUNCTION("""COMPUTED_VALUE"""),0.0)</f>
        <v>0</v>
      </c>
      <c r="Q17" s="104" t="s">
        <v>18264</v>
      </c>
    </row>
    <row r="18" ht="15.0" customHeight="1">
      <c r="K18" s="114"/>
      <c r="L18" s="115"/>
      <c r="M18" s="62">
        <f t="shared" si="1"/>
        <v>44680.8125</v>
      </c>
      <c r="N18">
        <v>0.0</v>
      </c>
      <c r="O18">
        <f>IFERROR(__xludf.DUMMYFUNCTION("""COMPUTED_VALUE"""),0.0)</f>
        <v>0</v>
      </c>
      <c r="Q18" s="104" t="s">
        <v>18264</v>
      </c>
    </row>
    <row r="19" ht="15.0" customHeight="1">
      <c r="K19" s="114"/>
      <c r="L19" s="115"/>
      <c r="M19" s="62">
        <f t="shared" si="1"/>
        <v>44680.83333</v>
      </c>
      <c r="N19">
        <v>0.0</v>
      </c>
      <c r="O19">
        <f>IFERROR(__xludf.DUMMYFUNCTION("""COMPUTED_VALUE"""),0.0)</f>
        <v>0</v>
      </c>
      <c r="Q19" s="104" t="s">
        <v>18264</v>
      </c>
    </row>
    <row r="20" ht="15.0" customHeight="1">
      <c r="K20" s="114"/>
      <c r="L20" s="115"/>
      <c r="M20" s="62">
        <f t="shared" si="1"/>
        <v>44680.85417</v>
      </c>
      <c r="N20">
        <v>0.0</v>
      </c>
      <c r="O20">
        <f>IFERROR(__xludf.DUMMYFUNCTION("""COMPUTED_VALUE"""),0.0)</f>
        <v>0</v>
      </c>
      <c r="Q20" s="104" t="s">
        <v>18264</v>
      </c>
    </row>
    <row r="21" ht="15.0" customHeight="1">
      <c r="K21" s="114"/>
      <c r="L21" s="115"/>
      <c r="M21" s="62">
        <f t="shared" si="1"/>
        <v>44680.875</v>
      </c>
      <c r="N21">
        <v>0.0</v>
      </c>
      <c r="O21">
        <f>IFERROR(__xludf.DUMMYFUNCTION("""COMPUTED_VALUE"""),0.0)</f>
        <v>0</v>
      </c>
      <c r="Q21" s="104" t="s">
        <v>18264</v>
      </c>
    </row>
    <row r="22" ht="15.0" customHeight="1">
      <c r="F22" s="116" t="s">
        <v>18272</v>
      </c>
      <c r="G22" s="117" t="s">
        <v>18273</v>
      </c>
      <c r="K22" s="114"/>
      <c r="L22" s="115"/>
      <c r="M22" s="62">
        <f t="shared" si="1"/>
        <v>44680.89583</v>
      </c>
      <c r="N22">
        <v>0.0</v>
      </c>
      <c r="O22">
        <f>IFERROR(__xludf.DUMMYFUNCTION("""COMPUTED_VALUE"""),0.0)</f>
        <v>0</v>
      </c>
      <c r="Q22" s="104" t="s">
        <v>18264</v>
      </c>
    </row>
    <row r="23" ht="25.5" customHeight="1">
      <c r="F23" s="118" t="str">
        <f>IFERROR(__xludf.DUMMYFUNCTION("IF(Dashboard!dCalc=""On"",filterUnique(QUERY(Archive!A:H, ""SELECT A,B,C WHERE E &gt; date '""&amp;TEXT(ReadmeSettings!B22-2,""yyyy-mm-dd"")&amp;""'"")),"""")"),"#REF!")</f>
        <v>#REF!</v>
      </c>
      <c r="G23" s="119"/>
      <c r="I23" s="119" t="str">
        <f t="shared" ref="I23:I34" si="2">IF(LEN(H23)&gt;0,HYPERLINK(H23,"Tweet"),"")</f>
        <v/>
      </c>
      <c r="K23" s="114"/>
      <c r="L23" s="115"/>
      <c r="M23" s="62">
        <f t="shared" si="1"/>
        <v>44680.91667</v>
      </c>
      <c r="N23">
        <v>0.0</v>
      </c>
      <c r="O23">
        <f>IFERROR(__xludf.DUMMYFUNCTION("""COMPUTED_VALUE"""),0.0)</f>
        <v>0</v>
      </c>
      <c r="Q23" s="104" t="s">
        <v>18264</v>
      </c>
    </row>
    <row r="24" ht="25.5" customHeight="1">
      <c r="F24" s="120"/>
      <c r="G24" s="121"/>
      <c r="I24" s="121" t="str">
        <f t="shared" si="2"/>
        <v/>
      </c>
      <c r="K24" s="114"/>
      <c r="L24" s="115"/>
      <c r="M24" s="62">
        <f t="shared" si="1"/>
        <v>44680.9375</v>
      </c>
      <c r="N24">
        <v>0.0</v>
      </c>
      <c r="O24">
        <f>IFERROR(__xludf.DUMMYFUNCTION("""COMPUTED_VALUE"""),0.0)</f>
        <v>0</v>
      </c>
      <c r="Q24" s="104" t="s">
        <v>18264</v>
      </c>
    </row>
    <row r="25" ht="25.5" customHeight="1">
      <c r="F25" s="122"/>
      <c r="G25" s="119"/>
      <c r="I25" s="119" t="str">
        <f t="shared" si="2"/>
        <v/>
      </c>
      <c r="K25" s="114"/>
      <c r="L25" s="115"/>
      <c r="M25" s="62">
        <f t="shared" si="1"/>
        <v>44680.95833</v>
      </c>
      <c r="N25">
        <v>0.0</v>
      </c>
      <c r="O25">
        <f>IFERROR(__xludf.DUMMYFUNCTION("""COMPUTED_VALUE"""),0.0)</f>
        <v>0</v>
      </c>
      <c r="Q25" s="104" t="s">
        <v>18264</v>
      </c>
    </row>
    <row r="26" ht="25.5" customHeight="1">
      <c r="F26" s="120"/>
      <c r="G26" s="121"/>
      <c r="I26" s="121" t="str">
        <f t="shared" si="2"/>
        <v/>
      </c>
      <c r="K26" s="114"/>
      <c r="L26" s="115"/>
      <c r="M26" s="62">
        <f t="shared" si="1"/>
        <v>44680.97917</v>
      </c>
      <c r="N26">
        <v>0.0</v>
      </c>
      <c r="O26">
        <f>IFERROR(__xludf.DUMMYFUNCTION("""COMPUTED_VALUE"""),0.0)</f>
        <v>0</v>
      </c>
      <c r="Q26" s="104" t="s">
        <v>18264</v>
      </c>
    </row>
    <row r="27" ht="25.5" customHeight="1">
      <c r="F27" s="122"/>
      <c r="G27" s="119"/>
      <c r="I27" s="119" t="str">
        <f t="shared" si="2"/>
        <v/>
      </c>
      <c r="K27" s="114"/>
      <c r="L27" s="115"/>
      <c r="M27" s="62">
        <f t="shared" si="1"/>
        <v>44681</v>
      </c>
      <c r="N27">
        <v>0.0</v>
      </c>
      <c r="O27">
        <f>IFERROR(__xludf.DUMMYFUNCTION("""COMPUTED_VALUE"""),0.0)</f>
        <v>0</v>
      </c>
      <c r="Q27" s="104" t="s">
        <v>18264</v>
      </c>
    </row>
    <row r="28" ht="25.5" customHeight="1">
      <c r="F28" s="120"/>
      <c r="G28" s="121"/>
      <c r="I28" s="121" t="str">
        <f t="shared" si="2"/>
        <v/>
      </c>
      <c r="K28" s="114"/>
      <c r="L28" s="115"/>
      <c r="M28" s="62">
        <f t="shared" si="1"/>
        <v>44681.02083</v>
      </c>
      <c r="N28">
        <v>0.0</v>
      </c>
      <c r="O28">
        <f>IFERROR(__xludf.DUMMYFUNCTION("""COMPUTED_VALUE"""),0.0)</f>
        <v>0</v>
      </c>
      <c r="Q28" s="104" t="s">
        <v>18264</v>
      </c>
    </row>
    <row r="29" ht="25.5" customHeight="1">
      <c r="F29" s="122"/>
      <c r="G29" s="119"/>
      <c r="I29" s="119" t="str">
        <f t="shared" si="2"/>
        <v/>
      </c>
      <c r="K29" s="114"/>
      <c r="L29" s="115"/>
      <c r="M29" s="62">
        <f t="shared" si="1"/>
        <v>44681.04167</v>
      </c>
      <c r="N29">
        <v>0.0</v>
      </c>
      <c r="O29">
        <f>IFERROR(__xludf.DUMMYFUNCTION("""COMPUTED_VALUE"""),0.0)</f>
        <v>0</v>
      </c>
      <c r="Q29" s="104" t="s">
        <v>18264</v>
      </c>
    </row>
    <row r="30" ht="25.5" customHeight="1">
      <c r="F30" s="120"/>
      <c r="G30" s="121"/>
      <c r="I30" s="121" t="str">
        <f t="shared" si="2"/>
        <v/>
      </c>
      <c r="K30" s="114"/>
      <c r="L30" s="115"/>
      <c r="M30" s="62">
        <f t="shared" si="1"/>
        <v>44681.0625</v>
      </c>
      <c r="N30">
        <v>0.0</v>
      </c>
      <c r="O30">
        <f>IFERROR(__xludf.DUMMYFUNCTION("""COMPUTED_VALUE"""),0.0)</f>
        <v>0</v>
      </c>
      <c r="Q30" s="104" t="s">
        <v>18264</v>
      </c>
    </row>
    <row r="31" ht="25.5" customHeight="1">
      <c r="F31" s="122"/>
      <c r="G31" s="119"/>
      <c r="I31" s="119" t="str">
        <f t="shared" si="2"/>
        <v/>
      </c>
      <c r="K31" s="114"/>
      <c r="L31" s="115"/>
      <c r="M31" s="62">
        <f t="shared" si="1"/>
        <v>44681.08333</v>
      </c>
      <c r="N31">
        <v>0.0</v>
      </c>
      <c r="O31">
        <f>IFERROR(__xludf.DUMMYFUNCTION("""COMPUTED_VALUE"""),0.0)</f>
        <v>0</v>
      </c>
      <c r="Q31" s="104" t="s">
        <v>18264</v>
      </c>
    </row>
    <row r="32" ht="25.5" customHeight="1">
      <c r="F32" s="120"/>
      <c r="G32" s="121"/>
      <c r="I32" s="121" t="str">
        <f t="shared" si="2"/>
        <v/>
      </c>
      <c r="K32" s="114"/>
      <c r="L32" s="115"/>
      <c r="M32" s="62">
        <f t="shared" si="1"/>
        <v>44681.10417</v>
      </c>
      <c r="N32">
        <v>0.0</v>
      </c>
      <c r="O32">
        <f>IFERROR(__xludf.DUMMYFUNCTION("""COMPUTED_VALUE"""),0.0)</f>
        <v>0</v>
      </c>
      <c r="Q32" s="104" t="s">
        <v>18264</v>
      </c>
    </row>
    <row r="33" ht="25.5" customHeight="1">
      <c r="F33" s="122"/>
      <c r="G33" s="119"/>
      <c r="I33" s="119" t="str">
        <f t="shared" si="2"/>
        <v/>
      </c>
      <c r="K33" s="114"/>
      <c r="L33" s="115"/>
      <c r="M33" s="62">
        <f t="shared" si="1"/>
        <v>44681.125</v>
      </c>
      <c r="N33">
        <v>0.0</v>
      </c>
      <c r="O33">
        <f>IFERROR(__xludf.DUMMYFUNCTION("""COMPUTED_VALUE"""),0.0)</f>
        <v>0</v>
      </c>
      <c r="Q33" s="104" t="s">
        <v>18264</v>
      </c>
    </row>
    <row r="34" ht="25.5" customHeight="1">
      <c r="F34" s="120"/>
      <c r="G34" s="121"/>
      <c r="I34" s="121" t="str">
        <f t="shared" si="2"/>
        <v/>
      </c>
      <c r="K34" s="123"/>
      <c r="L34" s="115"/>
      <c r="M34" s="62">
        <f t="shared" si="1"/>
        <v>44681.14583</v>
      </c>
      <c r="N34">
        <v>0.0</v>
      </c>
      <c r="O34">
        <f>IFERROR(__xludf.DUMMYFUNCTION("""COMPUTED_VALUE"""),0.0)</f>
        <v>0</v>
      </c>
      <c r="Q34" s="104" t="s">
        <v>18264</v>
      </c>
    </row>
    <row r="35" ht="21.75" customHeight="1">
      <c r="K35" s="123"/>
      <c r="L35" s="124"/>
      <c r="M35" s="62">
        <f t="shared" si="1"/>
        <v>44681.16667</v>
      </c>
      <c r="N35">
        <v>0.0</v>
      </c>
      <c r="O35">
        <f>IFERROR(__xludf.DUMMYFUNCTION("""COMPUTED_VALUE"""),0.0)</f>
        <v>0</v>
      </c>
      <c r="Q35" s="104" t="s">
        <v>18264</v>
      </c>
    </row>
    <row r="36" ht="6.0" customHeight="1">
      <c r="K36" s="123"/>
      <c r="L36" s="124"/>
      <c r="M36" s="62">
        <f t="shared" si="1"/>
        <v>44681.1875</v>
      </c>
      <c r="N36">
        <v>0.0</v>
      </c>
      <c r="O36">
        <f>IFERROR(__xludf.DUMMYFUNCTION("""COMPUTED_VALUE"""),0.0)</f>
        <v>0</v>
      </c>
      <c r="Q36" s="104" t="s">
        <v>18264</v>
      </c>
    </row>
    <row r="37" ht="6.0" customHeight="1">
      <c r="K37" s="123"/>
      <c r="L37" s="124"/>
      <c r="M37" s="62">
        <f t="shared" si="1"/>
        <v>44681.20833</v>
      </c>
      <c r="N37">
        <v>0.0</v>
      </c>
      <c r="O37">
        <f>IFERROR(__xludf.DUMMYFUNCTION("""COMPUTED_VALUE"""),0.0)</f>
        <v>0</v>
      </c>
      <c r="Q37" s="104" t="s">
        <v>18264</v>
      </c>
    </row>
    <row r="38" ht="6.0" customHeight="1">
      <c r="E38" s="103"/>
      <c r="F38" s="125"/>
      <c r="G38" s="119"/>
      <c r="K38" s="123"/>
      <c r="L38" s="124"/>
      <c r="M38" s="62">
        <f t="shared" si="1"/>
        <v>44681.22917</v>
      </c>
      <c r="N38">
        <v>0.0</v>
      </c>
      <c r="O38">
        <f>IFERROR(__xludf.DUMMYFUNCTION("""COMPUTED_VALUE"""),0.0)</f>
        <v>0</v>
      </c>
      <c r="Q38" s="104" t="s">
        <v>18264</v>
      </c>
    </row>
    <row r="39" ht="14.25" customHeight="1">
      <c r="B39" s="126" t="s">
        <v>18274</v>
      </c>
      <c r="C39" s="38" t="str">
        <f>HYPERLINK("http://hawksey.info/tagsexplorer/?key="&amp;getSheetKey(ReadmeSettings!B9)&amp;"&amp;gid="&amp;getSheetGID("Archive"), "TAGSExplorer")</f>
        <v>TAGSExplorer</v>
      </c>
      <c r="F39" s="127"/>
      <c r="G39" s="128"/>
      <c r="K39" s="123"/>
      <c r="L39" s="124"/>
      <c r="M39" s="62">
        <f t="shared" si="1"/>
        <v>44681.25</v>
      </c>
      <c r="N39">
        <v>0.0</v>
      </c>
      <c r="O39">
        <f>IFERROR(__xludf.DUMMYFUNCTION("""COMPUTED_VALUE"""),0.0)</f>
        <v>0</v>
      </c>
      <c r="Q39" s="104" t="s">
        <v>18264</v>
      </c>
    </row>
    <row r="40" ht="14.25" customHeight="1">
      <c r="C40" s="40"/>
      <c r="F40" s="127"/>
      <c r="G40" s="128"/>
      <c r="K40" s="123"/>
      <c r="L40" s="124"/>
      <c r="M40" s="62">
        <f t="shared" si="1"/>
        <v>44681.27083</v>
      </c>
      <c r="N40">
        <v>0.0</v>
      </c>
      <c r="O40">
        <f>IFERROR(__xludf.DUMMYFUNCTION("""COMPUTED_VALUE"""),0.0)</f>
        <v>0</v>
      </c>
      <c r="Q40" s="104" t="s">
        <v>18264</v>
      </c>
    </row>
    <row r="41" ht="14.25" customHeight="1">
      <c r="C41" s="38" t="str">
        <f>HYPERLINK("http://hawksey.info/tagsexplorer/arc.html?key="&amp;getSheetKey(ReadmeSettings!B9)&amp;"&amp;gid="&amp;getSheetGID("Archive"), "TAGS Archive")</f>
        <v>TAGS Archive</v>
      </c>
      <c r="F41" s="127"/>
      <c r="G41" s="128"/>
      <c r="K41" s="123"/>
      <c r="L41" s="124"/>
      <c r="M41" s="62">
        <f t="shared" si="1"/>
        <v>44681.29167</v>
      </c>
      <c r="N41">
        <v>0.0</v>
      </c>
      <c r="O41">
        <f>IFERROR(__xludf.DUMMYFUNCTION("""COMPUTED_VALUE"""),0.0)</f>
        <v>0</v>
      </c>
      <c r="Q41" s="104" t="s">
        <v>18264</v>
      </c>
    </row>
    <row r="42" ht="21.75" hidden="1" customHeight="1">
      <c r="F42" s="127"/>
      <c r="G42" s="128"/>
      <c r="K42" s="123"/>
      <c r="L42" s="124"/>
      <c r="M42" s="62">
        <f t="shared" si="1"/>
        <v>44681.3125</v>
      </c>
      <c r="N42">
        <v>0.0</v>
      </c>
      <c r="O42">
        <f>IFERROR(__xludf.DUMMYFUNCTION("""COMPUTED_VALUE"""),0.0)</f>
        <v>0</v>
      </c>
      <c r="Q42" s="104" t="s">
        <v>18264</v>
      </c>
    </row>
    <row r="43" ht="21.75" hidden="1" customHeight="1">
      <c r="F43" s="127"/>
      <c r="G43" s="128"/>
      <c r="K43" s="123"/>
      <c r="L43" s="124"/>
      <c r="M43" s="62">
        <f t="shared" si="1"/>
        <v>44681.33333</v>
      </c>
      <c r="N43">
        <v>0.0</v>
      </c>
      <c r="O43">
        <f>IFERROR(__xludf.DUMMYFUNCTION("""COMPUTED_VALUE"""),0.0)</f>
        <v>0</v>
      </c>
      <c r="Q43" s="104" t="s">
        <v>18264</v>
      </c>
    </row>
    <row r="44" ht="21.75" hidden="1" customHeight="1">
      <c r="F44" s="127"/>
      <c r="G44" s="128"/>
      <c r="K44" s="123"/>
      <c r="L44" s="124"/>
      <c r="M44" s="62">
        <f t="shared" si="1"/>
        <v>44681.35417</v>
      </c>
      <c r="N44">
        <v>0.0</v>
      </c>
      <c r="O44">
        <f>IFERROR(__xludf.DUMMYFUNCTION("""COMPUTED_VALUE"""),0.0)</f>
        <v>0</v>
      </c>
      <c r="Q44" s="104" t="s">
        <v>18264</v>
      </c>
    </row>
    <row r="45" ht="21.75" hidden="1" customHeight="1">
      <c r="F45" s="127"/>
      <c r="G45" s="128"/>
      <c r="K45" s="123"/>
      <c r="L45" s="124"/>
      <c r="M45" s="62">
        <f t="shared" si="1"/>
        <v>44681.375</v>
      </c>
      <c r="N45">
        <v>0.0</v>
      </c>
      <c r="O45">
        <f>IFERROR(__xludf.DUMMYFUNCTION("""COMPUTED_VALUE"""),0.0)</f>
        <v>0</v>
      </c>
      <c r="Q45" s="104" t="s">
        <v>18264</v>
      </c>
    </row>
    <row r="46" hidden="1">
      <c r="K46" s="123"/>
      <c r="L46" s="124"/>
      <c r="M46" s="62">
        <f t="shared" si="1"/>
        <v>44681.39583</v>
      </c>
      <c r="N46">
        <v>0.0</v>
      </c>
      <c r="O46">
        <f>IFERROR(__xludf.DUMMYFUNCTION("""COMPUTED_VALUE"""),0.0)</f>
        <v>0</v>
      </c>
      <c r="Q46" s="104" t="s">
        <v>18264</v>
      </c>
    </row>
    <row r="47" hidden="1">
      <c r="K47" s="123"/>
      <c r="L47" s="124"/>
      <c r="M47" s="62">
        <f t="shared" si="1"/>
        <v>44681.41667</v>
      </c>
      <c r="N47">
        <v>0.0</v>
      </c>
      <c r="O47">
        <f>IFERROR(__xludf.DUMMYFUNCTION("""COMPUTED_VALUE"""),0.0)</f>
        <v>0</v>
      </c>
      <c r="Q47" s="104" t="s">
        <v>18264</v>
      </c>
    </row>
    <row r="48" hidden="1">
      <c r="K48" s="123"/>
      <c r="L48" s="124"/>
      <c r="M48" s="62">
        <f t="shared" si="1"/>
        <v>44681.4375</v>
      </c>
      <c r="N48">
        <v>0.0</v>
      </c>
      <c r="O48">
        <f>IFERROR(__xludf.DUMMYFUNCTION("""COMPUTED_VALUE"""),0.0)</f>
        <v>0</v>
      </c>
      <c r="Q48" s="104" t="s">
        <v>18264</v>
      </c>
    </row>
    <row r="49" hidden="1">
      <c r="K49" s="123"/>
      <c r="L49" s="124"/>
      <c r="M49" s="62">
        <f t="shared" si="1"/>
        <v>44681.45833</v>
      </c>
      <c r="N49">
        <v>0.0</v>
      </c>
      <c r="O49">
        <f>IFERROR(__xludf.DUMMYFUNCTION("""COMPUTED_VALUE"""),0.0)</f>
        <v>0</v>
      </c>
      <c r="Q49" s="104" t="s">
        <v>18264</v>
      </c>
    </row>
    <row r="50" hidden="1">
      <c r="K50" s="123"/>
      <c r="L50" s="124"/>
      <c r="M50" s="62">
        <f t="shared" si="1"/>
        <v>44681.47917</v>
      </c>
      <c r="N50">
        <v>0.0</v>
      </c>
      <c r="O50">
        <f>IFERROR(__xludf.DUMMYFUNCTION("""COMPUTED_VALUE"""),0.0)</f>
        <v>0</v>
      </c>
      <c r="Q50" s="104" t="s">
        <v>18264</v>
      </c>
    </row>
    <row r="51" hidden="1">
      <c r="K51" s="123"/>
      <c r="L51" s="124"/>
      <c r="M51" s="62">
        <f t="shared" si="1"/>
        <v>44681.5</v>
      </c>
      <c r="N51">
        <v>0.0</v>
      </c>
      <c r="O51">
        <f>IFERROR(__xludf.DUMMYFUNCTION("""COMPUTED_VALUE"""),0.0)</f>
        <v>0</v>
      </c>
      <c r="Q51" s="104" t="s">
        <v>18264</v>
      </c>
    </row>
    <row r="52" hidden="1">
      <c r="K52" s="123"/>
      <c r="L52" s="124"/>
      <c r="M52" s="62">
        <f t="shared" si="1"/>
        <v>44681.52083</v>
      </c>
      <c r="N52">
        <v>0.0</v>
      </c>
      <c r="O52">
        <f>IFERROR(__xludf.DUMMYFUNCTION("""COMPUTED_VALUE"""),0.0)</f>
        <v>0</v>
      </c>
      <c r="Q52" s="104" t="s">
        <v>18264</v>
      </c>
    </row>
    <row r="53" hidden="1">
      <c r="K53" s="123"/>
      <c r="L53" s="124"/>
      <c r="M53" s="62">
        <f t="shared" si="1"/>
        <v>44681.54167</v>
      </c>
      <c r="N53">
        <v>0.0</v>
      </c>
      <c r="O53">
        <f>IFERROR(__xludf.DUMMYFUNCTION("""COMPUTED_VALUE"""),0.0)</f>
        <v>0</v>
      </c>
      <c r="Q53" s="104" t="s">
        <v>18264</v>
      </c>
    </row>
    <row r="54" hidden="1">
      <c r="K54" s="123"/>
      <c r="L54" s="124"/>
      <c r="M54" s="62">
        <f t="shared" si="1"/>
        <v>44681.5625</v>
      </c>
      <c r="N54">
        <v>0.0</v>
      </c>
      <c r="O54">
        <f>IFERROR(__xludf.DUMMYFUNCTION("""COMPUTED_VALUE"""),0.0)</f>
        <v>0</v>
      </c>
      <c r="Q54" s="104" t="s">
        <v>18264</v>
      </c>
    </row>
    <row r="55" hidden="1">
      <c r="K55" s="123"/>
      <c r="L55" s="124"/>
      <c r="M55" s="62">
        <f t="shared" si="1"/>
        <v>44681.58333</v>
      </c>
      <c r="N55">
        <v>0.0</v>
      </c>
      <c r="O55">
        <f>IFERROR(__xludf.DUMMYFUNCTION("""COMPUTED_VALUE"""),0.0)</f>
        <v>0</v>
      </c>
      <c r="Q55" s="104" t="s">
        <v>18264</v>
      </c>
    </row>
    <row r="56" hidden="1">
      <c r="K56" s="123"/>
      <c r="L56" s="124"/>
      <c r="M56" s="62">
        <f t="shared" si="1"/>
        <v>44681.60417</v>
      </c>
      <c r="N56">
        <v>0.0</v>
      </c>
      <c r="O56">
        <f>IFERROR(__xludf.DUMMYFUNCTION("""COMPUTED_VALUE"""),0.0)</f>
        <v>0</v>
      </c>
      <c r="Q56" s="104" t="s">
        <v>18264</v>
      </c>
    </row>
    <row r="57" hidden="1">
      <c r="K57" s="123"/>
      <c r="L57" s="124"/>
      <c r="M57" s="62">
        <f t="shared" si="1"/>
        <v>44681.625</v>
      </c>
      <c r="N57">
        <v>0.0</v>
      </c>
      <c r="O57">
        <f>IFERROR(__xludf.DUMMYFUNCTION("""COMPUTED_VALUE"""),0.0)</f>
        <v>0</v>
      </c>
      <c r="Q57" s="104" t="s">
        <v>18264</v>
      </c>
    </row>
    <row r="58" hidden="1">
      <c r="K58" s="123"/>
      <c r="L58" s="124"/>
      <c r="M58" s="62">
        <f t="shared" si="1"/>
        <v>44681.64583</v>
      </c>
      <c r="N58">
        <v>0.0</v>
      </c>
      <c r="O58">
        <f>IFERROR(__xludf.DUMMYFUNCTION("""COMPUTED_VALUE"""),0.0)</f>
        <v>0</v>
      </c>
      <c r="Q58" s="104" t="s">
        <v>18264</v>
      </c>
    </row>
    <row r="59" hidden="1">
      <c r="K59" s="123"/>
      <c r="L59" s="124"/>
      <c r="M59" s="62">
        <f t="shared" si="1"/>
        <v>44681.66667</v>
      </c>
      <c r="N59">
        <v>0.0</v>
      </c>
      <c r="O59">
        <f>IFERROR(__xludf.DUMMYFUNCTION("""COMPUTED_VALUE"""),0.0)</f>
        <v>0</v>
      </c>
      <c r="Q59" s="104" t="s">
        <v>18264</v>
      </c>
    </row>
    <row r="60" hidden="1">
      <c r="K60" s="123"/>
      <c r="L60" s="124"/>
      <c r="M60" s="62">
        <f t="shared" si="1"/>
        <v>44681.6875</v>
      </c>
      <c r="N60">
        <v>0.0</v>
      </c>
      <c r="O60">
        <f>IFERROR(__xludf.DUMMYFUNCTION("""COMPUTED_VALUE"""),0.0)</f>
        <v>0</v>
      </c>
      <c r="Q60" s="104" t="s">
        <v>18264</v>
      </c>
    </row>
    <row r="61" hidden="1">
      <c r="K61" s="123"/>
      <c r="L61" s="124"/>
      <c r="M61" s="62">
        <f t="shared" si="1"/>
        <v>44681.70833</v>
      </c>
      <c r="N61">
        <v>0.0</v>
      </c>
      <c r="O61">
        <f>IFERROR(__xludf.DUMMYFUNCTION("""COMPUTED_VALUE"""),0.0)</f>
        <v>0</v>
      </c>
      <c r="Q61" s="104" t="s">
        <v>18264</v>
      </c>
    </row>
    <row r="62" hidden="1">
      <c r="K62" s="123"/>
      <c r="L62" s="124"/>
      <c r="M62" s="62">
        <f t="shared" si="1"/>
        <v>44681.72917</v>
      </c>
      <c r="N62">
        <v>0.0</v>
      </c>
      <c r="O62">
        <f>IFERROR(__xludf.DUMMYFUNCTION("""COMPUTED_VALUE"""),0.0)</f>
        <v>0</v>
      </c>
      <c r="Q62" s="104" t="s">
        <v>18264</v>
      </c>
    </row>
    <row r="63" hidden="1">
      <c r="K63" s="123"/>
      <c r="L63" s="124"/>
      <c r="M63" s="62">
        <f t="shared" si="1"/>
        <v>44681.75</v>
      </c>
      <c r="N63">
        <v>0.0</v>
      </c>
      <c r="O63">
        <f>IFERROR(__xludf.DUMMYFUNCTION("""COMPUTED_VALUE"""),0.0)</f>
        <v>0</v>
      </c>
      <c r="Q63" s="104" t="s">
        <v>18264</v>
      </c>
    </row>
    <row r="64" hidden="1">
      <c r="K64" s="123"/>
      <c r="L64" s="124"/>
      <c r="M64" s="62">
        <f t="shared" si="1"/>
        <v>44681.77083</v>
      </c>
      <c r="N64">
        <v>0.0</v>
      </c>
      <c r="O64">
        <f>IFERROR(__xludf.DUMMYFUNCTION("""COMPUTED_VALUE"""),0.0)</f>
        <v>0</v>
      </c>
      <c r="Q64" s="104" t="s">
        <v>18264</v>
      </c>
    </row>
    <row r="65" hidden="1">
      <c r="K65" s="123"/>
      <c r="L65" s="124"/>
      <c r="M65" s="62">
        <f t="shared" si="1"/>
        <v>44681.79167</v>
      </c>
      <c r="N65">
        <v>0.0</v>
      </c>
      <c r="O65">
        <f>IFERROR(__xludf.DUMMYFUNCTION("""COMPUTED_VALUE"""),0.0)</f>
        <v>0</v>
      </c>
      <c r="Q65" s="104" t="s">
        <v>18264</v>
      </c>
    </row>
    <row r="66" hidden="1">
      <c r="K66" s="123"/>
      <c r="L66" s="124"/>
      <c r="M66" s="62">
        <f t="shared" si="1"/>
        <v>44681.8125</v>
      </c>
      <c r="N66">
        <v>0.0</v>
      </c>
      <c r="O66">
        <f>IFERROR(__xludf.DUMMYFUNCTION("""COMPUTED_VALUE"""),0.0)</f>
        <v>0</v>
      </c>
      <c r="Q66" s="104" t="s">
        <v>18264</v>
      </c>
    </row>
    <row r="67" hidden="1">
      <c r="K67" s="123"/>
      <c r="L67" s="124"/>
      <c r="M67" s="62">
        <f t="shared" si="1"/>
        <v>44681.83333</v>
      </c>
      <c r="N67">
        <v>0.0</v>
      </c>
      <c r="O67">
        <f>IFERROR(__xludf.DUMMYFUNCTION("""COMPUTED_VALUE"""),0.0)</f>
        <v>0</v>
      </c>
      <c r="Q67" s="104" t="s">
        <v>18264</v>
      </c>
    </row>
    <row r="68" hidden="1">
      <c r="K68" s="123"/>
      <c r="L68" s="124"/>
      <c r="M68" s="62">
        <f t="shared" si="1"/>
        <v>44681.85417</v>
      </c>
      <c r="N68">
        <v>0.0</v>
      </c>
      <c r="O68">
        <f>IFERROR(__xludf.DUMMYFUNCTION("""COMPUTED_VALUE"""),0.0)</f>
        <v>0</v>
      </c>
      <c r="Q68" s="104" t="s">
        <v>18264</v>
      </c>
    </row>
    <row r="69" hidden="1">
      <c r="K69" s="123"/>
      <c r="L69" s="124"/>
      <c r="M69" s="62">
        <f t="shared" si="1"/>
        <v>44681.875</v>
      </c>
      <c r="N69">
        <v>0.0</v>
      </c>
      <c r="O69">
        <f>IFERROR(__xludf.DUMMYFUNCTION("""COMPUTED_VALUE"""),0.0)</f>
        <v>0</v>
      </c>
      <c r="Q69" s="104" t="s">
        <v>18264</v>
      </c>
    </row>
    <row r="70" hidden="1">
      <c r="K70" s="123"/>
      <c r="L70" s="124"/>
      <c r="M70" s="62">
        <f t="shared" si="1"/>
        <v>44681.89583</v>
      </c>
      <c r="N70">
        <v>0.0</v>
      </c>
      <c r="O70">
        <f>IFERROR(__xludf.DUMMYFUNCTION("""COMPUTED_VALUE"""),0.0)</f>
        <v>0</v>
      </c>
      <c r="Q70" s="104" t="s">
        <v>18264</v>
      </c>
    </row>
    <row r="71" hidden="1">
      <c r="K71" s="123"/>
      <c r="L71" s="124"/>
      <c r="M71" s="62">
        <f t="shared" si="1"/>
        <v>44681.91667</v>
      </c>
      <c r="N71">
        <v>0.0</v>
      </c>
      <c r="O71">
        <f>IFERROR(__xludf.DUMMYFUNCTION("""COMPUTED_VALUE"""),0.0)</f>
        <v>0</v>
      </c>
      <c r="Q71" s="104" t="s">
        <v>18264</v>
      </c>
    </row>
    <row r="72" hidden="1">
      <c r="K72" s="123"/>
      <c r="L72" s="124"/>
      <c r="M72" s="62">
        <f t="shared" si="1"/>
        <v>44681.9375</v>
      </c>
      <c r="N72">
        <v>0.0</v>
      </c>
      <c r="O72">
        <f>IFERROR(__xludf.DUMMYFUNCTION("""COMPUTED_VALUE"""),0.0)</f>
        <v>0</v>
      </c>
      <c r="Q72" s="104" t="s">
        <v>18264</v>
      </c>
    </row>
    <row r="73" hidden="1">
      <c r="K73" s="123"/>
      <c r="L73" s="124"/>
      <c r="M73" s="62">
        <f t="shared" si="1"/>
        <v>44681.95833</v>
      </c>
      <c r="N73">
        <v>0.0</v>
      </c>
      <c r="O73">
        <f>IFERROR(__xludf.DUMMYFUNCTION("""COMPUTED_VALUE"""),0.0)</f>
        <v>0</v>
      </c>
      <c r="Q73" s="104" t="s">
        <v>18264</v>
      </c>
    </row>
    <row r="74" hidden="1">
      <c r="K74" s="123"/>
      <c r="L74" s="124"/>
      <c r="M74" s="62">
        <f t="shared" si="1"/>
        <v>44681.97917</v>
      </c>
      <c r="N74">
        <v>0.0</v>
      </c>
      <c r="O74">
        <f>IFERROR(__xludf.DUMMYFUNCTION("""COMPUTED_VALUE"""),0.0)</f>
        <v>0</v>
      </c>
      <c r="Q74" s="104" t="s">
        <v>18264</v>
      </c>
    </row>
    <row r="75" hidden="1">
      <c r="K75" s="123"/>
      <c r="L75" s="124"/>
      <c r="M75" s="62">
        <f t="shared" si="1"/>
        <v>44682</v>
      </c>
      <c r="N75">
        <v>0.0</v>
      </c>
      <c r="O75">
        <f>IFERROR(__xludf.DUMMYFUNCTION("""COMPUTED_VALUE"""),0.0)</f>
        <v>0</v>
      </c>
      <c r="Q75" s="104" t="s">
        <v>18264</v>
      </c>
    </row>
    <row r="76" hidden="1">
      <c r="K76" s="123"/>
      <c r="L76" s="124"/>
      <c r="M76" s="62">
        <f t="shared" si="1"/>
        <v>44682.02083</v>
      </c>
      <c r="N76">
        <v>0.0</v>
      </c>
      <c r="O76">
        <f>IFERROR(__xludf.DUMMYFUNCTION("""COMPUTED_VALUE"""),0.0)</f>
        <v>0</v>
      </c>
      <c r="Q76" s="104" t="s">
        <v>18264</v>
      </c>
    </row>
    <row r="77" hidden="1">
      <c r="K77" s="123"/>
      <c r="L77" s="124"/>
      <c r="M77" s="62">
        <f t="shared" si="1"/>
        <v>44682.04167</v>
      </c>
      <c r="N77">
        <v>0.0</v>
      </c>
      <c r="O77">
        <f>IFERROR(__xludf.DUMMYFUNCTION("""COMPUTED_VALUE"""),0.0)</f>
        <v>0</v>
      </c>
      <c r="Q77" s="104" t="s">
        <v>18264</v>
      </c>
    </row>
    <row r="78" hidden="1">
      <c r="K78" s="123"/>
      <c r="L78" s="124"/>
      <c r="M78" s="62">
        <f t="shared" si="1"/>
        <v>44682.0625</v>
      </c>
      <c r="N78">
        <v>0.0</v>
      </c>
      <c r="O78">
        <f>IFERROR(__xludf.DUMMYFUNCTION("""COMPUTED_VALUE"""),0.0)</f>
        <v>0</v>
      </c>
      <c r="Q78" s="104" t="s">
        <v>18264</v>
      </c>
    </row>
    <row r="79" hidden="1">
      <c r="K79" s="123"/>
      <c r="L79" s="124"/>
      <c r="M79" s="62">
        <f t="shared" si="1"/>
        <v>44682.08333</v>
      </c>
      <c r="N79">
        <v>0.0</v>
      </c>
      <c r="O79">
        <f>IFERROR(__xludf.DUMMYFUNCTION("""COMPUTED_VALUE"""),0.0)</f>
        <v>0</v>
      </c>
      <c r="Q79" s="104" t="s">
        <v>18264</v>
      </c>
    </row>
    <row r="80" hidden="1">
      <c r="K80" s="123"/>
      <c r="L80" s="124"/>
      <c r="M80" s="62">
        <f t="shared" si="1"/>
        <v>44682.10417</v>
      </c>
      <c r="N80">
        <v>0.0</v>
      </c>
      <c r="O80">
        <f>IFERROR(__xludf.DUMMYFUNCTION("""COMPUTED_VALUE"""),0.0)</f>
        <v>0</v>
      </c>
      <c r="Q80" s="104" t="s">
        <v>18264</v>
      </c>
    </row>
    <row r="81" hidden="1">
      <c r="K81" s="123"/>
      <c r="L81" s="124"/>
      <c r="M81" s="62">
        <f t="shared" si="1"/>
        <v>44682.125</v>
      </c>
      <c r="N81">
        <v>0.0</v>
      </c>
      <c r="O81">
        <f>IFERROR(__xludf.DUMMYFUNCTION("""COMPUTED_VALUE"""),0.0)</f>
        <v>0</v>
      </c>
      <c r="Q81" s="104" t="s">
        <v>18264</v>
      </c>
    </row>
    <row r="82" hidden="1">
      <c r="K82" s="123"/>
      <c r="L82" s="124"/>
      <c r="M82" s="62">
        <f t="shared" si="1"/>
        <v>44682.14583</v>
      </c>
      <c r="N82">
        <v>0.0</v>
      </c>
      <c r="O82">
        <f>IFERROR(__xludf.DUMMYFUNCTION("""COMPUTED_VALUE"""),0.0)</f>
        <v>0</v>
      </c>
      <c r="Q82" s="104" t="s">
        <v>18264</v>
      </c>
    </row>
    <row r="83" hidden="1">
      <c r="K83" s="123"/>
      <c r="L83" s="124"/>
      <c r="M83" s="62">
        <f t="shared" si="1"/>
        <v>44682.16667</v>
      </c>
      <c r="N83">
        <v>0.0</v>
      </c>
      <c r="O83">
        <f>IFERROR(__xludf.DUMMYFUNCTION("""COMPUTED_VALUE"""),0.0)</f>
        <v>0</v>
      </c>
      <c r="Q83" s="104" t="s">
        <v>18264</v>
      </c>
    </row>
    <row r="84" hidden="1">
      <c r="K84" s="123"/>
      <c r="L84" s="124"/>
      <c r="M84" s="62">
        <f t="shared" si="1"/>
        <v>44682.1875</v>
      </c>
      <c r="N84">
        <v>0.0</v>
      </c>
      <c r="O84">
        <f>IFERROR(__xludf.DUMMYFUNCTION("""COMPUTED_VALUE"""),0.0)</f>
        <v>0</v>
      </c>
      <c r="Q84" s="104" t="s">
        <v>18264</v>
      </c>
    </row>
    <row r="85" hidden="1">
      <c r="K85" s="123"/>
      <c r="L85" s="124"/>
      <c r="M85" s="62">
        <f t="shared" si="1"/>
        <v>44682.20833</v>
      </c>
      <c r="N85">
        <v>0.0</v>
      </c>
      <c r="O85">
        <f>IFERROR(__xludf.DUMMYFUNCTION("""COMPUTED_VALUE"""),0.0)</f>
        <v>0</v>
      </c>
      <c r="Q85" s="104" t="s">
        <v>18264</v>
      </c>
    </row>
    <row r="86" hidden="1">
      <c r="K86" s="123"/>
      <c r="L86" s="124"/>
      <c r="M86" s="62">
        <f t="shared" si="1"/>
        <v>44682.22917</v>
      </c>
      <c r="N86">
        <v>0.0</v>
      </c>
      <c r="O86">
        <f>IFERROR(__xludf.DUMMYFUNCTION("""COMPUTED_VALUE"""),0.0)</f>
        <v>0</v>
      </c>
      <c r="Q86" s="104" t="s">
        <v>18264</v>
      </c>
    </row>
    <row r="87" hidden="1">
      <c r="K87" s="123"/>
      <c r="L87" s="124"/>
      <c r="M87" s="62">
        <f t="shared" si="1"/>
        <v>44682.25</v>
      </c>
      <c r="N87">
        <v>0.0</v>
      </c>
      <c r="O87">
        <f>IFERROR(__xludf.DUMMYFUNCTION("""COMPUTED_VALUE"""),0.0)</f>
        <v>0</v>
      </c>
      <c r="Q87" s="104" t="s">
        <v>18264</v>
      </c>
    </row>
    <row r="88" hidden="1">
      <c r="K88" s="123"/>
      <c r="L88" s="124"/>
      <c r="M88" s="62">
        <f t="shared" si="1"/>
        <v>44682.27083</v>
      </c>
      <c r="N88">
        <v>0.0</v>
      </c>
      <c r="O88">
        <f>IFERROR(__xludf.DUMMYFUNCTION("""COMPUTED_VALUE"""),0.0)</f>
        <v>0</v>
      </c>
      <c r="Q88" s="104" t="s">
        <v>18264</v>
      </c>
    </row>
    <row r="89" hidden="1">
      <c r="K89" s="123"/>
      <c r="L89" s="124"/>
      <c r="M89" s="62">
        <f t="shared" si="1"/>
        <v>44682.29167</v>
      </c>
      <c r="N89">
        <v>0.0</v>
      </c>
      <c r="O89">
        <f>IFERROR(__xludf.DUMMYFUNCTION("""COMPUTED_VALUE"""),0.0)</f>
        <v>0</v>
      </c>
      <c r="Q89" s="104" t="s">
        <v>18264</v>
      </c>
    </row>
    <row r="90" hidden="1">
      <c r="K90" s="123"/>
      <c r="L90" s="124"/>
      <c r="M90" s="62">
        <f t="shared" si="1"/>
        <v>44682.3125</v>
      </c>
      <c r="N90">
        <v>0.0</v>
      </c>
      <c r="O90">
        <f>IFERROR(__xludf.DUMMYFUNCTION("""COMPUTED_VALUE"""),0.0)</f>
        <v>0</v>
      </c>
      <c r="Q90" s="104" t="s">
        <v>18264</v>
      </c>
    </row>
    <row r="91" hidden="1">
      <c r="K91" s="123"/>
      <c r="L91" s="124"/>
      <c r="M91" s="62">
        <f t="shared" si="1"/>
        <v>44682.33333</v>
      </c>
      <c r="N91">
        <v>0.0</v>
      </c>
      <c r="O91">
        <f>IFERROR(__xludf.DUMMYFUNCTION("""COMPUTED_VALUE"""),0.0)</f>
        <v>0</v>
      </c>
      <c r="Q91" s="104" t="s">
        <v>18264</v>
      </c>
    </row>
    <row r="92" hidden="1">
      <c r="K92" s="123"/>
      <c r="L92" s="124"/>
      <c r="M92" s="62">
        <f t="shared" si="1"/>
        <v>44682.35417</v>
      </c>
      <c r="N92">
        <v>0.0</v>
      </c>
      <c r="O92">
        <f>IFERROR(__xludf.DUMMYFUNCTION("""COMPUTED_VALUE"""),0.0)</f>
        <v>0</v>
      </c>
      <c r="Q92" s="104" t="s">
        <v>18264</v>
      </c>
    </row>
    <row r="93" hidden="1">
      <c r="K93" s="123"/>
      <c r="L93" s="124"/>
      <c r="M93" s="62">
        <f t="shared" si="1"/>
        <v>44682.375</v>
      </c>
      <c r="N93">
        <v>0.0</v>
      </c>
      <c r="O93">
        <f>IFERROR(__xludf.DUMMYFUNCTION("""COMPUTED_VALUE"""),0.0)</f>
        <v>0</v>
      </c>
      <c r="Q93" s="104" t="s">
        <v>18264</v>
      </c>
    </row>
    <row r="94" hidden="1">
      <c r="K94" s="123"/>
      <c r="L94" s="124"/>
      <c r="M94" s="62">
        <f t="shared" si="1"/>
        <v>44682.39583</v>
      </c>
      <c r="N94">
        <v>0.0</v>
      </c>
      <c r="O94">
        <f>IFERROR(__xludf.DUMMYFUNCTION("""COMPUTED_VALUE"""),0.0)</f>
        <v>0</v>
      </c>
      <c r="Q94" s="104" t="s">
        <v>18264</v>
      </c>
    </row>
    <row r="95" hidden="1">
      <c r="K95" s="123"/>
      <c r="L95" s="124"/>
      <c r="M95" s="62">
        <f t="shared" si="1"/>
        <v>44682.41667</v>
      </c>
      <c r="N95">
        <v>0.0</v>
      </c>
      <c r="O95">
        <f>IFERROR(__xludf.DUMMYFUNCTION("""COMPUTED_VALUE"""),0.0)</f>
        <v>0</v>
      </c>
      <c r="Q95" s="104" t="s">
        <v>18264</v>
      </c>
    </row>
    <row r="96" hidden="1">
      <c r="K96" s="123"/>
      <c r="L96" s="124"/>
      <c r="M96" s="62">
        <f t="shared" si="1"/>
        <v>44682.4375</v>
      </c>
      <c r="N96">
        <v>0.0</v>
      </c>
      <c r="O96">
        <f>IFERROR(__xludf.DUMMYFUNCTION("""COMPUTED_VALUE"""),0.0)</f>
        <v>0</v>
      </c>
      <c r="Q96" s="104" t="s">
        <v>18264</v>
      </c>
    </row>
    <row r="97" hidden="1">
      <c r="K97" s="123"/>
      <c r="L97" s="124"/>
      <c r="M97" s="62">
        <f t="shared" si="1"/>
        <v>44682.45833</v>
      </c>
      <c r="N97">
        <v>0.0</v>
      </c>
      <c r="O97">
        <f>IFERROR(__xludf.DUMMYFUNCTION("""COMPUTED_VALUE"""),0.0)</f>
        <v>0</v>
      </c>
      <c r="Q97" s="104" t="s">
        <v>18264</v>
      </c>
    </row>
    <row r="98" hidden="1">
      <c r="K98" s="123"/>
      <c r="L98" s="124"/>
      <c r="M98" s="62">
        <f t="shared" si="1"/>
        <v>44682.47917</v>
      </c>
      <c r="N98">
        <v>0.0</v>
      </c>
      <c r="O98">
        <f>IFERROR(__xludf.DUMMYFUNCTION("""COMPUTED_VALUE"""),0.0)</f>
        <v>0</v>
      </c>
      <c r="Q98" s="104" t="s">
        <v>18264</v>
      </c>
    </row>
    <row r="99" hidden="1">
      <c r="K99" s="123"/>
      <c r="L99" s="124"/>
      <c r="M99" s="62">
        <f t="shared" si="1"/>
        <v>44682.5</v>
      </c>
      <c r="N99">
        <v>0.0</v>
      </c>
      <c r="O99">
        <f>IFERROR(__xludf.DUMMYFUNCTION("""COMPUTED_VALUE"""),0.0)</f>
        <v>0</v>
      </c>
      <c r="Q99" s="104" t="s">
        <v>18264</v>
      </c>
    </row>
    <row r="100" hidden="1">
      <c r="K100" s="123"/>
      <c r="L100" s="124"/>
      <c r="M100" s="62">
        <f t="shared" si="1"/>
        <v>44682.52083</v>
      </c>
      <c r="N100">
        <v>0.0</v>
      </c>
      <c r="O100">
        <f>IFERROR(__xludf.DUMMYFUNCTION("""COMPUTED_VALUE"""),0.0)</f>
        <v>0</v>
      </c>
      <c r="Q100" s="104" t="s">
        <v>18264</v>
      </c>
    </row>
    <row r="101" hidden="1">
      <c r="K101" s="123"/>
      <c r="L101" s="124"/>
      <c r="M101" s="62">
        <f t="shared" si="1"/>
        <v>44682.54167</v>
      </c>
      <c r="N101">
        <v>0.0</v>
      </c>
      <c r="O101">
        <f>IFERROR(__xludf.DUMMYFUNCTION("""COMPUTED_VALUE"""),0.0)</f>
        <v>0</v>
      </c>
      <c r="Q101" s="104" t="s">
        <v>18264</v>
      </c>
    </row>
    <row r="102" hidden="1">
      <c r="K102" s="123"/>
      <c r="L102" s="124"/>
      <c r="M102" s="62">
        <f t="shared" si="1"/>
        <v>44682.5625</v>
      </c>
      <c r="N102">
        <v>0.0</v>
      </c>
      <c r="O102">
        <f>IFERROR(__xludf.DUMMYFUNCTION("""COMPUTED_VALUE"""),0.0)</f>
        <v>0</v>
      </c>
      <c r="Q102" s="104" t="s">
        <v>18264</v>
      </c>
    </row>
    <row r="103" hidden="1">
      <c r="K103" s="123"/>
      <c r="L103" s="124"/>
      <c r="M103" s="62">
        <f t="shared" si="1"/>
        <v>44682.58333</v>
      </c>
      <c r="N103">
        <v>0.0</v>
      </c>
      <c r="O103">
        <f>IFERROR(__xludf.DUMMYFUNCTION("""COMPUTED_VALUE"""),0.0)</f>
        <v>0</v>
      </c>
      <c r="Q103" s="104" t="s">
        <v>18264</v>
      </c>
    </row>
    <row r="104" hidden="1">
      <c r="K104" s="123"/>
      <c r="L104" s="124"/>
      <c r="M104" s="62">
        <f t="shared" si="1"/>
        <v>44682.60417</v>
      </c>
      <c r="N104">
        <v>0.0</v>
      </c>
      <c r="O104">
        <f>IFERROR(__xludf.DUMMYFUNCTION("""COMPUTED_VALUE"""),0.0)</f>
        <v>0</v>
      </c>
      <c r="Q104" s="104" t="s">
        <v>18264</v>
      </c>
    </row>
    <row r="105" hidden="1">
      <c r="K105" s="123"/>
      <c r="L105" s="124"/>
      <c r="M105" s="62">
        <f t="shared" si="1"/>
        <v>44682.625</v>
      </c>
      <c r="N105">
        <v>0.0</v>
      </c>
      <c r="O105">
        <f>IFERROR(__xludf.DUMMYFUNCTION("""COMPUTED_VALUE"""),0.0)</f>
        <v>0</v>
      </c>
      <c r="Q105" s="104" t="s">
        <v>18264</v>
      </c>
    </row>
    <row r="106" hidden="1">
      <c r="K106" s="123"/>
      <c r="L106" s="124"/>
      <c r="M106" s="62">
        <f t="shared" si="1"/>
        <v>44682.64583</v>
      </c>
      <c r="N106">
        <v>0.0</v>
      </c>
      <c r="O106">
        <f>IFERROR(__xludf.DUMMYFUNCTION("""COMPUTED_VALUE"""),0.0)</f>
        <v>0</v>
      </c>
      <c r="Q106" s="104" t="s">
        <v>18264</v>
      </c>
    </row>
    <row r="107" hidden="1">
      <c r="K107" s="123"/>
      <c r="L107" s="124"/>
      <c r="M107" s="62">
        <f t="shared" si="1"/>
        <v>44682.66667</v>
      </c>
      <c r="N107">
        <v>0.0</v>
      </c>
      <c r="O107">
        <f>IFERROR(__xludf.DUMMYFUNCTION("""COMPUTED_VALUE"""),0.0)</f>
        <v>0</v>
      </c>
      <c r="Q107" s="104" t="s">
        <v>18264</v>
      </c>
    </row>
    <row r="108" hidden="1">
      <c r="K108" s="123"/>
      <c r="L108" s="124"/>
      <c r="M108" s="62">
        <f t="shared" si="1"/>
        <v>44682.6875</v>
      </c>
      <c r="N108">
        <v>0.0</v>
      </c>
      <c r="O108">
        <f>IFERROR(__xludf.DUMMYFUNCTION("""COMPUTED_VALUE"""),0.0)</f>
        <v>0</v>
      </c>
      <c r="Q108" s="104" t="s">
        <v>18264</v>
      </c>
    </row>
    <row r="109" hidden="1">
      <c r="K109" s="123"/>
      <c r="L109" s="124"/>
      <c r="M109" s="62">
        <f t="shared" si="1"/>
        <v>44682.70833</v>
      </c>
      <c r="N109">
        <v>0.0</v>
      </c>
      <c r="O109">
        <f>IFERROR(__xludf.DUMMYFUNCTION("""COMPUTED_VALUE"""),0.0)</f>
        <v>0</v>
      </c>
      <c r="Q109" s="104" t="s">
        <v>18264</v>
      </c>
    </row>
    <row r="110" hidden="1">
      <c r="K110" s="123"/>
      <c r="L110" s="124"/>
      <c r="M110" s="62">
        <f t="shared" si="1"/>
        <v>44682.72917</v>
      </c>
      <c r="N110">
        <v>0.0</v>
      </c>
      <c r="O110">
        <f>IFERROR(__xludf.DUMMYFUNCTION("""COMPUTED_VALUE"""),0.0)</f>
        <v>0</v>
      </c>
      <c r="Q110" s="104" t="s">
        <v>18264</v>
      </c>
    </row>
    <row r="111" hidden="1">
      <c r="K111" s="123"/>
      <c r="L111" s="124"/>
      <c r="M111" s="62">
        <f t="shared" si="1"/>
        <v>44682.75</v>
      </c>
      <c r="N111">
        <v>0.0</v>
      </c>
      <c r="O111">
        <f>IFERROR(__xludf.DUMMYFUNCTION("""COMPUTED_VALUE"""),0.0)</f>
        <v>0</v>
      </c>
      <c r="Q111" s="104" t="s">
        <v>18264</v>
      </c>
    </row>
    <row r="112" hidden="1">
      <c r="K112" s="123"/>
      <c r="L112" s="124"/>
      <c r="M112" s="62">
        <f t="shared" si="1"/>
        <v>44682.77083</v>
      </c>
      <c r="N112">
        <v>0.0</v>
      </c>
      <c r="O112">
        <f>IFERROR(__xludf.DUMMYFUNCTION("""COMPUTED_VALUE"""),0.0)</f>
        <v>0</v>
      </c>
      <c r="Q112" s="104" t="s">
        <v>18264</v>
      </c>
    </row>
    <row r="113" hidden="1">
      <c r="K113" s="123"/>
      <c r="L113" s="124"/>
      <c r="M113" s="62">
        <f t="shared" si="1"/>
        <v>44682.79167</v>
      </c>
      <c r="N113">
        <v>0.0</v>
      </c>
      <c r="O113">
        <f>IFERROR(__xludf.DUMMYFUNCTION("""COMPUTED_VALUE"""),0.0)</f>
        <v>0</v>
      </c>
      <c r="Q113" s="104" t="s">
        <v>18264</v>
      </c>
    </row>
    <row r="114" hidden="1">
      <c r="K114" s="123"/>
      <c r="L114" s="124"/>
      <c r="M114" s="62">
        <f t="shared" si="1"/>
        <v>44682.8125</v>
      </c>
      <c r="N114">
        <v>0.0</v>
      </c>
      <c r="O114">
        <f>IFERROR(__xludf.DUMMYFUNCTION("""COMPUTED_VALUE"""),0.0)</f>
        <v>0</v>
      </c>
      <c r="Q114" s="104" t="s">
        <v>18264</v>
      </c>
    </row>
    <row r="115" hidden="1">
      <c r="K115" s="123"/>
      <c r="L115" s="124"/>
      <c r="M115" s="62">
        <f t="shared" si="1"/>
        <v>44682.83333</v>
      </c>
      <c r="N115">
        <v>0.0</v>
      </c>
      <c r="O115">
        <f>IFERROR(__xludf.DUMMYFUNCTION("""COMPUTED_VALUE"""),0.0)</f>
        <v>0</v>
      </c>
      <c r="Q115" s="104" t="s">
        <v>18264</v>
      </c>
    </row>
    <row r="116" hidden="1">
      <c r="K116" s="123"/>
      <c r="L116" s="124"/>
      <c r="M116" s="62">
        <f t="shared" si="1"/>
        <v>44682.85417</v>
      </c>
      <c r="N116">
        <v>0.0</v>
      </c>
      <c r="O116">
        <f>IFERROR(__xludf.DUMMYFUNCTION("""COMPUTED_VALUE"""),0.0)</f>
        <v>0</v>
      </c>
      <c r="Q116" s="104" t="s">
        <v>18264</v>
      </c>
    </row>
    <row r="117" hidden="1">
      <c r="K117" s="123"/>
      <c r="L117" s="124"/>
      <c r="M117" s="62">
        <f t="shared" si="1"/>
        <v>44682.875</v>
      </c>
      <c r="N117">
        <v>0.0</v>
      </c>
      <c r="O117">
        <f>IFERROR(__xludf.DUMMYFUNCTION("""COMPUTED_VALUE"""),0.0)</f>
        <v>0</v>
      </c>
      <c r="Q117" s="104" t="s">
        <v>18264</v>
      </c>
    </row>
    <row r="118" hidden="1">
      <c r="K118" s="123"/>
      <c r="L118" s="124"/>
      <c r="M118" s="62">
        <f t="shared" si="1"/>
        <v>44682.89583</v>
      </c>
      <c r="N118">
        <v>0.0</v>
      </c>
      <c r="O118">
        <f>IFERROR(__xludf.DUMMYFUNCTION("""COMPUTED_VALUE"""),0.0)</f>
        <v>0</v>
      </c>
      <c r="Q118" s="104" t="s">
        <v>18264</v>
      </c>
    </row>
    <row r="119" hidden="1">
      <c r="K119" s="123"/>
      <c r="L119" s="124"/>
      <c r="M119" s="62">
        <f t="shared" si="1"/>
        <v>44682.91667</v>
      </c>
      <c r="N119">
        <v>0.0</v>
      </c>
      <c r="O119">
        <f>IFERROR(__xludf.DUMMYFUNCTION("""COMPUTED_VALUE"""),0.0)</f>
        <v>0</v>
      </c>
      <c r="Q119" s="104" t="s">
        <v>18264</v>
      </c>
    </row>
    <row r="120" hidden="1">
      <c r="K120" s="123"/>
      <c r="L120" s="124"/>
      <c r="M120" s="62">
        <f t="shared" si="1"/>
        <v>44682.9375</v>
      </c>
      <c r="N120">
        <v>0.0</v>
      </c>
      <c r="O120">
        <f>IFERROR(__xludf.DUMMYFUNCTION("""COMPUTED_VALUE"""),0.0)</f>
        <v>0</v>
      </c>
      <c r="Q120" s="104" t="s">
        <v>18264</v>
      </c>
    </row>
    <row r="121" hidden="1">
      <c r="K121" s="123"/>
      <c r="L121" s="124"/>
      <c r="M121" s="62">
        <f t="shared" si="1"/>
        <v>44682.95833</v>
      </c>
      <c r="N121">
        <v>120.0</v>
      </c>
      <c r="O121">
        <f>IFERROR(__xludf.DUMMYFUNCTION("""COMPUTED_VALUE"""),9.0)</f>
        <v>9</v>
      </c>
      <c r="Q121" s="104" t="s">
        <v>18264</v>
      </c>
    </row>
    <row r="122" hidden="1">
      <c r="K122" s="123"/>
      <c r="L122" s="124"/>
      <c r="M122" s="62">
        <f t="shared" si="1"/>
        <v>44682.97917</v>
      </c>
      <c r="N122">
        <v>165.0</v>
      </c>
      <c r="O122">
        <f>IFERROR(__xludf.DUMMYFUNCTION("""COMPUTED_VALUE"""),6.0)</f>
        <v>6</v>
      </c>
      <c r="Q122" s="104" t="s">
        <v>18264</v>
      </c>
    </row>
    <row r="123" hidden="1">
      <c r="K123" s="123"/>
      <c r="L123" s="124"/>
      <c r="M123" s="62">
        <f t="shared" si="1"/>
        <v>44683</v>
      </c>
      <c r="N123">
        <v>109.0</v>
      </c>
      <c r="O123">
        <f>IFERROR(__xludf.DUMMYFUNCTION("""COMPUTED_VALUE"""),6.0)</f>
        <v>6</v>
      </c>
      <c r="Q123" s="104" t="s">
        <v>18264</v>
      </c>
    </row>
    <row r="124" hidden="1">
      <c r="K124" s="123"/>
      <c r="L124" s="124"/>
      <c r="M124" s="62">
        <f t="shared" si="1"/>
        <v>44683.02083</v>
      </c>
      <c r="N124">
        <v>93.0</v>
      </c>
      <c r="O124">
        <f>IFERROR(__xludf.DUMMYFUNCTION("""COMPUTED_VALUE"""),2.0)</f>
        <v>2</v>
      </c>
      <c r="Q124" s="104" t="s">
        <v>18264</v>
      </c>
    </row>
    <row r="125" hidden="1">
      <c r="K125" s="123"/>
      <c r="L125" s="124"/>
      <c r="M125" s="62">
        <f t="shared" si="1"/>
        <v>44683.04167</v>
      </c>
      <c r="N125">
        <v>80.0</v>
      </c>
      <c r="O125">
        <f>IFERROR(__xludf.DUMMYFUNCTION("""COMPUTED_VALUE"""),6.0)</f>
        <v>6</v>
      </c>
      <c r="Q125" s="104" t="s">
        <v>18264</v>
      </c>
    </row>
    <row r="126" hidden="1">
      <c r="K126" s="123"/>
      <c r="L126" s="124"/>
      <c r="M126" s="62">
        <f t="shared" si="1"/>
        <v>44683.0625</v>
      </c>
      <c r="N126">
        <v>61.0</v>
      </c>
      <c r="O126">
        <f>IFERROR(__xludf.DUMMYFUNCTION("""COMPUTED_VALUE"""),1.0)</f>
        <v>1</v>
      </c>
      <c r="Q126" s="104" t="s">
        <v>18264</v>
      </c>
    </row>
    <row r="127" hidden="1">
      <c r="K127" s="123"/>
      <c r="L127" s="124"/>
      <c r="M127" s="62">
        <f t="shared" si="1"/>
        <v>44683.08333</v>
      </c>
      <c r="N127">
        <v>35.0</v>
      </c>
      <c r="O127">
        <f>IFERROR(__xludf.DUMMYFUNCTION("""COMPUTED_VALUE"""),1.0)</f>
        <v>1</v>
      </c>
      <c r="Q127" s="104" t="s">
        <v>18264</v>
      </c>
    </row>
    <row r="128" hidden="1">
      <c r="K128" s="123"/>
      <c r="L128" s="124"/>
      <c r="M128" s="62">
        <f t="shared" si="1"/>
        <v>44683.10417</v>
      </c>
      <c r="N128">
        <v>27.0</v>
      </c>
      <c r="O128">
        <f>IFERROR(__xludf.DUMMYFUNCTION("""COMPUTED_VALUE"""),1.0)</f>
        <v>1</v>
      </c>
      <c r="Q128" s="104" t="s">
        <v>18264</v>
      </c>
    </row>
    <row r="129" hidden="1">
      <c r="K129" s="123"/>
      <c r="L129" s="124"/>
      <c r="M129" s="62">
        <f t="shared" si="1"/>
        <v>44683.125</v>
      </c>
      <c r="N129">
        <v>33.0</v>
      </c>
      <c r="O129">
        <f>IFERROR(__xludf.DUMMYFUNCTION("""COMPUTED_VALUE"""),1.0)</f>
        <v>1</v>
      </c>
      <c r="Q129" s="104" t="s">
        <v>18264</v>
      </c>
    </row>
    <row r="130" hidden="1">
      <c r="K130" s="123"/>
      <c r="L130" s="124"/>
      <c r="M130" s="62">
        <f t="shared" si="1"/>
        <v>44683.14583</v>
      </c>
      <c r="N130">
        <v>18.0</v>
      </c>
      <c r="O130">
        <f>IFERROR(__xludf.DUMMYFUNCTION("""COMPUTED_VALUE"""),2.0)</f>
        <v>2</v>
      </c>
      <c r="Q130" s="104" t="s">
        <v>18264</v>
      </c>
    </row>
    <row r="131" hidden="1">
      <c r="K131" s="123"/>
      <c r="L131" s="124"/>
      <c r="M131" s="62">
        <f t="shared" si="1"/>
        <v>44683.16667</v>
      </c>
      <c r="N131">
        <v>13.0</v>
      </c>
      <c r="O131">
        <f>IFERROR(__xludf.DUMMYFUNCTION("""COMPUTED_VALUE"""),1.0)</f>
        <v>1</v>
      </c>
      <c r="Q131" s="104" t="s">
        <v>18264</v>
      </c>
    </row>
    <row r="132" hidden="1">
      <c r="K132" s="123"/>
      <c r="L132" s="124"/>
      <c r="M132" s="62">
        <f t="shared" si="1"/>
        <v>44683.1875</v>
      </c>
      <c r="N132">
        <v>38.0</v>
      </c>
      <c r="O132">
        <f>IFERROR(__xludf.DUMMYFUNCTION("""COMPUTED_VALUE"""),2.0)</f>
        <v>2</v>
      </c>
      <c r="Q132" s="104" t="s">
        <v>18264</v>
      </c>
    </row>
    <row r="133" hidden="1">
      <c r="K133" s="123"/>
      <c r="L133" s="124"/>
      <c r="M133" s="62">
        <f t="shared" si="1"/>
        <v>44683.20833</v>
      </c>
      <c r="N133">
        <v>26.0</v>
      </c>
      <c r="O133">
        <f>IFERROR(__xludf.DUMMYFUNCTION("""COMPUTED_VALUE"""),7.0)</f>
        <v>7</v>
      </c>
      <c r="Q133" s="104" t="s">
        <v>18264</v>
      </c>
    </row>
    <row r="134" hidden="1">
      <c r="K134" s="123"/>
      <c r="L134" s="124"/>
      <c r="M134" s="62">
        <f t="shared" si="1"/>
        <v>44683.22917</v>
      </c>
      <c r="N134">
        <v>50.0</v>
      </c>
      <c r="O134">
        <f>IFERROR(__xludf.DUMMYFUNCTION("""COMPUTED_VALUE"""),2.0)</f>
        <v>2</v>
      </c>
      <c r="Q134" s="104" t="s">
        <v>18264</v>
      </c>
    </row>
    <row r="135" hidden="1">
      <c r="K135" s="123"/>
      <c r="L135" s="124"/>
      <c r="M135" s="62">
        <f t="shared" si="1"/>
        <v>44683.25</v>
      </c>
      <c r="N135">
        <v>53.0</v>
      </c>
      <c r="O135">
        <f>IFERROR(__xludf.DUMMYFUNCTION("""COMPUTED_VALUE"""),1.0)</f>
        <v>1</v>
      </c>
      <c r="Q135" s="104" t="s">
        <v>18264</v>
      </c>
    </row>
    <row r="136" hidden="1">
      <c r="K136" s="123"/>
      <c r="L136" s="124"/>
      <c r="M136" s="62">
        <f t="shared" si="1"/>
        <v>44683.27083</v>
      </c>
      <c r="N136">
        <v>86.0</v>
      </c>
      <c r="O136">
        <f>IFERROR(__xludf.DUMMYFUNCTION("""COMPUTED_VALUE"""),8.0)</f>
        <v>8</v>
      </c>
      <c r="Q136" s="104" t="s">
        <v>18264</v>
      </c>
    </row>
    <row r="137" hidden="1">
      <c r="K137" s="123"/>
      <c r="L137" s="124"/>
      <c r="M137" s="62">
        <f t="shared" si="1"/>
        <v>44683.29167</v>
      </c>
      <c r="N137">
        <v>139.0</v>
      </c>
      <c r="O137">
        <f>IFERROR(__xludf.DUMMYFUNCTION("""COMPUTED_VALUE"""),16.0)</f>
        <v>16</v>
      </c>
      <c r="Q137" s="104" t="s">
        <v>18264</v>
      </c>
    </row>
    <row r="138" hidden="1">
      <c r="K138" s="123"/>
      <c r="L138" s="124"/>
      <c r="M138" s="62">
        <f t="shared" si="1"/>
        <v>44683.3125</v>
      </c>
      <c r="N138">
        <v>196.0</v>
      </c>
      <c r="O138">
        <f>IFERROR(__xludf.DUMMYFUNCTION("""COMPUTED_VALUE"""),14.0)</f>
        <v>14</v>
      </c>
      <c r="Q138" s="104" t="s">
        <v>18264</v>
      </c>
    </row>
    <row r="139" hidden="1">
      <c r="K139" s="123"/>
      <c r="L139" s="124"/>
      <c r="M139" s="62">
        <f t="shared" si="1"/>
        <v>44683.33333</v>
      </c>
      <c r="N139">
        <v>221.0</v>
      </c>
      <c r="O139">
        <f>IFERROR(__xludf.DUMMYFUNCTION("""COMPUTED_VALUE"""),13.0)</f>
        <v>13</v>
      </c>
      <c r="Q139" s="104" t="s">
        <v>18264</v>
      </c>
    </row>
    <row r="140" hidden="1">
      <c r="K140" s="123"/>
      <c r="L140" s="124"/>
      <c r="M140" s="62">
        <f t="shared" si="1"/>
        <v>44683.35417</v>
      </c>
      <c r="N140">
        <v>207.0</v>
      </c>
      <c r="O140">
        <f>IFERROR(__xludf.DUMMYFUNCTION("""COMPUTED_VALUE"""),11.0)</f>
        <v>11</v>
      </c>
      <c r="Q140" s="104" t="s">
        <v>18264</v>
      </c>
    </row>
    <row r="141" hidden="1">
      <c r="K141" s="123"/>
      <c r="L141" s="124"/>
      <c r="M141" s="62">
        <f t="shared" si="1"/>
        <v>44683.375</v>
      </c>
      <c r="N141">
        <v>220.0</v>
      </c>
      <c r="O141">
        <f>IFERROR(__xludf.DUMMYFUNCTION("""COMPUTED_VALUE"""),16.0)</f>
        <v>16</v>
      </c>
      <c r="Q141" s="104" t="s">
        <v>18264</v>
      </c>
    </row>
    <row r="142" hidden="1">
      <c r="K142" s="123"/>
      <c r="L142" s="124"/>
      <c r="M142" s="62">
        <f t="shared" si="1"/>
        <v>44683.39583</v>
      </c>
      <c r="N142">
        <v>215.0</v>
      </c>
      <c r="O142">
        <f>IFERROR(__xludf.DUMMYFUNCTION("""COMPUTED_VALUE"""),18.0)</f>
        <v>18</v>
      </c>
      <c r="Q142" s="104" t="s">
        <v>18264</v>
      </c>
    </row>
    <row r="143" hidden="1">
      <c r="K143" s="123"/>
      <c r="L143" s="124"/>
      <c r="M143" s="62">
        <f t="shared" si="1"/>
        <v>44683.41667</v>
      </c>
      <c r="N143">
        <v>216.0</v>
      </c>
      <c r="O143">
        <f>IFERROR(__xludf.DUMMYFUNCTION("""COMPUTED_VALUE"""),20.0)</f>
        <v>20</v>
      </c>
      <c r="Q143" s="104" t="s">
        <v>18264</v>
      </c>
    </row>
    <row r="144" hidden="1">
      <c r="K144" s="123"/>
      <c r="L144" s="124"/>
      <c r="M144" s="62">
        <f t="shared" si="1"/>
        <v>44683.4375</v>
      </c>
      <c r="N144">
        <v>209.0</v>
      </c>
      <c r="O144">
        <f>IFERROR(__xludf.DUMMYFUNCTION("""COMPUTED_VALUE"""),14.0)</f>
        <v>14</v>
      </c>
      <c r="Q144" s="104" t="s">
        <v>18264</v>
      </c>
    </row>
    <row r="145" hidden="1">
      <c r="K145" s="123"/>
      <c r="L145" s="124"/>
      <c r="M145" s="62">
        <f t="shared" si="1"/>
        <v>44683.45833</v>
      </c>
      <c r="N145">
        <v>223.0</v>
      </c>
      <c r="O145">
        <f>IFERROR(__xludf.DUMMYFUNCTION("""COMPUTED_VALUE"""),14.0)</f>
        <v>14</v>
      </c>
      <c r="Q145" s="104" t="s">
        <v>18264</v>
      </c>
    </row>
    <row r="146" hidden="1">
      <c r="K146" s="123"/>
      <c r="L146" s="124"/>
      <c r="M146" s="62">
        <f t="shared" si="1"/>
        <v>44683.47917</v>
      </c>
      <c r="N146">
        <v>154.0</v>
      </c>
      <c r="O146">
        <f>IFERROR(__xludf.DUMMYFUNCTION("""COMPUTED_VALUE"""),7.0)</f>
        <v>7</v>
      </c>
      <c r="Q146" s="104" t="s">
        <v>18264</v>
      </c>
    </row>
    <row r="147" hidden="1">
      <c r="K147" s="123"/>
      <c r="L147" s="124"/>
      <c r="M147" s="62">
        <f t="shared" si="1"/>
        <v>44683.5</v>
      </c>
      <c r="N147">
        <v>0.0</v>
      </c>
      <c r="O147">
        <f>IFERROR(__xludf.DUMMYFUNCTION("""COMPUTED_VALUE"""),0.0)</f>
        <v>0</v>
      </c>
      <c r="Q147" s="104" t="s">
        <v>18264</v>
      </c>
    </row>
    <row r="148" hidden="1">
      <c r="K148" s="123"/>
      <c r="L148" s="124"/>
      <c r="M148" s="62">
        <f t="shared" si="1"/>
        <v>44683.52083</v>
      </c>
      <c r="N148">
        <v>0.0</v>
      </c>
      <c r="O148">
        <f>IFERROR(__xludf.DUMMYFUNCTION("""COMPUTED_VALUE"""),0.0)</f>
        <v>0</v>
      </c>
      <c r="Q148" s="104" t="s">
        <v>18264</v>
      </c>
    </row>
    <row r="149" hidden="1">
      <c r="K149" s="123"/>
      <c r="L149" s="124"/>
      <c r="M149" s="103"/>
      <c r="N149">
        <v>0.0</v>
      </c>
      <c r="O149">
        <f>IFERROR(__xludf.DUMMYFUNCTION("""COMPUTED_VALUE"""),0.0)</f>
        <v>0</v>
      </c>
      <c r="Q149" s="104" t="s">
        <v>18264</v>
      </c>
    </row>
    <row r="150" hidden="1">
      <c r="K150" s="123"/>
      <c r="L150" s="124"/>
      <c r="M150" s="103"/>
      <c r="Q150" s="104" t="s">
        <v>18264</v>
      </c>
    </row>
    <row r="151" hidden="1">
      <c r="K151" s="129"/>
      <c r="M151" s="103"/>
      <c r="Q151" s="104" t="s">
        <v>18264</v>
      </c>
    </row>
    <row r="152" hidden="1">
      <c r="K152" s="129"/>
      <c r="M152" s="103"/>
      <c r="Q152" s="104" t="s">
        <v>18264</v>
      </c>
    </row>
    <row r="153" hidden="1">
      <c r="K153" s="129"/>
      <c r="M153" s="103"/>
      <c r="Q153" s="104" t="s">
        <v>18264</v>
      </c>
    </row>
    <row r="154" hidden="1">
      <c r="K154" s="129"/>
      <c r="M154" s="103"/>
      <c r="Q154" s="104" t="s">
        <v>18264</v>
      </c>
    </row>
    <row r="155" hidden="1">
      <c r="K155" s="129"/>
      <c r="M155" s="103"/>
      <c r="Q155" s="104" t="s">
        <v>18264</v>
      </c>
    </row>
    <row r="156" hidden="1">
      <c r="K156" s="129"/>
      <c r="M156" s="103"/>
      <c r="Q156" s="104" t="s">
        <v>18264</v>
      </c>
    </row>
    <row r="157" hidden="1">
      <c r="K157" s="129"/>
      <c r="M157" s="103"/>
      <c r="Q157" s="104" t="s">
        <v>18264</v>
      </c>
    </row>
    <row r="158" hidden="1">
      <c r="K158" s="129"/>
      <c r="M158" s="103"/>
      <c r="Q158" s="104" t="s">
        <v>18264</v>
      </c>
    </row>
    <row r="159" hidden="1">
      <c r="K159" s="129"/>
      <c r="M159" s="103"/>
      <c r="Q159" s="104" t="s">
        <v>18264</v>
      </c>
    </row>
    <row r="160" hidden="1">
      <c r="K160" s="129"/>
      <c r="M160" s="103"/>
      <c r="Q160" s="104" t="s">
        <v>18264</v>
      </c>
    </row>
    <row r="161" hidden="1">
      <c r="K161" s="129"/>
      <c r="M161" s="103"/>
      <c r="Q161" s="104" t="s">
        <v>18264</v>
      </c>
    </row>
    <row r="162" hidden="1">
      <c r="K162" s="129"/>
      <c r="M162" s="103"/>
      <c r="Q162" s="104" t="s">
        <v>18264</v>
      </c>
    </row>
    <row r="163" hidden="1">
      <c r="K163" s="129"/>
      <c r="M163" s="103"/>
      <c r="Q163" s="104" t="s">
        <v>18264</v>
      </c>
    </row>
    <row r="164" hidden="1">
      <c r="K164" s="129"/>
      <c r="M164" s="103"/>
      <c r="Q164" s="104" t="s">
        <v>18264</v>
      </c>
    </row>
    <row r="165" hidden="1">
      <c r="K165" s="129"/>
      <c r="M165" s="103"/>
      <c r="Q165" s="104" t="s">
        <v>18264</v>
      </c>
    </row>
    <row r="166" hidden="1">
      <c r="K166" s="129"/>
      <c r="M166" s="103"/>
      <c r="Q166" s="104" t="s">
        <v>18264</v>
      </c>
    </row>
    <row r="167" hidden="1">
      <c r="K167" s="129"/>
      <c r="M167" s="103"/>
      <c r="Q167" s="104" t="s">
        <v>18264</v>
      </c>
    </row>
    <row r="168" hidden="1">
      <c r="K168" s="129"/>
      <c r="M168" s="103"/>
      <c r="Q168" s="104" t="s">
        <v>18264</v>
      </c>
    </row>
    <row r="169" hidden="1">
      <c r="K169" s="129"/>
      <c r="M169" s="103"/>
      <c r="Q169" s="104" t="s">
        <v>18264</v>
      </c>
    </row>
    <row r="170" hidden="1">
      <c r="K170" s="129"/>
      <c r="M170" s="103"/>
      <c r="Q170" s="104" t="s">
        <v>18264</v>
      </c>
    </row>
    <row r="171" hidden="1">
      <c r="K171" s="129"/>
      <c r="M171" s="103"/>
      <c r="Q171" s="104" t="s">
        <v>18264</v>
      </c>
    </row>
    <row r="172" hidden="1">
      <c r="K172" s="129"/>
      <c r="M172" s="103"/>
      <c r="Q172" s="104" t="s">
        <v>18264</v>
      </c>
    </row>
    <row r="173" hidden="1">
      <c r="K173" s="129"/>
      <c r="M173" s="103"/>
      <c r="Q173" s="104" t="s">
        <v>18264</v>
      </c>
    </row>
    <row r="174" hidden="1">
      <c r="K174" s="129"/>
      <c r="M174" s="103"/>
      <c r="Q174" s="104" t="s">
        <v>18264</v>
      </c>
    </row>
    <row r="175" hidden="1">
      <c r="K175" s="129"/>
      <c r="M175" s="103"/>
      <c r="Q175" s="104" t="s">
        <v>18264</v>
      </c>
    </row>
    <row r="176" hidden="1">
      <c r="K176" s="129"/>
      <c r="M176" s="103"/>
      <c r="Q176" s="104" t="s">
        <v>18264</v>
      </c>
    </row>
    <row r="177" hidden="1">
      <c r="K177" s="129"/>
      <c r="M177" s="103"/>
      <c r="Q177" s="104" t="s">
        <v>18264</v>
      </c>
    </row>
    <row r="178" hidden="1">
      <c r="K178" s="129"/>
      <c r="M178" s="103"/>
      <c r="Q178" s="104" t="s">
        <v>18264</v>
      </c>
    </row>
    <row r="179" hidden="1">
      <c r="K179" s="129"/>
      <c r="M179" s="103"/>
      <c r="Q179" s="104" t="s">
        <v>18264</v>
      </c>
    </row>
    <row r="180" hidden="1">
      <c r="K180" s="129"/>
      <c r="M180" s="103"/>
      <c r="Q180" s="104" t="s">
        <v>18264</v>
      </c>
    </row>
    <row r="181" hidden="1">
      <c r="K181" s="129"/>
      <c r="M181" s="103"/>
      <c r="Q181" s="104" t="s">
        <v>18264</v>
      </c>
    </row>
    <row r="182" hidden="1">
      <c r="K182" s="129"/>
      <c r="M182" s="103"/>
      <c r="Q182" s="104" t="s">
        <v>18264</v>
      </c>
    </row>
    <row r="183" hidden="1">
      <c r="K183" s="129"/>
      <c r="M183" s="103"/>
      <c r="Q183" s="104" t="s">
        <v>18264</v>
      </c>
    </row>
    <row r="184" hidden="1">
      <c r="K184" s="129"/>
      <c r="M184" s="103"/>
      <c r="Q184" s="104" t="s">
        <v>18264</v>
      </c>
    </row>
    <row r="185" hidden="1">
      <c r="K185" s="129"/>
      <c r="M185" s="103"/>
      <c r="Q185" s="104" t="s">
        <v>18264</v>
      </c>
    </row>
    <row r="186" hidden="1">
      <c r="K186" s="129"/>
      <c r="M186" s="103"/>
      <c r="Q186" s="104" t="s">
        <v>18264</v>
      </c>
    </row>
    <row r="187" hidden="1">
      <c r="K187" s="129"/>
      <c r="M187" s="103"/>
      <c r="Q187" s="104" t="s">
        <v>18264</v>
      </c>
    </row>
    <row r="188" hidden="1">
      <c r="K188" s="129"/>
      <c r="M188" s="103"/>
      <c r="Q188" s="104" t="s">
        <v>18264</v>
      </c>
    </row>
    <row r="189" hidden="1">
      <c r="K189" s="129"/>
      <c r="M189" s="103"/>
      <c r="Q189" s="104" t="s">
        <v>18264</v>
      </c>
    </row>
    <row r="190" hidden="1">
      <c r="K190" s="129"/>
      <c r="M190" s="103"/>
      <c r="Q190" s="104" t="s">
        <v>18264</v>
      </c>
    </row>
    <row r="191" hidden="1">
      <c r="K191" s="129"/>
      <c r="M191" s="103"/>
      <c r="Q191" s="104" t="s">
        <v>18264</v>
      </c>
    </row>
    <row r="192" hidden="1">
      <c r="K192" s="129"/>
      <c r="M192" s="103"/>
      <c r="Q192" s="104" t="s">
        <v>18264</v>
      </c>
    </row>
    <row r="193" hidden="1">
      <c r="K193" s="129"/>
      <c r="M193" s="103"/>
      <c r="Q193" s="104" t="s">
        <v>18264</v>
      </c>
    </row>
    <row r="194" hidden="1">
      <c r="K194" s="129"/>
      <c r="M194" s="103"/>
      <c r="Q194" s="104" t="s">
        <v>18264</v>
      </c>
    </row>
    <row r="195" hidden="1">
      <c r="K195" s="129"/>
      <c r="M195" s="103"/>
      <c r="Q195" s="104" t="s">
        <v>18264</v>
      </c>
    </row>
    <row r="196" hidden="1">
      <c r="K196" s="129"/>
      <c r="M196" s="103"/>
      <c r="Q196" s="104" t="s">
        <v>18264</v>
      </c>
    </row>
    <row r="197" hidden="1">
      <c r="K197" s="129"/>
      <c r="M197" s="103"/>
      <c r="Q197" s="104" t="s">
        <v>18264</v>
      </c>
    </row>
    <row r="198" hidden="1">
      <c r="K198" s="129"/>
      <c r="M198" s="103"/>
      <c r="Q198" s="104" t="s">
        <v>18264</v>
      </c>
    </row>
    <row r="199" hidden="1">
      <c r="K199" s="129"/>
      <c r="M199" s="103"/>
      <c r="Q199" s="104" t="s">
        <v>18264</v>
      </c>
    </row>
    <row r="200" hidden="1">
      <c r="K200" s="129"/>
      <c r="M200" s="103"/>
      <c r="Q200" s="104" t="s">
        <v>18264</v>
      </c>
    </row>
    <row r="201" hidden="1">
      <c r="K201" s="129"/>
      <c r="M201" s="103"/>
      <c r="Q201" s="104" t="s">
        <v>18264</v>
      </c>
    </row>
    <row r="202" hidden="1">
      <c r="K202" s="129"/>
      <c r="M202" s="103"/>
      <c r="Q202" s="104" t="s">
        <v>18264</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2"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drawing r:id="rId1"/>
</worksheet>
</file>