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24年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'24年'!$A$1:$AR$2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<sst xmlns="http://schemas.openxmlformats.org/spreadsheetml/2006/main" count="74" uniqueCount="34">
  <si>
    <t>日期</t>
  </si>
  <si>
    <t>中推</t>
  </si>
  <si>
    <t>中推（一元)</t>
  </si>
  <si>
    <t>中推（团购)</t>
  </si>
  <si>
    <t>香薰</t>
  </si>
  <si>
    <t>香薰（团购)</t>
  </si>
  <si>
    <t>乳腺</t>
  </si>
  <si>
    <t>五行灸</t>
  </si>
  <si>
    <t>脊柱/398</t>
  </si>
  <si>
    <t>艾灸</t>
  </si>
  <si>
    <t>火、刮痧</t>
  </si>
  <si>
    <t>团火、刮痧</t>
  </si>
  <si>
    <t>腹推</t>
  </si>
  <si>
    <t>减肥/近视</t>
  </si>
  <si>
    <t>淋巴</t>
  </si>
  <si>
    <t>平衡罐</t>
  </si>
  <si>
    <t>A</t>
  </si>
  <si>
    <t>C</t>
  </si>
  <si>
    <t>团艾59</t>
  </si>
  <si>
    <t>团香薰（45分）</t>
  </si>
  <si>
    <t>会员卡</t>
  </si>
  <si>
    <t>数量</t>
  </si>
  <si>
    <t>金额</t>
  </si>
  <si>
    <t>新客</t>
  </si>
  <si>
    <t>合计</t>
  </si>
  <si>
    <t xml:space="preserve">  </t>
  </si>
  <si>
    <t xml:space="preserve"> </t>
  </si>
  <si>
    <t>团购业绩</t>
  </si>
  <si>
    <t>总金额</t>
  </si>
  <si>
    <t>29号于艳楠8.5个中推 李蕴达14个中推未消费</t>
  </si>
  <si>
    <t>艾灸总数</t>
  </si>
  <si>
    <t>团购提成</t>
  </si>
  <si>
    <t>推拿艾灸</t>
  </si>
  <si>
    <t>29号团C少1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</si>
</sst>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58" fontId="1" fillId="4" borderId="5" xfId="0" applyNumberFormat="1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58" fontId="1" fillId="6" borderId="5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DF3A6"/>
      <color rgb="00A3F6A7"/>
      <color rgb="005FC0C1"/>
      <color rgb="00B4C2DE"/>
      <color rgb="00A4B0EF"/>
      <color rgb="0056CA5E"/>
      <color rgb="0069B799"/>
      <color rgb="002A385D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3829;&#19994;&#25910;&#20837;\&#20219;&#21307;&#29983;&#20013;&#21307;&#39302;\2024\1\&#20013;&#33647;&#30331;&#357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3829;&#19994;&#25910;&#20837;\&#20219;&#21307;&#29983;&#20013;&#21307;&#39302;\2024\1\1&#26376;&#21307;&#29983;&#27835;&#30103;&#19994;&#324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  <sheetName val="Sheet2"/>
      <sheetName val="Sheet4"/>
    </sheetNames>
    <sheetDataSet>
      <sheetData sheetId="0"/>
      <sheetData sheetId="1">
        <row r="34">
          <cell r="F34">
            <v>490</v>
          </cell>
          <cell r="G34">
            <v>486633.22</v>
          </cell>
        </row>
        <row r="34">
          <cell r="W34">
            <v>170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刘医生"/>
      <sheetName val="任医生"/>
      <sheetName val="Sheet2"/>
      <sheetName val="曾国光"/>
      <sheetName val="刚医生"/>
      <sheetName val="邢医生"/>
      <sheetName val="严医生"/>
      <sheetName val="曾"/>
      <sheetName val="Sheet1"/>
    </sheetNames>
    <sheetDataSet>
      <sheetData sheetId="0"/>
      <sheetData sheetId="1">
        <row r="37">
          <cell r="J37">
            <v>113077.94</v>
          </cell>
          <cell r="K37">
            <v>43000</v>
          </cell>
        </row>
        <row r="37">
          <cell r="Z37">
            <v>11248.14</v>
          </cell>
          <cell r="AA37">
            <v>540</v>
          </cell>
        </row>
      </sheetData>
      <sheetData sheetId="2">
        <row r="28">
          <cell r="J28">
            <v>3607.5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76"/>
  <sheetViews>
    <sheetView tabSelected="1" workbookViewId="0">
      <pane xSplit="2" ySplit="2" topLeftCell="AB54" activePane="bottomRight" state="frozen"/>
      <selection/>
      <selection pane="topRight"/>
      <selection pane="bottomLeft"/>
      <selection pane="bottomRight" activeCell="AT5" sqref="AT5"/>
    </sheetView>
  </sheetViews>
  <sheetFormatPr defaultColWidth="9" defaultRowHeight="28" customHeight="1"/>
  <cols>
    <col min="1" max="1" width="9" style="1"/>
    <col min="2" max="2" width="9.5" style="3" customWidth="1"/>
    <col min="3" max="3" width="11.75" style="3" customWidth="1"/>
    <col min="4" max="4" width="9" style="3"/>
    <col min="5" max="5" width="12.125" style="3" customWidth="1"/>
    <col min="6" max="6" width="9" style="3"/>
    <col min="7" max="7" width="12.125" style="3" customWidth="1"/>
    <col min="8" max="10" width="9" style="3"/>
    <col min="11" max="11" width="10.875" style="3" customWidth="1"/>
    <col min="12" max="12" width="9" style="3"/>
    <col min="13" max="13" width="9.5" style="3" customWidth="1"/>
    <col min="14" max="22" width="9" style="3"/>
    <col min="23" max="23" width="9.375" style="3"/>
    <col min="24" max="24" width="9" style="3"/>
    <col min="25" max="25" width="8.25" style="3" customWidth="1"/>
    <col min="26" max="26" width="10.5" style="3" customWidth="1"/>
    <col min="27" max="28" width="9" style="3"/>
    <col min="29" max="29" width="12.625" style="3"/>
    <col min="30" max="43" width="9" style="3"/>
    <col min="44" max="44" width="10.375" style="3" customWidth="1"/>
    <col min="45" max="45" width="9" style="3"/>
    <col min="46" max="47" width="11.5" style="3"/>
    <col min="48" max="16384" width="9" style="3"/>
  </cols>
  <sheetData>
    <row r="1" s="1" customFormat="1" customHeight="1" spans="1:47">
      <c r="A1" s="4" t="s">
        <v>0</v>
      </c>
      <c r="B1" s="5" t="s">
        <v>1</v>
      </c>
      <c r="C1" s="6"/>
      <c r="D1" s="7" t="s">
        <v>2</v>
      </c>
      <c r="E1" s="7"/>
      <c r="F1" s="8" t="s">
        <v>3</v>
      </c>
      <c r="G1" s="9"/>
      <c r="H1" s="9"/>
      <c r="I1" s="21"/>
      <c r="J1" s="5" t="s">
        <v>4</v>
      </c>
      <c r="K1" s="6"/>
      <c r="L1" s="22" t="s">
        <v>5</v>
      </c>
      <c r="M1" s="23"/>
      <c r="N1" s="23"/>
      <c r="O1" s="24"/>
      <c r="P1" s="5" t="s">
        <v>6</v>
      </c>
      <c r="Q1" s="6"/>
      <c r="R1" s="5" t="s">
        <v>7</v>
      </c>
      <c r="S1" s="6"/>
      <c r="T1" s="5" t="s">
        <v>8</v>
      </c>
      <c r="U1" s="6"/>
      <c r="V1" s="5" t="s">
        <v>9</v>
      </c>
      <c r="W1" s="6"/>
      <c r="X1" s="5" t="s">
        <v>10</v>
      </c>
      <c r="Y1" s="6"/>
      <c r="Z1" s="5" t="s">
        <v>11</v>
      </c>
      <c r="AA1" s="6"/>
      <c r="AB1" s="5" t="s">
        <v>12</v>
      </c>
      <c r="AC1" s="6"/>
      <c r="AD1" s="6" t="s">
        <v>13</v>
      </c>
      <c r="AE1" s="26"/>
      <c r="AF1" s="5" t="s">
        <v>14</v>
      </c>
      <c r="AG1" s="6"/>
      <c r="AH1" s="5" t="s">
        <v>15</v>
      </c>
      <c r="AI1" s="6"/>
      <c r="AJ1" s="5" t="s">
        <v>16</v>
      </c>
      <c r="AK1" s="6"/>
      <c r="AL1" s="5" t="s">
        <v>17</v>
      </c>
      <c r="AM1" s="6"/>
      <c r="AN1" s="5" t="s">
        <v>18</v>
      </c>
      <c r="AO1" s="6"/>
      <c r="AP1" s="28" t="s">
        <v>19</v>
      </c>
      <c r="AQ1" s="28"/>
      <c r="AR1" s="29" t="s">
        <v>20</v>
      </c>
      <c r="AS1" s="30"/>
      <c r="AT1" s="31"/>
      <c r="AU1" s="31"/>
    </row>
    <row r="2" s="1" customFormat="1" customHeight="1" spans="1:47">
      <c r="A2" s="10"/>
      <c r="B2" s="11" t="s">
        <v>21</v>
      </c>
      <c r="C2" s="11" t="s">
        <v>22</v>
      </c>
      <c r="D2" s="12" t="s">
        <v>21</v>
      </c>
      <c r="E2" s="12" t="s">
        <v>22</v>
      </c>
      <c r="F2" s="12" t="s">
        <v>21</v>
      </c>
      <c r="G2" s="12" t="s">
        <v>22</v>
      </c>
      <c r="H2" s="11" t="s">
        <v>23</v>
      </c>
      <c r="I2" s="11" t="s">
        <v>22</v>
      </c>
      <c r="J2" s="11" t="s">
        <v>21</v>
      </c>
      <c r="K2" s="11" t="s">
        <v>22</v>
      </c>
      <c r="L2" s="11" t="s">
        <v>21</v>
      </c>
      <c r="M2" s="11" t="s">
        <v>22</v>
      </c>
      <c r="N2" s="11" t="s">
        <v>23</v>
      </c>
      <c r="O2" s="11" t="s">
        <v>22</v>
      </c>
      <c r="P2" s="11" t="s">
        <v>21</v>
      </c>
      <c r="Q2" s="11" t="s">
        <v>22</v>
      </c>
      <c r="R2" s="11" t="s">
        <v>21</v>
      </c>
      <c r="S2" s="11" t="s">
        <v>22</v>
      </c>
      <c r="T2" s="11" t="s">
        <v>21</v>
      </c>
      <c r="U2" s="11" t="s">
        <v>22</v>
      </c>
      <c r="V2" s="11" t="s">
        <v>21</v>
      </c>
      <c r="W2" s="11" t="s">
        <v>22</v>
      </c>
      <c r="X2" s="11" t="s">
        <v>21</v>
      </c>
      <c r="Y2" s="11" t="s">
        <v>22</v>
      </c>
      <c r="Z2" s="11" t="s">
        <v>21</v>
      </c>
      <c r="AA2" s="11" t="s">
        <v>22</v>
      </c>
      <c r="AB2" s="11" t="s">
        <v>21</v>
      </c>
      <c r="AC2" s="27" t="s">
        <v>22</v>
      </c>
      <c r="AD2" s="11" t="s">
        <v>21</v>
      </c>
      <c r="AE2" s="11" t="s">
        <v>22</v>
      </c>
      <c r="AF2" s="11" t="s">
        <v>21</v>
      </c>
      <c r="AG2" s="11" t="s">
        <v>22</v>
      </c>
      <c r="AH2" s="11" t="s">
        <v>21</v>
      </c>
      <c r="AI2" s="11" t="s">
        <v>22</v>
      </c>
      <c r="AJ2" s="11" t="s">
        <v>21</v>
      </c>
      <c r="AK2" s="11" t="s">
        <v>22</v>
      </c>
      <c r="AL2" s="11" t="s">
        <v>21</v>
      </c>
      <c r="AM2" s="11" t="s">
        <v>22</v>
      </c>
      <c r="AN2" s="11" t="s">
        <v>21</v>
      </c>
      <c r="AO2" s="11" t="s">
        <v>22</v>
      </c>
      <c r="AP2" s="28" t="s">
        <v>21</v>
      </c>
      <c r="AQ2" s="28" t="s">
        <v>22</v>
      </c>
      <c r="AR2" s="28"/>
      <c r="AS2" s="32"/>
      <c r="AT2" s="31"/>
      <c r="AU2" s="31"/>
    </row>
    <row r="3" s="2" customFormat="1" customHeight="1" spans="1:47">
      <c r="A3" s="13"/>
      <c r="B3" s="14"/>
      <c r="C3" s="15"/>
      <c r="D3" s="14"/>
      <c r="E3" s="15"/>
      <c r="F3" s="14"/>
      <c r="G3" s="15"/>
      <c r="H3" s="16"/>
      <c r="I3" s="15"/>
      <c r="J3" s="14"/>
      <c r="K3" s="15"/>
      <c r="L3" s="14"/>
      <c r="M3" s="15"/>
      <c r="N3" s="16"/>
      <c r="O3" s="15"/>
      <c r="P3" s="14"/>
      <c r="Q3" s="15"/>
      <c r="R3" s="14"/>
      <c r="S3" s="15"/>
      <c r="T3" s="14"/>
      <c r="U3" s="15"/>
      <c r="V3" s="14">
        <v>24</v>
      </c>
      <c r="W3" s="15">
        <f>12*65+637.16</f>
        <v>1417.16</v>
      </c>
      <c r="X3" s="14"/>
      <c r="Y3" s="15"/>
      <c r="Z3" s="14"/>
      <c r="AA3" s="15"/>
      <c r="AB3" s="14"/>
      <c r="AC3" s="15">
        <v>36.71</v>
      </c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33"/>
      <c r="AT3" s="33"/>
      <c r="AU3" s="33"/>
    </row>
    <row r="4" s="2" customFormat="1" customHeight="1" spans="1:47">
      <c r="A4" s="17">
        <v>45292</v>
      </c>
      <c r="B4" s="18">
        <v>15.5</v>
      </c>
      <c r="C4" s="15">
        <v>2748.2</v>
      </c>
      <c r="D4" s="18"/>
      <c r="E4" s="15"/>
      <c r="F4" s="18"/>
      <c r="G4" s="15"/>
      <c r="H4" s="19">
        <v>1</v>
      </c>
      <c r="I4" s="15">
        <v>133.2</v>
      </c>
      <c r="J4" s="18">
        <v>7</v>
      </c>
      <c r="K4" s="15">
        <v>1596</v>
      </c>
      <c r="L4" s="18"/>
      <c r="M4" s="15"/>
      <c r="N4" s="19"/>
      <c r="O4" s="15"/>
      <c r="P4" s="18"/>
      <c r="Q4" s="15"/>
      <c r="R4" s="18"/>
      <c r="S4" s="15"/>
      <c r="T4" s="18"/>
      <c r="U4" s="15"/>
      <c r="V4" s="18">
        <v>16</v>
      </c>
      <c r="W4" s="15">
        <f>W3-433.96</f>
        <v>983.2</v>
      </c>
      <c r="X4" s="18"/>
      <c r="Y4" s="15"/>
      <c r="Z4" s="18">
        <v>1</v>
      </c>
      <c r="AA4" s="15">
        <v>53</v>
      </c>
      <c r="AB4" s="18">
        <v>4</v>
      </c>
      <c r="AC4" s="15">
        <f>367.1-AC3</f>
        <v>330.39</v>
      </c>
      <c r="AD4" s="18"/>
      <c r="AE4" s="15"/>
      <c r="AF4" s="18"/>
      <c r="AG4" s="15"/>
      <c r="AH4" s="18"/>
      <c r="AI4" s="15"/>
      <c r="AJ4" s="18"/>
      <c r="AK4" s="15"/>
      <c r="AL4" s="18"/>
      <c r="AM4" s="15"/>
      <c r="AN4" s="18"/>
      <c r="AO4" s="15">
        <f>AN4*53</f>
        <v>0</v>
      </c>
      <c r="AP4" s="18"/>
      <c r="AQ4" s="15"/>
      <c r="AR4" s="18"/>
      <c r="AS4" s="33"/>
      <c r="AT4" s="33">
        <f>C4+G4+K4+M4+Q4+S4+U4+W4+Y4+AA4+AC4+AE4+AG4+AI4+AK4+AM4+I4+AO4+AQ4+E4+O4</f>
        <v>5843.99</v>
      </c>
      <c r="AU4" s="33"/>
    </row>
    <row r="5" s="2" customFormat="1" customHeight="1" spans="1:47">
      <c r="A5" s="13"/>
      <c r="B5" s="14"/>
      <c r="C5" s="15"/>
      <c r="D5" s="14"/>
      <c r="E5" s="15"/>
      <c r="F5" s="14"/>
      <c r="G5" s="15"/>
      <c r="H5" s="16"/>
      <c r="I5" s="15"/>
      <c r="J5" s="14"/>
      <c r="K5" s="15"/>
      <c r="L5" s="14"/>
      <c r="M5" s="15"/>
      <c r="N5" s="16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4"/>
      <c r="AA5" s="15"/>
      <c r="AB5" s="14"/>
      <c r="AC5" s="15"/>
      <c r="AD5" s="14"/>
      <c r="AE5" s="15"/>
      <c r="AF5" s="14"/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33"/>
      <c r="AT5" s="33"/>
      <c r="AU5" s="33"/>
    </row>
    <row r="6" s="2" customFormat="1" customHeight="1" spans="1:47">
      <c r="A6" s="17">
        <v>45293</v>
      </c>
      <c r="B6" s="18">
        <v>27</v>
      </c>
      <c r="C6" s="15">
        <v>4851.27</v>
      </c>
      <c r="D6" s="18"/>
      <c r="E6" s="15"/>
      <c r="F6" s="18">
        <v>1</v>
      </c>
      <c r="G6" s="15">
        <v>179</v>
      </c>
      <c r="H6" s="19">
        <v>1</v>
      </c>
      <c r="I6" s="15">
        <v>133.2</v>
      </c>
      <c r="J6" s="18">
        <v>9.5</v>
      </c>
      <c r="K6" s="15">
        <v>2178.24</v>
      </c>
      <c r="L6" s="18"/>
      <c r="M6" s="15"/>
      <c r="N6" s="19"/>
      <c r="O6" s="15"/>
      <c r="P6" s="18"/>
      <c r="Q6" s="15"/>
      <c r="R6" s="18"/>
      <c r="S6" s="15"/>
      <c r="T6" s="18">
        <v>1</v>
      </c>
      <c r="U6" s="15">
        <v>299.6</v>
      </c>
      <c r="V6" s="18">
        <v>31</v>
      </c>
      <c r="W6" s="15">
        <f>19*65+442+200</f>
        <v>1877</v>
      </c>
      <c r="X6" s="18"/>
      <c r="Y6" s="15"/>
      <c r="Z6" s="18"/>
      <c r="AA6" s="15"/>
      <c r="AB6" s="18"/>
      <c r="AC6" s="15"/>
      <c r="AD6" s="18"/>
      <c r="AE6" s="15"/>
      <c r="AF6" s="18"/>
      <c r="AG6" s="15"/>
      <c r="AH6" s="18"/>
      <c r="AI6" s="15"/>
      <c r="AJ6" s="18"/>
      <c r="AK6" s="15"/>
      <c r="AL6" s="18">
        <v>1</v>
      </c>
      <c r="AM6" s="15">
        <f>AL6*139.5</f>
        <v>139.5</v>
      </c>
      <c r="AN6" s="18">
        <v>6</v>
      </c>
      <c r="AO6" s="15">
        <f>AN6*53</f>
        <v>318</v>
      </c>
      <c r="AP6" s="18"/>
      <c r="AQ6" s="15"/>
      <c r="AR6" s="18"/>
      <c r="AS6" s="33"/>
      <c r="AT6" s="33">
        <f>C6+G6+K6+M6+Q6+S6+U6+W6+Y6+AA6+AC6+AE6+AG6+AI6+AK6+AM6+I6+AO6+AQ6+E6+O6</f>
        <v>9975.81</v>
      </c>
      <c r="AU6" s="33"/>
    </row>
    <row r="7" s="2" customFormat="1" customHeight="1" spans="1:47">
      <c r="A7" s="13"/>
      <c r="B7" s="14"/>
      <c r="C7" s="15"/>
      <c r="D7" s="14"/>
      <c r="E7" s="15"/>
      <c r="F7" s="14"/>
      <c r="G7" s="15"/>
      <c r="H7" s="16"/>
      <c r="I7" s="15"/>
      <c r="J7" s="14"/>
      <c r="K7" s="15"/>
      <c r="L7" s="14"/>
      <c r="M7" s="15"/>
      <c r="N7" s="16"/>
      <c r="O7" s="15"/>
      <c r="P7" s="14"/>
      <c r="Q7" s="15"/>
      <c r="R7" s="14"/>
      <c r="S7" s="15"/>
      <c r="T7" s="14"/>
      <c r="U7" s="15"/>
      <c r="V7" s="14">
        <v>38</v>
      </c>
      <c r="W7" s="15">
        <f>20*65+735.76+200</f>
        <v>2235.76</v>
      </c>
      <c r="X7" s="14"/>
      <c r="Y7" s="15"/>
      <c r="Z7" s="14"/>
      <c r="AA7" s="15"/>
      <c r="AB7" s="14"/>
      <c r="AC7" s="15">
        <v>92.89</v>
      </c>
      <c r="AD7" s="14"/>
      <c r="AE7" s="15"/>
      <c r="AF7" s="14"/>
      <c r="AG7" s="15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33"/>
      <c r="AT7" s="33"/>
      <c r="AU7" s="33"/>
    </row>
    <row r="8" s="2" customFormat="1" customHeight="1" spans="1:47">
      <c r="A8" s="17">
        <v>45294</v>
      </c>
      <c r="B8" s="18">
        <v>19.5</v>
      </c>
      <c r="C8" s="15">
        <v>3422.86</v>
      </c>
      <c r="D8" s="18"/>
      <c r="E8" s="15"/>
      <c r="F8" s="18"/>
      <c r="G8" s="15"/>
      <c r="H8" s="19">
        <v>2</v>
      </c>
      <c r="I8" s="15">
        <f>H8*133.2</f>
        <v>266.4</v>
      </c>
      <c r="J8" s="18">
        <v>8</v>
      </c>
      <c r="K8" s="15">
        <v>1884</v>
      </c>
      <c r="L8" s="18"/>
      <c r="M8" s="15"/>
      <c r="N8" s="19"/>
      <c r="O8" s="15"/>
      <c r="P8" s="18"/>
      <c r="Q8" s="15"/>
      <c r="R8" s="18"/>
      <c r="S8" s="15"/>
      <c r="T8" s="18"/>
      <c r="U8" s="15"/>
      <c r="V8" s="18">
        <v>21</v>
      </c>
      <c r="W8" s="15">
        <f>W7-958.48</f>
        <v>1277.28</v>
      </c>
      <c r="X8" s="18">
        <v>2</v>
      </c>
      <c r="Y8" s="15">
        <f>65+68</f>
        <v>133</v>
      </c>
      <c r="Z8" s="18"/>
      <c r="AA8" s="15"/>
      <c r="AB8" s="18">
        <v>10</v>
      </c>
      <c r="AC8" s="15">
        <f>5*98+438.96-AC7</f>
        <v>836.07</v>
      </c>
      <c r="AD8" s="18"/>
      <c r="AE8" s="15"/>
      <c r="AF8" s="18"/>
      <c r="AG8" s="15"/>
      <c r="AH8" s="18"/>
      <c r="AI8" s="15"/>
      <c r="AJ8" s="18"/>
      <c r="AK8" s="15"/>
      <c r="AL8" s="18"/>
      <c r="AM8" s="15">
        <f>AL8*139.5</f>
        <v>0</v>
      </c>
      <c r="AN8" s="18">
        <v>1</v>
      </c>
      <c r="AO8" s="15">
        <f>AN8*53</f>
        <v>53</v>
      </c>
      <c r="AP8" s="18"/>
      <c r="AQ8" s="15"/>
      <c r="AR8" s="18">
        <v>6000</v>
      </c>
      <c r="AS8" s="33"/>
      <c r="AT8" s="33">
        <f>C8+G8+K8+M8+Q8+S8+U8+W8+Y8+AA8+AC8+AE8+AG8+AI8+AK8+AM8+I8+AO8+AQ8+E8+O8</f>
        <v>7872.61</v>
      </c>
      <c r="AU8" s="33"/>
    </row>
    <row r="9" s="2" customFormat="1" customHeight="1" spans="1:47">
      <c r="A9" s="13"/>
      <c r="B9" s="14"/>
      <c r="C9" s="15"/>
      <c r="D9" s="14"/>
      <c r="E9" s="15"/>
      <c r="F9" s="14"/>
      <c r="G9" s="15"/>
      <c r="H9" s="16"/>
      <c r="I9" s="15"/>
      <c r="J9" s="14"/>
      <c r="K9" s="15"/>
      <c r="L9" s="14"/>
      <c r="M9" s="15"/>
      <c r="N9" s="16"/>
      <c r="O9" s="15"/>
      <c r="P9" s="14"/>
      <c r="Q9" s="15"/>
      <c r="R9" s="14"/>
      <c r="S9" s="15"/>
      <c r="T9" s="14"/>
      <c r="U9" s="15"/>
      <c r="V9" s="14">
        <v>35</v>
      </c>
      <c r="W9" s="15">
        <f>15*65+1045.84</f>
        <v>2020.84</v>
      </c>
      <c r="X9" s="14"/>
      <c r="Y9" s="15"/>
      <c r="Z9" s="14"/>
      <c r="AA9" s="15"/>
      <c r="AB9" s="14"/>
      <c r="AC9" s="15">
        <v>88.82</v>
      </c>
      <c r="AD9" s="14"/>
      <c r="AE9" s="15"/>
      <c r="AF9" s="14"/>
      <c r="AG9" s="15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33"/>
      <c r="AT9" s="33"/>
      <c r="AU9" s="33"/>
    </row>
    <row r="10" s="2" customFormat="1" customHeight="1" spans="1:47">
      <c r="A10" s="17">
        <v>45295</v>
      </c>
      <c r="B10" s="18">
        <v>12</v>
      </c>
      <c r="C10" s="15">
        <f>8*178+662.56</f>
        <v>2086.56</v>
      </c>
      <c r="D10" s="18"/>
      <c r="E10" s="15"/>
      <c r="F10" s="18"/>
      <c r="G10" s="15"/>
      <c r="H10" s="19">
        <v>1</v>
      </c>
      <c r="I10" s="15">
        <v>133.2</v>
      </c>
      <c r="J10" s="18">
        <v>5</v>
      </c>
      <c r="K10" s="15">
        <f>J10*228</f>
        <v>1140</v>
      </c>
      <c r="L10" s="18"/>
      <c r="M10" s="15"/>
      <c r="N10" s="19"/>
      <c r="O10" s="15"/>
      <c r="P10" s="18"/>
      <c r="Q10" s="15"/>
      <c r="R10" s="18"/>
      <c r="S10" s="15"/>
      <c r="T10" s="18">
        <v>1</v>
      </c>
      <c r="U10" s="15">
        <v>350.96</v>
      </c>
      <c r="V10" s="18">
        <v>21</v>
      </c>
      <c r="W10" s="15">
        <f>W9-763.48</f>
        <v>1257.36</v>
      </c>
      <c r="X10" s="18"/>
      <c r="Y10" s="15"/>
      <c r="Z10" s="18"/>
      <c r="AA10" s="15"/>
      <c r="AB10" s="18">
        <v>10</v>
      </c>
      <c r="AC10" s="15">
        <f>2*98+692.26-AC9</f>
        <v>799.44</v>
      </c>
      <c r="AD10" s="18"/>
      <c r="AE10" s="15"/>
      <c r="AF10" s="18"/>
      <c r="AG10" s="15"/>
      <c r="AH10" s="18"/>
      <c r="AI10" s="15"/>
      <c r="AJ10" s="18"/>
      <c r="AK10" s="15"/>
      <c r="AL10" s="18">
        <v>2</v>
      </c>
      <c r="AM10" s="15">
        <f>AL10*139.5</f>
        <v>279</v>
      </c>
      <c r="AN10" s="18">
        <v>3</v>
      </c>
      <c r="AO10" s="15">
        <f>AN10*53</f>
        <v>159</v>
      </c>
      <c r="AP10" s="18"/>
      <c r="AQ10" s="15"/>
      <c r="AR10" s="18">
        <v>12000</v>
      </c>
      <c r="AS10" s="33"/>
      <c r="AT10" s="33">
        <f>C10+G10+K10+M10+Q10+S10+U10+W10+Y10+AA10+AC10+AE10+AG10+AI10+AK10+AM10+I10+AO10+AQ10+E10+O10</f>
        <v>6205.52</v>
      </c>
      <c r="AU10" s="33"/>
    </row>
    <row r="11" s="2" customFormat="1" customHeight="1" spans="1:47">
      <c r="A11" s="13"/>
      <c r="B11" s="14"/>
      <c r="C11" s="15"/>
      <c r="D11" s="14"/>
      <c r="E11" s="15"/>
      <c r="F11" s="14"/>
      <c r="G11" s="15"/>
      <c r="H11" s="16"/>
      <c r="I11" s="15"/>
      <c r="J11" s="14"/>
      <c r="K11" s="15"/>
      <c r="L11" s="14"/>
      <c r="M11" s="15"/>
      <c r="N11" s="16"/>
      <c r="O11" s="15"/>
      <c r="P11" s="14"/>
      <c r="Q11" s="15"/>
      <c r="R11" s="14"/>
      <c r="S11" s="15"/>
      <c r="T11" s="14"/>
      <c r="U11" s="15"/>
      <c r="V11" s="14">
        <v>45</v>
      </c>
      <c r="W11" s="15">
        <f>14*65+1631.32</f>
        <v>2541.32</v>
      </c>
      <c r="X11" s="14"/>
      <c r="Y11" s="15"/>
      <c r="Z11" s="14"/>
      <c r="AA11" s="15"/>
      <c r="AB11" s="14"/>
      <c r="AC11" s="15">
        <v>110.34</v>
      </c>
      <c r="AD11" s="14"/>
      <c r="AE11" s="15"/>
      <c r="AF11" s="14"/>
      <c r="AG11" s="15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33"/>
      <c r="AT11" s="33"/>
      <c r="AU11" s="33"/>
    </row>
    <row r="12" s="2" customFormat="1" customHeight="1" spans="1:47">
      <c r="A12" s="17">
        <v>45296</v>
      </c>
      <c r="B12" s="18">
        <v>26.5</v>
      </c>
      <c r="C12" s="15">
        <f>21*178+881.81</f>
        <v>4619.81</v>
      </c>
      <c r="D12" s="18"/>
      <c r="E12" s="15"/>
      <c r="F12" s="18">
        <v>1</v>
      </c>
      <c r="G12" s="15">
        <v>179</v>
      </c>
      <c r="H12" s="19"/>
      <c r="I12" s="15"/>
      <c r="J12" s="18">
        <v>1</v>
      </c>
      <c r="K12" s="15">
        <v>228</v>
      </c>
      <c r="L12" s="18"/>
      <c r="M12" s="15"/>
      <c r="N12" s="19"/>
      <c r="O12" s="15"/>
      <c r="P12" s="18"/>
      <c r="Q12" s="15"/>
      <c r="R12" s="18"/>
      <c r="S12" s="15"/>
      <c r="T12" s="18"/>
      <c r="U12" s="15"/>
      <c r="V12" s="18">
        <v>29</v>
      </c>
      <c r="W12" s="15">
        <f>W11-863.44</f>
        <v>1677.88</v>
      </c>
      <c r="X12" s="18"/>
      <c r="Y12" s="15"/>
      <c r="Z12" s="18"/>
      <c r="AA12" s="15"/>
      <c r="AB12" s="18">
        <v>12</v>
      </c>
      <c r="AC12" s="15">
        <f>3*98+809.48-AC11</f>
        <v>993.14</v>
      </c>
      <c r="AD12" s="18"/>
      <c r="AE12" s="15"/>
      <c r="AF12" s="18"/>
      <c r="AG12" s="15"/>
      <c r="AH12" s="18"/>
      <c r="AI12" s="15"/>
      <c r="AJ12" s="18"/>
      <c r="AK12" s="15"/>
      <c r="AL12" s="18"/>
      <c r="AM12" s="15">
        <f>AL12*139.5</f>
        <v>0</v>
      </c>
      <c r="AN12" s="18"/>
      <c r="AO12" s="15">
        <f>AN12*53</f>
        <v>0</v>
      </c>
      <c r="AP12" s="18"/>
      <c r="AQ12" s="15"/>
      <c r="AR12" s="18">
        <v>2000</v>
      </c>
      <c r="AS12" s="33"/>
      <c r="AT12" s="33">
        <f>C12+G12+K12+M12+Q12+S12+U12+W12+Y12+AA12+AC12+AE12+AG12+AI12+AK12+AM12+I12+AO12+AQ12+E12+O12</f>
        <v>7697.83</v>
      </c>
      <c r="AU12" s="33"/>
    </row>
    <row r="13" s="2" customFormat="1" customHeight="1" spans="1:47">
      <c r="A13" s="13"/>
      <c r="B13" s="14"/>
      <c r="C13" s="15"/>
      <c r="D13" s="14"/>
      <c r="E13" s="15"/>
      <c r="F13" s="14"/>
      <c r="G13" s="15"/>
      <c r="H13" s="16"/>
      <c r="I13" s="15"/>
      <c r="J13" s="14"/>
      <c r="K13" s="15"/>
      <c r="L13" s="14"/>
      <c r="M13" s="15"/>
      <c r="N13" s="16"/>
      <c r="O13" s="15"/>
      <c r="P13" s="14"/>
      <c r="Q13" s="15"/>
      <c r="R13" s="14"/>
      <c r="S13" s="15"/>
      <c r="T13" s="14"/>
      <c r="U13" s="15"/>
      <c r="V13" s="14">
        <v>50</v>
      </c>
      <c r="W13" s="15">
        <f>11*65+1782.28+200</f>
        <v>2697.28</v>
      </c>
      <c r="X13" s="14"/>
      <c r="Y13" s="15"/>
      <c r="Z13" s="14"/>
      <c r="AA13" s="15"/>
      <c r="AB13" s="14"/>
      <c r="AC13" s="15">
        <v>78.11</v>
      </c>
      <c r="AD13" s="14"/>
      <c r="AE13" s="15"/>
      <c r="AF13" s="14"/>
      <c r="AG13" s="15"/>
      <c r="AH13" s="14"/>
      <c r="AI13" s="15"/>
      <c r="AJ13" s="14"/>
      <c r="AK13" s="15"/>
      <c r="AL13" s="14"/>
      <c r="AM13" s="15"/>
      <c r="AN13" s="14"/>
      <c r="AO13" s="15"/>
      <c r="AP13" s="14"/>
      <c r="AQ13" s="15"/>
      <c r="AR13" s="14"/>
      <c r="AS13" s="33"/>
      <c r="AT13" s="33"/>
      <c r="AU13" s="33"/>
    </row>
    <row r="14" s="2" customFormat="1" customHeight="1" spans="1:47">
      <c r="A14" s="17">
        <v>45297</v>
      </c>
      <c r="B14" s="18">
        <v>27.5</v>
      </c>
      <c r="C14" s="15">
        <f>19*178+1318.89</f>
        <v>4700.89</v>
      </c>
      <c r="D14" s="18"/>
      <c r="E14" s="15"/>
      <c r="F14" s="18"/>
      <c r="G14" s="15"/>
      <c r="H14" s="19">
        <v>4</v>
      </c>
      <c r="I14" s="15">
        <f>H14*133.2</f>
        <v>532.8</v>
      </c>
      <c r="J14" s="18">
        <v>1</v>
      </c>
      <c r="K14" s="15">
        <v>228</v>
      </c>
      <c r="L14" s="18"/>
      <c r="M14" s="15"/>
      <c r="N14" s="19"/>
      <c r="O14" s="15"/>
      <c r="P14" s="18"/>
      <c r="Q14" s="15"/>
      <c r="R14" s="18"/>
      <c r="S14" s="15"/>
      <c r="T14" s="18"/>
      <c r="U14" s="15"/>
      <c r="V14" s="18">
        <v>38</v>
      </c>
      <c r="W14" s="15">
        <f>W13-626.68</f>
        <v>2070.6</v>
      </c>
      <c r="X14" s="18"/>
      <c r="Y14" s="15"/>
      <c r="Z14" s="18">
        <v>1</v>
      </c>
      <c r="AA14" s="15">
        <v>53</v>
      </c>
      <c r="AB14" s="18">
        <v>9</v>
      </c>
      <c r="AC14" s="15">
        <f>781.16-AC13</f>
        <v>703.05</v>
      </c>
      <c r="AD14" s="18"/>
      <c r="AE14" s="15"/>
      <c r="AF14" s="18"/>
      <c r="AG14" s="15"/>
      <c r="AH14" s="18"/>
      <c r="AI14" s="15"/>
      <c r="AJ14" s="18"/>
      <c r="AK14" s="15"/>
      <c r="AL14" s="18">
        <v>1</v>
      </c>
      <c r="AM14" s="15">
        <f>AL14*139.5</f>
        <v>139.5</v>
      </c>
      <c r="AN14" s="18">
        <v>15</v>
      </c>
      <c r="AO14" s="15">
        <f>AN14*53</f>
        <v>795</v>
      </c>
      <c r="AP14" s="18"/>
      <c r="AQ14" s="15"/>
      <c r="AR14" s="18"/>
      <c r="AS14" s="33"/>
      <c r="AT14" s="33">
        <f>C14+G14+K14+M14+Q14+S14+U14+W14+Y14+AA14+AC14+AE14+AG14+AI14+AK14+AM14+I14+AO14+AQ14+E14+O14</f>
        <v>9222.84</v>
      </c>
      <c r="AU14" s="33"/>
    </row>
    <row r="15" s="2" customFormat="1" customHeight="1" spans="1:47">
      <c r="A15" s="13"/>
      <c r="B15" s="14"/>
      <c r="C15" s="15"/>
      <c r="D15" s="14"/>
      <c r="E15" s="15"/>
      <c r="F15" s="14"/>
      <c r="G15" s="15"/>
      <c r="H15" s="16"/>
      <c r="I15" s="15"/>
      <c r="J15" s="14"/>
      <c r="K15" s="15"/>
      <c r="L15" s="14"/>
      <c r="M15" s="15"/>
      <c r="N15" s="16"/>
      <c r="O15" s="15"/>
      <c r="P15" s="14"/>
      <c r="Q15" s="15"/>
      <c r="R15" s="14"/>
      <c r="S15" s="15"/>
      <c r="T15" s="14"/>
      <c r="U15" s="15"/>
      <c r="V15" s="14">
        <v>55</v>
      </c>
      <c r="W15" s="15">
        <f>26*65+1304.92+200</f>
        <v>3194.92</v>
      </c>
      <c r="X15" s="14"/>
      <c r="Y15" s="15"/>
      <c r="Z15" s="14"/>
      <c r="AA15" s="15"/>
      <c r="AB15" s="14"/>
      <c r="AC15" s="15">
        <v>107.51</v>
      </c>
      <c r="AD15" s="14"/>
      <c r="AE15" s="15"/>
      <c r="AF15" s="14"/>
      <c r="AG15" s="15"/>
      <c r="AH15" s="14"/>
      <c r="AI15" s="15"/>
      <c r="AJ15" s="14"/>
      <c r="AK15" s="15"/>
      <c r="AL15" s="14"/>
      <c r="AM15" s="15"/>
      <c r="AN15" s="14"/>
      <c r="AO15" s="15"/>
      <c r="AP15" s="14"/>
      <c r="AQ15" s="15"/>
      <c r="AR15" s="14"/>
      <c r="AS15" s="33"/>
      <c r="AT15" s="33"/>
      <c r="AU15" s="33"/>
    </row>
    <row r="16" s="2" customFormat="1" customHeight="1" spans="1:47">
      <c r="A16" s="17">
        <v>45298</v>
      </c>
      <c r="B16" s="18">
        <v>18.5</v>
      </c>
      <c r="C16" s="15">
        <f>15*178+632.2</f>
        <v>3302.2</v>
      </c>
      <c r="D16" s="18"/>
      <c r="E16" s="15"/>
      <c r="F16" s="18">
        <v>1</v>
      </c>
      <c r="G16" s="15">
        <v>179</v>
      </c>
      <c r="H16" s="19"/>
      <c r="I16" s="15"/>
      <c r="J16" s="18">
        <v>12</v>
      </c>
      <c r="K16" s="15">
        <f>10*228+453.6</f>
        <v>2733.6</v>
      </c>
      <c r="L16" s="18"/>
      <c r="M16" s="15"/>
      <c r="N16" s="19"/>
      <c r="O16" s="15"/>
      <c r="P16" s="18"/>
      <c r="Q16" s="15"/>
      <c r="R16" s="18"/>
      <c r="S16" s="15"/>
      <c r="T16" s="18"/>
      <c r="U16" s="15"/>
      <c r="V16" s="18">
        <v>40</v>
      </c>
      <c r="W16" s="15">
        <f>W15-785.52</f>
        <v>2409.4</v>
      </c>
      <c r="X16" s="18"/>
      <c r="Y16" s="15"/>
      <c r="Z16" s="18"/>
      <c r="AA16" s="15"/>
      <c r="AB16" s="18">
        <v>12</v>
      </c>
      <c r="AC16" s="15">
        <f>3*98+781.16-AC15</f>
        <v>967.65</v>
      </c>
      <c r="AD16" s="18">
        <v>1</v>
      </c>
      <c r="AE16" s="15">
        <v>124.6</v>
      </c>
      <c r="AF16" s="18"/>
      <c r="AG16" s="15"/>
      <c r="AH16" s="18"/>
      <c r="AI16" s="15"/>
      <c r="AJ16" s="18"/>
      <c r="AK16" s="15"/>
      <c r="AL16" s="18">
        <v>1</v>
      </c>
      <c r="AM16" s="15">
        <f>AL16*139.5</f>
        <v>139.5</v>
      </c>
      <c r="AN16" s="18"/>
      <c r="AO16" s="15">
        <f>AN16*53</f>
        <v>0</v>
      </c>
      <c r="AP16" s="18"/>
      <c r="AQ16" s="15"/>
      <c r="AR16" s="18">
        <v>3000</v>
      </c>
      <c r="AS16" s="33"/>
      <c r="AT16" s="33">
        <f>C16+G16+K16+M16+Q16+S16+U16+W16+Y16+AA16+AC16+AE16+AG16+AI16+AK16+AM16+I16+AO16+AQ16+E16+O16</f>
        <v>9855.95</v>
      </c>
      <c r="AU16" s="33"/>
    </row>
    <row r="17" s="2" customFormat="1" customHeight="1" spans="1:47">
      <c r="A17" s="13"/>
      <c r="B17" s="14"/>
      <c r="C17" s="15"/>
      <c r="D17" s="14"/>
      <c r="E17" s="15"/>
      <c r="F17" s="14"/>
      <c r="G17" s="15"/>
      <c r="H17" s="16"/>
      <c r="I17" s="15"/>
      <c r="J17" s="14"/>
      <c r="K17" s="15"/>
      <c r="L17" s="14"/>
      <c r="M17" s="15"/>
      <c r="N17" s="16"/>
      <c r="O17" s="15"/>
      <c r="P17" s="14"/>
      <c r="Q17" s="15"/>
      <c r="R17" s="14"/>
      <c r="S17" s="15"/>
      <c r="T17" s="14"/>
      <c r="U17" s="15"/>
      <c r="V17" s="14">
        <v>31</v>
      </c>
      <c r="W17" s="15">
        <f>11*65+1029.52</f>
        <v>1744.52</v>
      </c>
      <c r="X17" s="14"/>
      <c r="Y17" s="15"/>
      <c r="Z17" s="14"/>
      <c r="AA17" s="15"/>
      <c r="AB17" s="14"/>
      <c r="AC17" s="15">
        <v>80.6</v>
      </c>
      <c r="AD17" s="14"/>
      <c r="AE17" s="15"/>
      <c r="AF17" s="14"/>
      <c r="AG17" s="15"/>
      <c r="AH17" s="14"/>
      <c r="AI17" s="15"/>
      <c r="AJ17" s="14"/>
      <c r="AK17" s="15"/>
      <c r="AL17" s="14"/>
      <c r="AM17" s="15"/>
      <c r="AN17" s="14"/>
      <c r="AO17" s="15"/>
      <c r="AP17" s="14"/>
      <c r="AQ17" s="15"/>
      <c r="AR17" s="14"/>
      <c r="AS17" s="33"/>
      <c r="AT17" s="33"/>
      <c r="AU17" s="33"/>
    </row>
    <row r="18" s="2" customFormat="1" customHeight="1" spans="1:47">
      <c r="A18" s="17">
        <v>45299</v>
      </c>
      <c r="B18" s="18">
        <v>27</v>
      </c>
      <c r="C18" s="15">
        <f>16*178+1905.32</f>
        <v>4753.32</v>
      </c>
      <c r="D18" s="18"/>
      <c r="E18" s="15"/>
      <c r="F18" s="18">
        <v>1</v>
      </c>
      <c r="G18" s="15">
        <v>179</v>
      </c>
      <c r="H18" s="19"/>
      <c r="I18" s="15"/>
      <c r="J18" s="18">
        <v>7.5</v>
      </c>
      <c r="K18" s="15">
        <f>4*228+748.8</f>
        <v>1660.8</v>
      </c>
      <c r="L18" s="18"/>
      <c r="M18" s="15"/>
      <c r="N18" s="19"/>
      <c r="O18" s="15"/>
      <c r="P18" s="18"/>
      <c r="Q18" s="15"/>
      <c r="R18" s="18"/>
      <c r="S18" s="15"/>
      <c r="T18" s="18">
        <v>1</v>
      </c>
      <c r="U18" s="15">
        <v>299.6</v>
      </c>
      <c r="V18" s="18">
        <v>17</v>
      </c>
      <c r="W18" s="15">
        <f>W17-761.44</f>
        <v>983.08</v>
      </c>
      <c r="X18" s="18"/>
      <c r="Y18" s="15"/>
      <c r="Z18" s="18"/>
      <c r="AA18" s="15"/>
      <c r="AB18" s="18">
        <v>9</v>
      </c>
      <c r="AC18" s="15">
        <f>2*98+610.06-AC17</f>
        <v>725.46</v>
      </c>
      <c r="AD18" s="18"/>
      <c r="AE18" s="15"/>
      <c r="AF18" s="18"/>
      <c r="AG18" s="15"/>
      <c r="AH18" s="18"/>
      <c r="AI18" s="15"/>
      <c r="AJ18" s="18"/>
      <c r="AK18" s="15"/>
      <c r="AL18" s="18"/>
      <c r="AM18" s="15">
        <f>AL18*139.5</f>
        <v>0</v>
      </c>
      <c r="AN18" s="18">
        <v>5</v>
      </c>
      <c r="AO18" s="15">
        <f>AN18*53</f>
        <v>265</v>
      </c>
      <c r="AP18" s="18"/>
      <c r="AQ18" s="15"/>
      <c r="AR18" s="18"/>
      <c r="AS18" s="33"/>
      <c r="AT18" s="33">
        <f>C18+G18+K18+M18+Q18+S18+U18+W18+Y18+AA18+AC18+AE18+AG18+AI18+AK18+AM18+I18+AO18+AQ18+E18+O18</f>
        <v>8866.26</v>
      </c>
      <c r="AU18" s="33"/>
    </row>
    <row r="19" s="2" customFormat="1" customHeight="1" spans="1:47">
      <c r="A19" s="13"/>
      <c r="B19" s="14"/>
      <c r="C19" s="15"/>
      <c r="D19" s="14"/>
      <c r="E19" s="15"/>
      <c r="F19" s="14"/>
      <c r="G19" s="15"/>
      <c r="H19" s="16"/>
      <c r="I19" s="15"/>
      <c r="J19" s="14"/>
      <c r="K19" s="15"/>
      <c r="L19" s="14"/>
      <c r="M19" s="15"/>
      <c r="N19" s="16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5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33"/>
      <c r="AT19" s="33"/>
      <c r="AU19" s="33"/>
    </row>
    <row r="20" s="2" customFormat="1" customHeight="1" spans="1:47">
      <c r="A20" s="17">
        <v>45300</v>
      </c>
      <c r="B20" s="18">
        <v>22</v>
      </c>
      <c r="C20" s="15">
        <f>16*178+1020.28</f>
        <v>3868.28</v>
      </c>
      <c r="D20" s="18"/>
      <c r="E20" s="15"/>
      <c r="F20" s="18"/>
      <c r="G20" s="15"/>
      <c r="H20" s="19"/>
      <c r="I20" s="15"/>
      <c r="J20" s="18">
        <v>4</v>
      </c>
      <c r="K20" s="15">
        <f>J20*228</f>
        <v>912</v>
      </c>
      <c r="L20" s="18"/>
      <c r="M20" s="15"/>
      <c r="N20" s="19"/>
      <c r="O20" s="15"/>
      <c r="P20" s="18"/>
      <c r="Q20" s="15"/>
      <c r="R20" s="18"/>
      <c r="S20" s="15"/>
      <c r="T20" s="18"/>
      <c r="U20" s="15"/>
      <c r="V20" s="18">
        <v>16</v>
      </c>
      <c r="W20" s="15">
        <f>9*65+153+200</f>
        <v>938</v>
      </c>
      <c r="X20" s="18"/>
      <c r="Y20" s="15"/>
      <c r="Z20" s="18"/>
      <c r="AA20" s="15"/>
      <c r="AB20" s="18"/>
      <c r="AC20" s="15"/>
      <c r="AD20" s="18"/>
      <c r="AE20" s="15"/>
      <c r="AF20" s="18"/>
      <c r="AG20" s="15"/>
      <c r="AH20" s="18"/>
      <c r="AI20" s="15"/>
      <c r="AJ20" s="18"/>
      <c r="AK20" s="15"/>
      <c r="AL20" s="18"/>
      <c r="AM20" s="15">
        <f>AL20*139.5</f>
        <v>0</v>
      </c>
      <c r="AN20" s="18">
        <v>7</v>
      </c>
      <c r="AO20" s="15">
        <f>AN20*53</f>
        <v>371</v>
      </c>
      <c r="AP20" s="18"/>
      <c r="AQ20" s="15"/>
      <c r="AR20" s="18"/>
      <c r="AS20" s="33"/>
      <c r="AT20" s="33">
        <f>C20+G20+K20+M20+Q20+S20+U20+W20+Y20+AA20+AC20+AE20+AG20+AI20+AK20+AM20+I20+AO20+AQ20+E20+O20</f>
        <v>6089.28</v>
      </c>
      <c r="AU20" s="33"/>
    </row>
    <row r="21" s="2" customFormat="1" customHeight="1" spans="1:47">
      <c r="A21" s="13"/>
      <c r="B21" s="14"/>
      <c r="C21" s="15"/>
      <c r="D21" s="14"/>
      <c r="E21" s="15"/>
      <c r="F21" s="14"/>
      <c r="G21" s="15"/>
      <c r="H21" s="16"/>
      <c r="I21" s="15"/>
      <c r="J21" s="14"/>
      <c r="K21" s="15"/>
      <c r="L21" s="14"/>
      <c r="M21" s="15"/>
      <c r="N21" s="16"/>
      <c r="O21" s="15"/>
      <c r="P21" s="14"/>
      <c r="Q21" s="15"/>
      <c r="R21" s="14"/>
      <c r="S21" s="15"/>
      <c r="T21" s="14"/>
      <c r="U21" s="15"/>
      <c r="V21" s="14">
        <v>54</v>
      </c>
      <c r="W21" s="15">
        <f>16*65+1986.96</f>
        <v>3026.96</v>
      </c>
      <c r="X21" s="14"/>
      <c r="Y21" s="15"/>
      <c r="Z21" s="14"/>
      <c r="AA21" s="15"/>
      <c r="AB21" s="14"/>
      <c r="AC21" s="15">
        <v>90.76</v>
      </c>
      <c r="AD21" s="14"/>
      <c r="AE21" s="15"/>
      <c r="AF21" s="14"/>
      <c r="AG21" s="15"/>
      <c r="AH21" s="14"/>
      <c r="AI21" s="15"/>
      <c r="AJ21" s="14"/>
      <c r="AK21" s="15"/>
      <c r="AL21" s="14"/>
      <c r="AM21" s="15"/>
      <c r="AN21" s="14"/>
      <c r="AO21" s="15"/>
      <c r="AP21" s="14"/>
      <c r="AQ21" s="15"/>
      <c r="AR21" s="14"/>
      <c r="AS21" s="33"/>
      <c r="AT21" s="33"/>
      <c r="AU21" s="33"/>
    </row>
    <row r="22" s="2" customFormat="1" customHeight="1" spans="1:47">
      <c r="A22" s="17">
        <v>45301</v>
      </c>
      <c r="B22" s="18">
        <v>18.5</v>
      </c>
      <c r="C22" s="15">
        <f>15.5*178+534.16</f>
        <v>3293.16</v>
      </c>
      <c r="D22" s="18"/>
      <c r="E22" s="15"/>
      <c r="F22" s="18"/>
      <c r="G22" s="15"/>
      <c r="H22" s="19"/>
      <c r="I22" s="15"/>
      <c r="J22" s="18">
        <v>6</v>
      </c>
      <c r="K22" s="15">
        <f>4*228+452.16</f>
        <v>1364.16</v>
      </c>
      <c r="L22" s="18"/>
      <c r="M22" s="15"/>
      <c r="N22" s="19"/>
      <c r="O22" s="15"/>
      <c r="P22" s="18"/>
      <c r="Q22" s="15"/>
      <c r="R22" s="18"/>
      <c r="S22" s="15"/>
      <c r="T22" s="18"/>
      <c r="U22" s="15"/>
      <c r="V22" s="18">
        <v>39</v>
      </c>
      <c r="W22" s="15">
        <f>W21-825.08</f>
        <v>2201.88</v>
      </c>
      <c r="X22" s="18">
        <v>1</v>
      </c>
      <c r="Y22" s="15">
        <v>55.76</v>
      </c>
      <c r="Z22" s="18"/>
      <c r="AA22" s="15"/>
      <c r="AB22" s="18">
        <v>10</v>
      </c>
      <c r="AC22" s="15">
        <f>3*98+613.6-AC21</f>
        <v>816.84</v>
      </c>
      <c r="AD22" s="18"/>
      <c r="AE22" s="15"/>
      <c r="AF22" s="18"/>
      <c r="AG22" s="15"/>
      <c r="AH22" s="18"/>
      <c r="AI22" s="15"/>
      <c r="AJ22" s="18"/>
      <c r="AK22" s="15"/>
      <c r="AL22" s="18"/>
      <c r="AM22" s="15">
        <f>AL22*139.5</f>
        <v>0</v>
      </c>
      <c r="AN22" s="18"/>
      <c r="AO22" s="15">
        <f>AN22*53</f>
        <v>0</v>
      </c>
      <c r="AP22" s="18"/>
      <c r="AQ22" s="15"/>
      <c r="AR22" s="18"/>
      <c r="AS22" s="33"/>
      <c r="AT22" s="33">
        <f>C22+G22+K22+M22+Q22+S22+U22+W22+Y22+AA22+AC22+AE22+AG22+AI22+AK22+AM22+I22+AO22+AQ22+E22+O22</f>
        <v>7731.8</v>
      </c>
      <c r="AU22" s="33"/>
    </row>
    <row r="23" s="2" customFormat="1" customHeight="1" spans="1:47">
      <c r="A23" s="13"/>
      <c r="B23" s="14"/>
      <c r="C23" s="15"/>
      <c r="D23" s="14"/>
      <c r="E23" s="15"/>
      <c r="F23" s="14"/>
      <c r="G23" s="15"/>
      <c r="H23" s="16"/>
      <c r="I23" s="15"/>
      <c r="J23" s="14"/>
      <c r="K23" s="15"/>
      <c r="L23" s="14"/>
      <c r="M23" s="15"/>
      <c r="N23" s="16"/>
      <c r="O23" s="15"/>
      <c r="P23" s="14"/>
      <c r="Q23" s="15"/>
      <c r="R23" s="14"/>
      <c r="S23" s="15"/>
      <c r="T23" s="14"/>
      <c r="U23" s="15"/>
      <c r="V23" s="14">
        <v>40</v>
      </c>
      <c r="W23" s="15">
        <f>21*65+943.16</f>
        <v>2308.16</v>
      </c>
      <c r="X23" s="14"/>
      <c r="Y23" s="15"/>
      <c r="Z23" s="14"/>
      <c r="AA23" s="15"/>
      <c r="AB23" s="14"/>
      <c r="AC23" s="15">
        <v>51.33</v>
      </c>
      <c r="AD23" s="14"/>
      <c r="AE23" s="15"/>
      <c r="AF23" s="14"/>
      <c r="AG23" s="15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33"/>
      <c r="AT23" s="33"/>
      <c r="AU23" s="33"/>
    </row>
    <row r="24" s="2" customFormat="1" customHeight="1" spans="1:47">
      <c r="A24" s="17">
        <v>45302</v>
      </c>
      <c r="B24" s="18">
        <v>16.5</v>
      </c>
      <c r="C24" s="15">
        <f>11.5*178+957.02</f>
        <v>3004.02</v>
      </c>
      <c r="D24" s="18">
        <v>7</v>
      </c>
      <c r="E24" s="15">
        <f>D24*109</f>
        <v>763</v>
      </c>
      <c r="F24" s="18"/>
      <c r="G24" s="15"/>
      <c r="H24" s="19"/>
      <c r="I24" s="15"/>
      <c r="J24" s="18">
        <v>8</v>
      </c>
      <c r="K24" s="15">
        <f>J24*228</f>
        <v>1824</v>
      </c>
      <c r="L24" s="18"/>
      <c r="M24" s="15"/>
      <c r="N24" s="19">
        <v>1</v>
      </c>
      <c r="O24" s="15">
        <v>202.5</v>
      </c>
      <c r="P24" s="18"/>
      <c r="Q24" s="15"/>
      <c r="R24" s="18"/>
      <c r="S24" s="15"/>
      <c r="T24" s="18">
        <v>1</v>
      </c>
      <c r="U24" s="15">
        <v>299.6</v>
      </c>
      <c r="V24" s="18">
        <v>31</v>
      </c>
      <c r="W24" s="15">
        <f>W23-450.16</f>
        <v>1858</v>
      </c>
      <c r="X24" s="18">
        <v>1</v>
      </c>
      <c r="Y24" s="15">
        <v>65</v>
      </c>
      <c r="Z24" s="18"/>
      <c r="AA24" s="15"/>
      <c r="AB24" s="18">
        <v>6</v>
      </c>
      <c r="AC24" s="15">
        <f>513.3-AC23</f>
        <v>461.97</v>
      </c>
      <c r="AD24" s="18"/>
      <c r="AE24" s="15"/>
      <c r="AF24" s="18"/>
      <c r="AG24" s="15"/>
      <c r="AH24" s="18"/>
      <c r="AI24" s="15"/>
      <c r="AJ24" s="18"/>
      <c r="AK24" s="15"/>
      <c r="AL24" s="18"/>
      <c r="AM24" s="15">
        <f>AL24*139.5</f>
        <v>0</v>
      </c>
      <c r="AN24" s="18">
        <v>11</v>
      </c>
      <c r="AO24" s="15">
        <f>AN24*53</f>
        <v>583</v>
      </c>
      <c r="AP24" s="18"/>
      <c r="AQ24" s="15"/>
      <c r="AR24" s="18"/>
      <c r="AS24" s="33"/>
      <c r="AT24" s="33">
        <f>C24+G24+K24+M24+Q24+S24+U24+W24+Y24+AA24+AC24+AE24+AG24+AI24+AK24+AM24+I24+AO24+AQ24+E24+O24</f>
        <v>9061.09</v>
      </c>
      <c r="AU24" s="33"/>
    </row>
    <row r="25" s="2" customFormat="1" customHeight="1" spans="1:47">
      <c r="A25" s="13"/>
      <c r="B25" s="14"/>
      <c r="C25" s="15"/>
      <c r="D25" s="14"/>
      <c r="E25" s="15"/>
      <c r="F25" s="14"/>
      <c r="G25" s="15"/>
      <c r="H25" s="16"/>
      <c r="I25" s="15"/>
      <c r="J25" s="14"/>
      <c r="K25" s="15"/>
      <c r="L25" s="14"/>
      <c r="M25" s="15"/>
      <c r="N25" s="16"/>
      <c r="O25" s="15"/>
      <c r="P25" s="14"/>
      <c r="Q25" s="15"/>
      <c r="R25" s="14"/>
      <c r="S25" s="15"/>
      <c r="T25" s="14"/>
      <c r="U25" s="15"/>
      <c r="V25" s="14">
        <v>51</v>
      </c>
      <c r="W25" s="15">
        <f>24*65+1474.92</f>
        <v>3034.92</v>
      </c>
      <c r="X25" s="14"/>
      <c r="Y25" s="15"/>
      <c r="Z25" s="14"/>
      <c r="AA25" s="15"/>
      <c r="AB25" s="14"/>
      <c r="AC25" s="15">
        <v>34.22</v>
      </c>
      <c r="AD25" s="14"/>
      <c r="AE25" s="15"/>
      <c r="AF25" s="14"/>
      <c r="AG25" s="15"/>
      <c r="AH25" s="14"/>
      <c r="AI25" s="15"/>
      <c r="AJ25" s="14"/>
      <c r="AK25" s="15"/>
      <c r="AL25" s="14"/>
      <c r="AM25" s="15"/>
      <c r="AN25" s="14"/>
      <c r="AO25" s="15"/>
      <c r="AP25" s="14"/>
      <c r="AQ25" s="15"/>
      <c r="AR25" s="14"/>
      <c r="AS25" s="33"/>
      <c r="AT25" s="33"/>
      <c r="AU25" s="33"/>
    </row>
    <row r="26" s="2" customFormat="1" customHeight="1" spans="1:47">
      <c r="A26" s="17">
        <v>45303</v>
      </c>
      <c r="B26" s="18">
        <v>18.5</v>
      </c>
      <c r="C26" s="15">
        <f>16*178+320.6+76.3</f>
        <v>3244.9</v>
      </c>
      <c r="D26" s="18">
        <v>13</v>
      </c>
      <c r="E26" s="15">
        <f>D26*109</f>
        <v>1417</v>
      </c>
      <c r="F26" s="18"/>
      <c r="G26" s="15"/>
      <c r="H26" s="19"/>
      <c r="I26" s="15"/>
      <c r="J26" s="18">
        <v>11</v>
      </c>
      <c r="K26" s="15">
        <f>9*228+354.28</f>
        <v>2406.28</v>
      </c>
      <c r="L26" s="18"/>
      <c r="M26" s="15"/>
      <c r="N26" s="19"/>
      <c r="O26" s="15"/>
      <c r="P26" s="18"/>
      <c r="Q26" s="15"/>
      <c r="R26" s="18"/>
      <c r="S26" s="15"/>
      <c r="T26" s="18">
        <v>1</v>
      </c>
      <c r="U26" s="15">
        <v>299.6</v>
      </c>
      <c r="V26" s="18">
        <v>34</v>
      </c>
      <c r="W26" s="15">
        <f>W25-965.32</f>
        <v>2069.6</v>
      </c>
      <c r="X26" s="18">
        <v>2</v>
      </c>
      <c r="Y26" s="15">
        <f>68+65</f>
        <v>133</v>
      </c>
      <c r="Z26" s="18"/>
      <c r="AA26" s="15"/>
      <c r="AB26" s="18">
        <v>4</v>
      </c>
      <c r="AC26" s="15">
        <f>342.2-AC25</f>
        <v>307.98</v>
      </c>
      <c r="AD26" s="18"/>
      <c r="AE26" s="15"/>
      <c r="AF26" s="18"/>
      <c r="AG26" s="15"/>
      <c r="AH26" s="18"/>
      <c r="AI26" s="15"/>
      <c r="AJ26" s="18"/>
      <c r="AK26" s="15"/>
      <c r="AL26" s="18"/>
      <c r="AM26" s="15">
        <f>AL26*139.5</f>
        <v>0</v>
      </c>
      <c r="AN26" s="18">
        <v>3</v>
      </c>
      <c r="AO26" s="15">
        <f>AN26*53</f>
        <v>159</v>
      </c>
      <c r="AP26" s="18"/>
      <c r="AQ26" s="15"/>
      <c r="AR26" s="18">
        <v>2000</v>
      </c>
      <c r="AS26" s="33"/>
      <c r="AT26" s="33">
        <f>C26+G26+K26+M26+Q26+S26+U26+W26+Y26+AA26+AC26+AE26+AG26+AI26+AK26+AM26+I26+AO26+AQ26+E26+O26</f>
        <v>10037.36</v>
      </c>
      <c r="AU26" s="33"/>
    </row>
    <row r="27" s="2" customFormat="1" customHeight="1" spans="1:47">
      <c r="A27" s="13"/>
      <c r="B27" s="14"/>
      <c r="C27" s="15"/>
      <c r="D27" s="14"/>
      <c r="E27" s="15"/>
      <c r="F27" s="14"/>
      <c r="G27" s="15"/>
      <c r="H27" s="16"/>
      <c r="I27" s="15"/>
      <c r="J27" s="14"/>
      <c r="K27" s="15"/>
      <c r="L27" s="14"/>
      <c r="M27" s="15"/>
      <c r="N27" s="16"/>
      <c r="O27" s="15"/>
      <c r="P27" s="14"/>
      <c r="Q27" s="15"/>
      <c r="R27" s="14"/>
      <c r="S27" s="15"/>
      <c r="T27" s="14"/>
      <c r="U27" s="15"/>
      <c r="V27" s="14">
        <v>44</v>
      </c>
      <c r="W27" s="15">
        <f>29*65+763.96</f>
        <v>2648.96</v>
      </c>
      <c r="X27" s="14"/>
      <c r="Y27" s="15"/>
      <c r="Z27" s="14"/>
      <c r="AA27" s="15"/>
      <c r="AB27" s="14"/>
      <c r="AC27" s="15">
        <v>71.98</v>
      </c>
      <c r="AD27" s="14"/>
      <c r="AE27" s="15"/>
      <c r="AF27" s="14"/>
      <c r="AG27" s="15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33"/>
      <c r="AT27" s="33"/>
      <c r="AU27" s="33"/>
    </row>
    <row r="28" s="2" customFormat="1" customHeight="1" spans="1:47">
      <c r="A28" s="17">
        <v>45304</v>
      </c>
      <c r="B28" s="18">
        <v>21.5</v>
      </c>
      <c r="C28" s="15">
        <f>15*178+1094.36+90</f>
        <v>3854.36</v>
      </c>
      <c r="D28" s="18">
        <v>15</v>
      </c>
      <c r="E28" s="15">
        <f>D28*109</f>
        <v>1635</v>
      </c>
      <c r="F28" s="18">
        <v>1</v>
      </c>
      <c r="G28" s="15">
        <v>179</v>
      </c>
      <c r="H28" s="19">
        <v>7</v>
      </c>
      <c r="I28" s="15">
        <f>H28*133.2</f>
        <v>932.4</v>
      </c>
      <c r="J28" s="18">
        <v>5</v>
      </c>
      <c r="K28" s="15">
        <f>3*228+403.2</f>
        <v>1087.2</v>
      </c>
      <c r="L28" s="18"/>
      <c r="M28" s="15"/>
      <c r="N28" s="19"/>
      <c r="O28" s="15"/>
      <c r="P28" s="18"/>
      <c r="Q28" s="15"/>
      <c r="R28" s="18"/>
      <c r="S28" s="15"/>
      <c r="T28" s="18"/>
      <c r="U28" s="15"/>
      <c r="V28" s="18">
        <v>35</v>
      </c>
      <c r="W28" s="15">
        <f>W27-488.36</f>
        <v>2160.6</v>
      </c>
      <c r="X28" s="18">
        <v>1</v>
      </c>
      <c r="Y28" s="15">
        <v>65</v>
      </c>
      <c r="Z28" s="18"/>
      <c r="AA28" s="15"/>
      <c r="AB28" s="18">
        <v>8</v>
      </c>
      <c r="AC28" s="15">
        <f>98+621.86-AC27</f>
        <v>647.88</v>
      </c>
      <c r="AD28" s="18"/>
      <c r="AE28" s="15"/>
      <c r="AF28" s="18"/>
      <c r="AG28" s="15"/>
      <c r="AH28" s="18"/>
      <c r="AI28" s="15"/>
      <c r="AJ28" s="18">
        <v>1</v>
      </c>
      <c r="AK28" s="15">
        <v>179</v>
      </c>
      <c r="AL28" s="18"/>
      <c r="AM28" s="15">
        <f>AL28*139.5</f>
        <v>0</v>
      </c>
      <c r="AN28" s="18">
        <v>5</v>
      </c>
      <c r="AO28" s="15">
        <f>AN28*53</f>
        <v>265</v>
      </c>
      <c r="AP28" s="18"/>
      <c r="AQ28" s="15"/>
      <c r="AR28" s="18"/>
      <c r="AS28" s="33"/>
      <c r="AT28" s="33">
        <f>C28+G28+K28+M28+Q28+S28+U28+W28+Y28+AA28+AC28+AE28+AG28+AI28+AK28+AM28+I28+AO28+AQ28+E28+O28</f>
        <v>11005.44</v>
      </c>
      <c r="AU28" s="33"/>
    </row>
    <row r="29" s="2" customFormat="1" customHeight="1" spans="1:47">
      <c r="A29" s="13"/>
      <c r="B29" s="14"/>
      <c r="C29" s="15"/>
      <c r="D29" s="14"/>
      <c r="E29" s="15"/>
      <c r="F29" s="14"/>
      <c r="G29" s="15"/>
      <c r="H29" s="16"/>
      <c r="I29" s="15"/>
      <c r="J29" s="14"/>
      <c r="K29" s="15"/>
      <c r="L29" s="14"/>
      <c r="M29" s="15"/>
      <c r="N29" s="16"/>
      <c r="O29" s="15"/>
      <c r="P29" s="14"/>
      <c r="Q29" s="15"/>
      <c r="R29" s="14"/>
      <c r="S29" s="15"/>
      <c r="T29" s="14"/>
      <c r="U29" s="15"/>
      <c r="V29" s="14">
        <v>48</v>
      </c>
      <c r="W29" s="15">
        <f>15*65+1697.6</f>
        <v>2672.6</v>
      </c>
      <c r="X29" s="14"/>
      <c r="Y29" s="15"/>
      <c r="Z29" s="14"/>
      <c r="AA29" s="15"/>
      <c r="AB29" s="14"/>
      <c r="AC29" s="15">
        <v>78.6</v>
      </c>
      <c r="AD29" s="14"/>
      <c r="AE29" s="15"/>
      <c r="AF29" s="14"/>
      <c r="AG29" s="15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33"/>
      <c r="AT29" s="33"/>
      <c r="AU29" s="33"/>
    </row>
    <row r="30" s="2" customFormat="1" customHeight="1" spans="1:47">
      <c r="A30" s="17">
        <v>45305</v>
      </c>
      <c r="B30" s="18">
        <v>17.5</v>
      </c>
      <c r="C30" s="15">
        <f>14*178+228.9+370.6</f>
        <v>3091.5</v>
      </c>
      <c r="D30" s="18">
        <v>16</v>
      </c>
      <c r="E30" s="15">
        <f>D30*109</f>
        <v>1744</v>
      </c>
      <c r="F30" s="18"/>
      <c r="G30" s="15"/>
      <c r="H30" s="19">
        <v>1</v>
      </c>
      <c r="I30" s="15">
        <v>133.2</v>
      </c>
      <c r="J30" s="18">
        <v>13.5</v>
      </c>
      <c r="K30" s="15">
        <f>8*228+1373.76</f>
        <v>3197.76</v>
      </c>
      <c r="L30" s="18"/>
      <c r="M30" s="15"/>
      <c r="N30" s="19"/>
      <c r="O30" s="15"/>
      <c r="P30" s="18"/>
      <c r="Q30" s="15"/>
      <c r="R30" s="18"/>
      <c r="S30" s="15"/>
      <c r="T30" s="18">
        <v>1</v>
      </c>
      <c r="U30" s="15">
        <v>0</v>
      </c>
      <c r="V30" s="18">
        <v>34</v>
      </c>
      <c r="W30" s="15">
        <f>W29-728.4</f>
        <v>1944.2</v>
      </c>
      <c r="X30" s="18"/>
      <c r="Y30" s="15"/>
      <c r="Z30" s="18">
        <v>1</v>
      </c>
      <c r="AA30" s="15">
        <v>53</v>
      </c>
      <c r="AB30" s="18">
        <v>9</v>
      </c>
      <c r="AC30" s="15">
        <f>2*98+590-AC29</f>
        <v>707.4</v>
      </c>
      <c r="AD30" s="18"/>
      <c r="AE30" s="15"/>
      <c r="AF30" s="18"/>
      <c r="AG30" s="15"/>
      <c r="AH30" s="18"/>
      <c r="AI30" s="15"/>
      <c r="AJ30" s="18"/>
      <c r="AK30" s="15"/>
      <c r="AL30" s="18"/>
      <c r="AM30" s="15">
        <f>AL30*139.5</f>
        <v>0</v>
      </c>
      <c r="AN30" s="18">
        <v>1</v>
      </c>
      <c r="AO30" s="15">
        <f>AN30*53</f>
        <v>53</v>
      </c>
      <c r="AP30" s="18"/>
      <c r="AQ30" s="15"/>
      <c r="AR30" s="18">
        <v>10000</v>
      </c>
      <c r="AS30" s="33"/>
      <c r="AT30" s="33">
        <f>C30+G30+K30+M30+Q30+S30+U30+W30+Y30+AA30+AC30+AE30+AG30+AI30+AK30+AM30+I30+AO30+AQ30+E30+O30</f>
        <v>10924.06</v>
      </c>
      <c r="AU30" s="33"/>
    </row>
    <row r="31" s="2" customFormat="1" customHeight="1" spans="1:47">
      <c r="A31" s="13"/>
      <c r="B31" s="14"/>
      <c r="C31" s="15"/>
      <c r="D31" s="14"/>
      <c r="E31" s="15"/>
      <c r="F31" s="14"/>
      <c r="G31" s="15"/>
      <c r="H31" s="16"/>
      <c r="I31" s="15"/>
      <c r="J31" s="14"/>
      <c r="K31" s="15"/>
      <c r="L31" s="14"/>
      <c r="M31" s="15"/>
      <c r="N31" s="16"/>
      <c r="O31" s="15"/>
      <c r="P31" s="14"/>
      <c r="Q31" s="15"/>
      <c r="R31" s="14"/>
      <c r="S31" s="15"/>
      <c r="T31" s="14"/>
      <c r="U31" s="15"/>
      <c r="V31" s="14">
        <v>29</v>
      </c>
      <c r="W31" s="15">
        <f>9*65+1000.6</f>
        <v>1585.6</v>
      </c>
      <c r="X31" s="14"/>
      <c r="Y31" s="15"/>
      <c r="Z31" s="14"/>
      <c r="AA31" s="15"/>
      <c r="AB31" s="14"/>
      <c r="AC31" s="15">
        <v>76.7</v>
      </c>
      <c r="AD31" s="14"/>
      <c r="AE31" s="15"/>
      <c r="AF31" s="14"/>
      <c r="AG31" s="15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33"/>
      <c r="AT31" s="33"/>
      <c r="AU31" s="33"/>
    </row>
    <row r="32" s="2" customFormat="1" customHeight="1" spans="1:47">
      <c r="A32" s="17">
        <v>45306</v>
      </c>
      <c r="B32" s="18">
        <v>9.5</v>
      </c>
      <c r="C32" s="15">
        <f>6*178+335.9+87.2</f>
        <v>1491.1</v>
      </c>
      <c r="D32" s="18">
        <v>13</v>
      </c>
      <c r="E32" s="15">
        <f>D32*109</f>
        <v>1417</v>
      </c>
      <c r="F32" s="18"/>
      <c r="G32" s="15"/>
      <c r="H32" s="19">
        <v>1</v>
      </c>
      <c r="I32" s="15">
        <v>133.2</v>
      </c>
      <c r="J32" s="18">
        <v>7</v>
      </c>
      <c r="K32" s="15">
        <f>J32*228</f>
        <v>1596</v>
      </c>
      <c r="L32" s="18"/>
      <c r="M32" s="15"/>
      <c r="N32" s="19">
        <v>1</v>
      </c>
      <c r="O32" s="15">
        <v>202.5</v>
      </c>
      <c r="P32" s="18"/>
      <c r="Q32" s="15"/>
      <c r="R32" s="18"/>
      <c r="S32" s="15"/>
      <c r="T32" s="18"/>
      <c r="U32" s="15"/>
      <c r="V32" s="18">
        <v>19</v>
      </c>
      <c r="W32" s="15">
        <f>W31-517.2</f>
        <v>1068.4</v>
      </c>
      <c r="X32" s="18">
        <v>1</v>
      </c>
      <c r="Y32" s="15">
        <v>68</v>
      </c>
      <c r="Z32" s="18">
        <v>1</v>
      </c>
      <c r="AA32" s="15">
        <v>53</v>
      </c>
      <c r="AB32" s="18">
        <v>9</v>
      </c>
      <c r="AC32" s="15">
        <f>767-AC31</f>
        <v>690.3</v>
      </c>
      <c r="AD32" s="18"/>
      <c r="AE32" s="15"/>
      <c r="AF32" s="18"/>
      <c r="AG32" s="15"/>
      <c r="AH32" s="18"/>
      <c r="AI32" s="15"/>
      <c r="AJ32" s="18"/>
      <c r="AK32" s="15"/>
      <c r="AL32" s="18"/>
      <c r="AM32" s="15">
        <f>AL32*139.5</f>
        <v>0</v>
      </c>
      <c r="AN32" s="18"/>
      <c r="AO32" s="15">
        <f>AN32*53</f>
        <v>0</v>
      </c>
      <c r="AP32" s="18"/>
      <c r="AQ32" s="15"/>
      <c r="AR32" s="18"/>
      <c r="AS32" s="33"/>
      <c r="AT32" s="33">
        <f>C32+G32+K32+M32+Q32+S32+U32+W32+Y32+AA32+AC32+AE32+AG32+AI32+AK32+AM32+I32+AO32+AQ32+E32+O32</f>
        <v>6719.5</v>
      </c>
      <c r="AU32" s="33"/>
    </row>
    <row r="33" s="2" customFormat="1" customHeight="1" spans="1:47">
      <c r="A33" s="13"/>
      <c r="B33" s="14"/>
      <c r="C33" s="15"/>
      <c r="D33" s="14"/>
      <c r="E33" s="15"/>
      <c r="F33" s="14"/>
      <c r="G33" s="15"/>
      <c r="H33" s="16"/>
      <c r="I33" s="15"/>
      <c r="J33" s="14"/>
      <c r="K33" s="15"/>
      <c r="L33" s="14"/>
      <c r="M33" s="15"/>
      <c r="N33" s="16"/>
      <c r="O33" s="15"/>
      <c r="P33" s="14"/>
      <c r="Q33" s="15"/>
      <c r="R33" s="14"/>
      <c r="S33" s="15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5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33"/>
      <c r="AT33" s="33"/>
      <c r="AU33" s="33"/>
    </row>
    <row r="34" s="2" customFormat="1" customHeight="1" spans="1:47">
      <c r="A34" s="17">
        <v>45307</v>
      </c>
      <c r="B34" s="18">
        <v>17</v>
      </c>
      <c r="C34" s="15">
        <f>11.5*178+686.6+252.88</f>
        <v>2986.48</v>
      </c>
      <c r="D34" s="18">
        <v>6</v>
      </c>
      <c r="E34" s="15">
        <f>D34*109</f>
        <v>654</v>
      </c>
      <c r="F34" s="18"/>
      <c r="G34" s="15"/>
      <c r="H34" s="19">
        <v>3</v>
      </c>
      <c r="I34" s="15">
        <f>H34*133.2</f>
        <v>399.6</v>
      </c>
      <c r="J34" s="18">
        <v>2</v>
      </c>
      <c r="K34" s="15">
        <f>J34*228</f>
        <v>456</v>
      </c>
      <c r="L34" s="18"/>
      <c r="M34" s="15"/>
      <c r="N34" s="19"/>
      <c r="O34" s="15"/>
      <c r="P34" s="18"/>
      <c r="Q34" s="15"/>
      <c r="R34" s="18"/>
      <c r="S34" s="15"/>
      <c r="T34" s="18"/>
      <c r="U34" s="15"/>
      <c r="V34" s="18">
        <v>16</v>
      </c>
      <c r="W34" s="15">
        <f>16*65</f>
        <v>1040</v>
      </c>
      <c r="X34" s="18"/>
      <c r="Y34" s="15"/>
      <c r="Z34" s="18">
        <v>1</v>
      </c>
      <c r="AA34" s="15">
        <v>53</v>
      </c>
      <c r="AB34" s="18"/>
      <c r="AC34" s="15"/>
      <c r="AD34" s="18"/>
      <c r="AE34" s="15"/>
      <c r="AF34" s="18"/>
      <c r="AG34" s="15"/>
      <c r="AH34" s="18"/>
      <c r="AI34" s="15"/>
      <c r="AJ34" s="18"/>
      <c r="AK34" s="15"/>
      <c r="AL34" s="18"/>
      <c r="AM34" s="15">
        <f>AL34*139.5</f>
        <v>0</v>
      </c>
      <c r="AN34" s="18">
        <v>6</v>
      </c>
      <c r="AO34" s="15">
        <f>AN34*53</f>
        <v>318</v>
      </c>
      <c r="AP34" s="18"/>
      <c r="AQ34" s="15"/>
      <c r="AR34" s="18"/>
      <c r="AS34" s="33"/>
      <c r="AT34" s="33">
        <f>C34+G34+K34+M34+Q34+S34+U34+W34+Y34+AA34+AC34+AE34+AG34+AI34+AK34+AM34+I34+AO34+AQ34+E34+O34</f>
        <v>5907.08</v>
      </c>
      <c r="AU34" s="33"/>
    </row>
    <row r="35" s="2" customFormat="1" customHeight="1" spans="1:47">
      <c r="A35" s="13"/>
      <c r="B35" s="14"/>
      <c r="C35" s="15"/>
      <c r="D35" s="14"/>
      <c r="E35" s="15"/>
      <c r="F35" s="14"/>
      <c r="G35" s="15"/>
      <c r="H35" s="16"/>
      <c r="I35" s="15"/>
      <c r="J35" s="14"/>
      <c r="K35" s="15"/>
      <c r="L35" s="14"/>
      <c r="M35" s="15"/>
      <c r="N35" s="16"/>
      <c r="O35" s="15"/>
      <c r="P35" s="14"/>
      <c r="Q35" s="15"/>
      <c r="R35" s="14"/>
      <c r="S35" s="15"/>
      <c r="T35" s="14"/>
      <c r="U35" s="15"/>
      <c r="V35" s="14">
        <v>34</v>
      </c>
      <c r="W35" s="15">
        <f>14*65+1007.76</f>
        <v>1917.76</v>
      </c>
      <c r="X35" s="14"/>
      <c r="Y35" s="15"/>
      <c r="Z35" s="14"/>
      <c r="AA35" s="15"/>
      <c r="AB35" s="14"/>
      <c r="AC35" s="15">
        <v>52.28</v>
      </c>
      <c r="AD35" s="14"/>
      <c r="AE35" s="15"/>
      <c r="AF35" s="14"/>
      <c r="AG35" s="15"/>
      <c r="AH35" s="14"/>
      <c r="AI35" s="15"/>
      <c r="AJ35" s="14"/>
      <c r="AK35" s="15"/>
      <c r="AL35" s="14"/>
      <c r="AM35" s="15"/>
      <c r="AN35" s="14"/>
      <c r="AO35" s="15"/>
      <c r="AP35" s="14"/>
      <c r="AQ35" s="15"/>
      <c r="AR35" s="14"/>
      <c r="AS35" s="33"/>
      <c r="AT35" s="33"/>
      <c r="AU35" s="33"/>
    </row>
    <row r="36" s="2" customFormat="1" customHeight="1" spans="1:47">
      <c r="A36" s="17">
        <v>45308</v>
      </c>
      <c r="B36" s="18">
        <v>23</v>
      </c>
      <c r="C36" s="15">
        <f>14*178+1502.02</f>
        <v>3994.02</v>
      </c>
      <c r="D36" s="18">
        <v>6</v>
      </c>
      <c r="E36" s="15">
        <f>D36*109</f>
        <v>654</v>
      </c>
      <c r="F36" s="18">
        <v>3</v>
      </c>
      <c r="G36" s="15">
        <f>F36*179</f>
        <v>537</v>
      </c>
      <c r="H36" s="19">
        <v>2</v>
      </c>
      <c r="I36" s="15">
        <f>H36*133.2</f>
        <v>266.4</v>
      </c>
      <c r="J36" s="18"/>
      <c r="K36" s="15"/>
      <c r="L36" s="18"/>
      <c r="M36" s="15"/>
      <c r="N36" s="19"/>
      <c r="O36" s="15"/>
      <c r="P36" s="18"/>
      <c r="Q36" s="15"/>
      <c r="R36" s="18"/>
      <c r="S36" s="15"/>
      <c r="T36" s="18">
        <v>1</v>
      </c>
      <c r="U36" s="15">
        <v>299.6</v>
      </c>
      <c r="V36" s="18">
        <v>26</v>
      </c>
      <c r="W36" s="15">
        <f>W35-419.96</f>
        <v>1497.8</v>
      </c>
      <c r="X36" s="18">
        <v>1</v>
      </c>
      <c r="Y36" s="15">
        <v>65</v>
      </c>
      <c r="Z36" s="18"/>
      <c r="AA36" s="15"/>
      <c r="AB36" s="18">
        <v>6</v>
      </c>
      <c r="AC36" s="15">
        <f>98+424.8-AC35</f>
        <v>470.52</v>
      </c>
      <c r="AD36" s="18"/>
      <c r="AE36" s="15"/>
      <c r="AF36" s="18"/>
      <c r="AG36" s="15"/>
      <c r="AH36" s="18"/>
      <c r="AI36" s="15"/>
      <c r="AJ36" s="18">
        <v>1</v>
      </c>
      <c r="AK36" s="15">
        <v>179</v>
      </c>
      <c r="AL36" s="18"/>
      <c r="AM36" s="15">
        <f>AL36*139.5</f>
        <v>0</v>
      </c>
      <c r="AN36" s="18">
        <v>10</v>
      </c>
      <c r="AO36" s="15">
        <f>AN36*53</f>
        <v>530</v>
      </c>
      <c r="AP36" s="18"/>
      <c r="AQ36" s="15"/>
      <c r="AR36" s="18"/>
      <c r="AS36" s="33"/>
      <c r="AT36" s="33">
        <f>C36+G36+K36+M36+Q36+S36+U36+W36+Y36+AA36+AC36+AE36+AG36+AI36+AK36+AM36+I36+AO36+AQ36+E36+O36</f>
        <v>8493.34</v>
      </c>
      <c r="AU36" s="33"/>
    </row>
    <row r="37" s="2" customFormat="1" customHeight="1" spans="1:47">
      <c r="A37" s="13"/>
      <c r="B37" s="14"/>
      <c r="C37" s="15"/>
      <c r="D37" s="14"/>
      <c r="E37" s="15"/>
      <c r="F37" s="14"/>
      <c r="G37" s="15"/>
      <c r="H37" s="16"/>
      <c r="I37" s="15"/>
      <c r="J37" s="14"/>
      <c r="K37" s="15"/>
      <c r="L37" s="14"/>
      <c r="M37" s="15"/>
      <c r="N37" s="16"/>
      <c r="O37" s="15"/>
      <c r="P37" s="14"/>
      <c r="Q37" s="15"/>
      <c r="R37" s="14"/>
      <c r="S37" s="15"/>
      <c r="T37" s="14"/>
      <c r="U37" s="15"/>
      <c r="V37" s="14">
        <v>37</v>
      </c>
      <c r="W37" s="15">
        <f>24*65+677.96</f>
        <v>2237.96</v>
      </c>
      <c r="X37" s="14"/>
      <c r="Y37" s="15"/>
      <c r="Z37" s="14"/>
      <c r="AA37" s="15"/>
      <c r="AB37" s="14"/>
      <c r="AC37" s="15">
        <v>83.68</v>
      </c>
      <c r="AD37" s="14"/>
      <c r="AE37" s="15"/>
      <c r="AF37" s="14"/>
      <c r="AG37" s="15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33"/>
      <c r="AT37" s="33"/>
      <c r="AU37" s="33"/>
    </row>
    <row r="38" s="2" customFormat="1" customHeight="1" spans="1:47">
      <c r="A38" s="17">
        <v>45309</v>
      </c>
      <c r="B38" s="18">
        <v>18.5</v>
      </c>
      <c r="C38" s="15">
        <f>13.5*178+832.76</f>
        <v>3235.76</v>
      </c>
      <c r="D38" s="18">
        <v>7</v>
      </c>
      <c r="E38" s="15">
        <f>D38*109</f>
        <v>763</v>
      </c>
      <c r="F38" s="18"/>
      <c r="G38" s="15"/>
      <c r="H38" s="19">
        <v>2</v>
      </c>
      <c r="I38" s="15">
        <f>H38*133.2</f>
        <v>266.4</v>
      </c>
      <c r="J38" s="18">
        <v>6.5</v>
      </c>
      <c r="K38" s="15">
        <f>4*228+547.2</f>
        <v>1459.2</v>
      </c>
      <c r="L38" s="18"/>
      <c r="M38" s="15"/>
      <c r="N38" s="19">
        <v>1</v>
      </c>
      <c r="O38" s="15">
        <v>202.5</v>
      </c>
      <c r="P38" s="18"/>
      <c r="Q38" s="15"/>
      <c r="R38" s="18"/>
      <c r="S38" s="15"/>
      <c r="T38" s="18"/>
      <c r="U38" s="15"/>
      <c r="V38" s="18">
        <v>28</v>
      </c>
      <c r="W38" s="15">
        <f>W37-501.96</f>
        <v>1736</v>
      </c>
      <c r="X38" s="18">
        <v>1</v>
      </c>
      <c r="Y38" s="15">
        <v>65</v>
      </c>
      <c r="Z38" s="18">
        <v>1</v>
      </c>
      <c r="AA38" s="15">
        <v>53</v>
      </c>
      <c r="AB38" s="18">
        <v>9</v>
      </c>
      <c r="AC38" s="15">
        <f>3*98+542.8-AC37</f>
        <v>753.12</v>
      </c>
      <c r="AD38" s="18"/>
      <c r="AE38" s="15"/>
      <c r="AF38" s="18"/>
      <c r="AG38" s="15"/>
      <c r="AH38" s="18"/>
      <c r="AI38" s="15"/>
      <c r="AJ38" s="18"/>
      <c r="AK38" s="15"/>
      <c r="AL38" s="18"/>
      <c r="AM38" s="15">
        <f>AL38*139.5</f>
        <v>0</v>
      </c>
      <c r="AN38" s="18">
        <v>8</v>
      </c>
      <c r="AO38" s="15">
        <f>AN38*53</f>
        <v>424</v>
      </c>
      <c r="AP38" s="18"/>
      <c r="AQ38" s="15"/>
      <c r="AR38" s="18"/>
      <c r="AS38" s="33"/>
      <c r="AT38" s="33">
        <f>C38+G38+K38+M38+Q38+S38+U38+W38+Y38+AA38+AC38+AE38+AG38+AI38+AK38+AM38+I38+AO38+AQ38+E38+O38</f>
        <v>8957.98</v>
      </c>
      <c r="AU38" s="33"/>
    </row>
    <row r="39" s="2" customFormat="1" customHeight="1" spans="1:47">
      <c r="A39" s="13"/>
      <c r="B39" s="14"/>
      <c r="C39" s="15"/>
      <c r="D39" s="14"/>
      <c r="E39" s="15"/>
      <c r="F39" s="14"/>
      <c r="G39" s="15"/>
      <c r="H39" s="16"/>
      <c r="I39" s="15"/>
      <c r="J39" s="14"/>
      <c r="K39" s="15"/>
      <c r="L39" s="14"/>
      <c r="M39" s="15"/>
      <c r="N39" s="16"/>
      <c r="O39" s="15"/>
      <c r="P39" s="14"/>
      <c r="Q39" s="15"/>
      <c r="R39" s="14"/>
      <c r="S39" s="15"/>
      <c r="T39" s="14"/>
      <c r="U39" s="15"/>
      <c r="V39" s="14">
        <v>21</v>
      </c>
      <c r="W39" s="15">
        <f>10*65+607.92</f>
        <v>1257.92</v>
      </c>
      <c r="X39" s="14"/>
      <c r="Y39" s="15"/>
      <c r="Z39" s="14"/>
      <c r="AA39" s="15"/>
      <c r="AB39" s="14"/>
      <c r="AC39" s="15">
        <v>28.68</v>
      </c>
      <c r="AD39" s="14"/>
      <c r="AE39" s="15"/>
      <c r="AF39" s="14"/>
      <c r="AG39" s="15"/>
      <c r="AH39" s="14"/>
      <c r="AI39" s="15"/>
      <c r="AJ39" s="14"/>
      <c r="AK39" s="15"/>
      <c r="AL39" s="14"/>
      <c r="AM39" s="15"/>
      <c r="AN39" s="14"/>
      <c r="AO39" s="15"/>
      <c r="AP39" s="14"/>
      <c r="AQ39" s="15"/>
      <c r="AR39" s="14"/>
      <c r="AS39" s="33"/>
      <c r="AT39" s="33"/>
      <c r="AU39" s="33"/>
    </row>
    <row r="40" s="2" customFormat="1" customHeight="1" spans="1:47">
      <c r="A40" s="17">
        <v>45310</v>
      </c>
      <c r="B40" s="18">
        <v>17</v>
      </c>
      <c r="C40" s="15">
        <f>11.5*178+852.38+87.2</f>
        <v>2986.58</v>
      </c>
      <c r="D40" s="18">
        <v>7</v>
      </c>
      <c r="E40" s="15">
        <f>D40*109</f>
        <v>763</v>
      </c>
      <c r="F40" s="18"/>
      <c r="G40" s="15"/>
      <c r="H40" s="19">
        <v>1</v>
      </c>
      <c r="I40" s="15">
        <v>133.2</v>
      </c>
      <c r="J40" s="18">
        <v>6.5</v>
      </c>
      <c r="K40" s="15">
        <f>5*228+354.24</f>
        <v>1494.24</v>
      </c>
      <c r="L40" s="18"/>
      <c r="M40" s="15"/>
      <c r="N40" s="19"/>
      <c r="O40" s="15"/>
      <c r="P40" s="18"/>
      <c r="Q40" s="15"/>
      <c r="R40" s="18"/>
      <c r="S40" s="15"/>
      <c r="T40" s="18">
        <v>1</v>
      </c>
      <c r="U40" s="15">
        <v>428</v>
      </c>
      <c r="V40" s="18">
        <v>13</v>
      </c>
      <c r="W40" s="15">
        <f>W39-459.12</f>
        <v>798.8</v>
      </c>
      <c r="X40" s="18"/>
      <c r="Y40" s="15"/>
      <c r="Z40" s="18"/>
      <c r="AA40" s="15"/>
      <c r="AB40" s="18">
        <v>3</v>
      </c>
      <c r="AC40" s="15">
        <f>98+188.8-AC39</f>
        <v>258.12</v>
      </c>
      <c r="AD40" s="18"/>
      <c r="AE40" s="15"/>
      <c r="AF40" s="18"/>
      <c r="AG40" s="15"/>
      <c r="AH40" s="18"/>
      <c r="AI40" s="15"/>
      <c r="AJ40" s="18"/>
      <c r="AK40" s="15"/>
      <c r="AL40" s="18"/>
      <c r="AM40" s="15">
        <f>AL40*139.5</f>
        <v>0</v>
      </c>
      <c r="AN40" s="18">
        <v>2</v>
      </c>
      <c r="AO40" s="15">
        <f>AN40*53</f>
        <v>106</v>
      </c>
      <c r="AP40" s="18"/>
      <c r="AQ40" s="15"/>
      <c r="AR40" s="18">
        <v>5000</v>
      </c>
      <c r="AS40" s="33"/>
      <c r="AT40" s="33">
        <f>C40+G40+K40+M40+Q40+S40+U40+W40+Y40+AA40+AC40+AE40+AG40+AI40+AK40+AM40+I40+AO40+AQ40+E40+O40</f>
        <v>6967.94</v>
      </c>
      <c r="AU40" s="33"/>
    </row>
    <row r="41" s="2" customFormat="1" customHeight="1" spans="1:47">
      <c r="A41" s="13"/>
      <c r="B41" s="14"/>
      <c r="C41" s="15"/>
      <c r="D41" s="14"/>
      <c r="E41" s="15"/>
      <c r="F41" s="14"/>
      <c r="G41" s="15"/>
      <c r="H41" s="16"/>
      <c r="I41" s="15"/>
      <c r="J41" s="14"/>
      <c r="K41" s="15"/>
      <c r="L41" s="14"/>
      <c r="M41" s="15"/>
      <c r="N41" s="16"/>
      <c r="O41" s="15"/>
      <c r="P41" s="14"/>
      <c r="Q41" s="15"/>
      <c r="R41" s="14"/>
      <c r="S41" s="15"/>
      <c r="T41" s="14"/>
      <c r="U41" s="15"/>
      <c r="V41" s="14">
        <v>13</v>
      </c>
      <c r="W41" s="15">
        <f>6*65+366.52</f>
        <v>756.52</v>
      </c>
      <c r="X41" s="14"/>
      <c r="Y41" s="15"/>
      <c r="Z41" s="14"/>
      <c r="AA41" s="15"/>
      <c r="AB41" s="14"/>
      <c r="AC41" s="15">
        <v>36.94</v>
      </c>
      <c r="AD41" s="14"/>
      <c r="AE41" s="15"/>
      <c r="AF41" s="14"/>
      <c r="AG41" s="15"/>
      <c r="AH41" s="14"/>
      <c r="AI41" s="15"/>
      <c r="AJ41" s="14"/>
      <c r="AK41" s="15"/>
      <c r="AL41" s="14"/>
      <c r="AM41" s="15"/>
      <c r="AN41" s="14"/>
      <c r="AO41" s="15"/>
      <c r="AP41" s="14"/>
      <c r="AQ41" s="15"/>
      <c r="AR41" s="14"/>
      <c r="AS41" s="33"/>
      <c r="AT41" s="33"/>
      <c r="AU41" s="33"/>
    </row>
    <row r="42" s="2" customFormat="1" customHeight="1" spans="1:47">
      <c r="A42" s="17">
        <v>45311</v>
      </c>
      <c r="B42" s="18">
        <v>15</v>
      </c>
      <c r="C42" s="15">
        <f>11.5*178+534.1</f>
        <v>2581.1</v>
      </c>
      <c r="D42" s="18">
        <v>20</v>
      </c>
      <c r="E42" s="15">
        <f>D42*109</f>
        <v>2180</v>
      </c>
      <c r="F42" s="18"/>
      <c r="G42" s="15"/>
      <c r="H42" s="19">
        <v>2</v>
      </c>
      <c r="I42" s="15">
        <f>H42*133.2</f>
        <v>266.4</v>
      </c>
      <c r="J42" s="18">
        <v>1.5</v>
      </c>
      <c r="K42" s="15">
        <v>345.6</v>
      </c>
      <c r="L42" s="18"/>
      <c r="M42" s="15"/>
      <c r="N42" s="19"/>
      <c r="O42" s="15"/>
      <c r="P42" s="18"/>
      <c r="Q42" s="15"/>
      <c r="R42" s="18"/>
      <c r="S42" s="15"/>
      <c r="T42" s="18"/>
      <c r="U42" s="15"/>
      <c r="V42" s="18">
        <v>8</v>
      </c>
      <c r="W42" s="15">
        <f>W41-271.32</f>
        <v>485.2</v>
      </c>
      <c r="X42" s="18"/>
      <c r="Y42" s="15"/>
      <c r="Z42" s="18">
        <v>5</v>
      </c>
      <c r="AA42" s="15">
        <f>Z42*53</f>
        <v>265</v>
      </c>
      <c r="AB42" s="18">
        <v>4</v>
      </c>
      <c r="AC42" s="15">
        <f>98+271.4-AC41</f>
        <v>332.46</v>
      </c>
      <c r="AD42" s="18"/>
      <c r="AE42" s="15"/>
      <c r="AF42" s="18"/>
      <c r="AG42" s="15"/>
      <c r="AH42" s="18"/>
      <c r="AI42" s="15"/>
      <c r="AJ42" s="18"/>
      <c r="AK42" s="15"/>
      <c r="AL42" s="18">
        <v>2</v>
      </c>
      <c r="AM42" s="15">
        <f>139.5+98</f>
        <v>237.5</v>
      </c>
      <c r="AN42" s="18">
        <v>6</v>
      </c>
      <c r="AO42" s="15">
        <f>5*53+42</f>
        <v>307</v>
      </c>
      <c r="AP42" s="18"/>
      <c r="AQ42" s="15"/>
      <c r="AR42" s="18"/>
      <c r="AS42" s="33"/>
      <c r="AT42" s="33">
        <f>C42+G42+K42+M42+Q42+S42+U42+W42+Y42+AA42+AC42+AE42+AG42+AI42+AK42+AM42+I42+AO42+AQ42+E42+O42</f>
        <v>7000.26</v>
      </c>
      <c r="AU42" s="33"/>
    </row>
    <row r="43" s="2" customFormat="1" customHeight="1" spans="1:47">
      <c r="A43" s="13"/>
      <c r="B43" s="14"/>
      <c r="C43" s="15"/>
      <c r="D43" s="14"/>
      <c r="E43" s="15"/>
      <c r="F43" s="14"/>
      <c r="G43" s="15"/>
      <c r="H43" s="16"/>
      <c r="I43" s="15"/>
      <c r="J43" s="14"/>
      <c r="K43" s="15"/>
      <c r="L43" s="14"/>
      <c r="M43" s="15"/>
      <c r="N43" s="16"/>
      <c r="O43" s="15"/>
      <c r="P43" s="14"/>
      <c r="Q43" s="15"/>
      <c r="R43" s="14"/>
      <c r="S43" s="15"/>
      <c r="T43" s="14"/>
      <c r="U43" s="15"/>
      <c r="V43" s="14">
        <v>44</v>
      </c>
      <c r="W43" s="15">
        <f>25*65+1036.32</f>
        <v>2661.32</v>
      </c>
      <c r="X43" s="14"/>
      <c r="Y43" s="15"/>
      <c r="Z43" s="14"/>
      <c r="AA43" s="15"/>
      <c r="AB43" s="14"/>
      <c r="AC43" s="15">
        <v>46.97</v>
      </c>
      <c r="AD43" s="14"/>
      <c r="AE43" s="15"/>
      <c r="AF43" s="14"/>
      <c r="AG43" s="15"/>
      <c r="AH43" s="14"/>
      <c r="AI43" s="15"/>
      <c r="AJ43" s="14"/>
      <c r="AK43" s="15"/>
      <c r="AL43" s="14"/>
      <c r="AM43" s="15"/>
      <c r="AN43" s="14"/>
      <c r="AO43" s="15"/>
      <c r="AP43" s="14"/>
      <c r="AQ43" s="15"/>
      <c r="AR43" s="14"/>
      <c r="AS43" s="33"/>
      <c r="AT43" s="33"/>
      <c r="AU43" s="33"/>
    </row>
    <row r="44" s="2" customFormat="1" customHeight="1" spans="1:47">
      <c r="A44" s="17">
        <v>45312</v>
      </c>
      <c r="B44" s="18">
        <v>15</v>
      </c>
      <c r="C44" s="15">
        <f>9*178+959.2</f>
        <v>2561.2</v>
      </c>
      <c r="D44" s="18">
        <v>17</v>
      </c>
      <c r="E44" s="15">
        <f>D44*109</f>
        <v>1853</v>
      </c>
      <c r="F44" s="18"/>
      <c r="G44" s="15"/>
      <c r="H44" s="19"/>
      <c r="I44" s="15"/>
      <c r="J44" s="18">
        <v>9</v>
      </c>
      <c r="K44" s="15">
        <f>6*228+576</f>
        <v>1944</v>
      </c>
      <c r="L44" s="18"/>
      <c r="M44" s="15"/>
      <c r="N44" s="19"/>
      <c r="O44" s="15"/>
      <c r="P44" s="18"/>
      <c r="Q44" s="15"/>
      <c r="R44" s="18"/>
      <c r="S44" s="15"/>
      <c r="T44" s="18">
        <v>1</v>
      </c>
      <c r="U44" s="15">
        <v>299.6</v>
      </c>
      <c r="V44" s="18">
        <v>33</v>
      </c>
      <c r="W44" s="15">
        <f>W43-608.72</f>
        <v>2052.6</v>
      </c>
      <c r="X44" s="18"/>
      <c r="Y44" s="15"/>
      <c r="Z44" s="18"/>
      <c r="AA44" s="15"/>
      <c r="AB44" s="18">
        <v>5</v>
      </c>
      <c r="AC44" s="15">
        <f>98+371.7-AC43</f>
        <v>422.73</v>
      </c>
      <c r="AD44" s="18"/>
      <c r="AE44" s="15"/>
      <c r="AF44" s="18"/>
      <c r="AG44" s="15"/>
      <c r="AH44" s="18"/>
      <c r="AI44" s="15"/>
      <c r="AJ44" s="18">
        <v>1</v>
      </c>
      <c r="AK44" s="15">
        <v>179</v>
      </c>
      <c r="AL44" s="18"/>
      <c r="AM44" s="15">
        <f>AL44*139.5</f>
        <v>0</v>
      </c>
      <c r="AN44" s="18">
        <v>8</v>
      </c>
      <c r="AO44" s="15">
        <f>AN44*53</f>
        <v>424</v>
      </c>
      <c r="AP44" s="18"/>
      <c r="AQ44" s="15"/>
      <c r="AR44" s="18"/>
      <c r="AS44" s="33"/>
      <c r="AT44" s="33">
        <f>C44+G44+K44+M44+Q44+S44+U44+W44+Y44+AA44+AC44+AE44+AG44+AI44+AK44+AM44+I44+AO44+AQ44+E44+O44</f>
        <v>9736.13</v>
      </c>
      <c r="AU44" s="33"/>
    </row>
    <row r="45" s="2" customFormat="1" customHeight="1" spans="1:47">
      <c r="A45" s="13"/>
      <c r="B45" s="14"/>
      <c r="C45" s="15"/>
      <c r="D45" s="14"/>
      <c r="E45" s="15"/>
      <c r="F45" s="14"/>
      <c r="G45" s="15"/>
      <c r="H45" s="16"/>
      <c r="I45" s="15"/>
      <c r="J45" s="14"/>
      <c r="K45" s="15"/>
      <c r="L45" s="14"/>
      <c r="M45" s="15"/>
      <c r="N45" s="16"/>
      <c r="O45" s="15"/>
      <c r="P45" s="14"/>
      <c r="Q45" s="15"/>
      <c r="R45" s="14"/>
      <c r="S45" s="15"/>
      <c r="T45" s="14"/>
      <c r="U45" s="15"/>
      <c r="V45" s="14">
        <v>29</v>
      </c>
      <c r="W45" s="15">
        <f>14*65+853.4</f>
        <v>1763.4</v>
      </c>
      <c r="X45" s="14"/>
      <c r="Y45" s="15"/>
      <c r="Z45" s="14"/>
      <c r="AA45" s="15"/>
      <c r="AB45" s="14"/>
      <c r="AC45" s="15">
        <v>46.15</v>
      </c>
      <c r="AD45" s="14"/>
      <c r="AE45" s="15"/>
      <c r="AF45" s="14"/>
      <c r="AG45" s="15"/>
      <c r="AH45" s="14"/>
      <c r="AI45" s="15"/>
      <c r="AJ45" s="14"/>
      <c r="AK45" s="15"/>
      <c r="AL45" s="14"/>
      <c r="AM45" s="15"/>
      <c r="AN45" s="14"/>
      <c r="AO45" s="15"/>
      <c r="AP45" s="14"/>
      <c r="AQ45" s="15"/>
      <c r="AR45" s="14"/>
      <c r="AS45" s="33"/>
      <c r="AT45" s="33"/>
      <c r="AU45" s="33"/>
    </row>
    <row r="46" s="2" customFormat="1" customHeight="1" spans="1:47">
      <c r="A46" s="20">
        <v>45313</v>
      </c>
      <c r="B46" s="18">
        <v>5.5</v>
      </c>
      <c r="C46" s="15">
        <f>B46*178</f>
        <v>979</v>
      </c>
      <c r="D46" s="18">
        <v>16</v>
      </c>
      <c r="E46" s="15">
        <f>D46*109</f>
        <v>1744</v>
      </c>
      <c r="F46" s="18"/>
      <c r="G46" s="15"/>
      <c r="H46" s="19"/>
      <c r="I46" s="15"/>
      <c r="J46" s="18">
        <v>1</v>
      </c>
      <c r="K46" s="15">
        <v>228</v>
      </c>
      <c r="L46" s="18"/>
      <c r="M46" s="15"/>
      <c r="N46" s="19"/>
      <c r="O46" s="15"/>
      <c r="P46" s="18"/>
      <c r="Q46" s="15"/>
      <c r="R46" s="18"/>
      <c r="S46" s="15"/>
      <c r="T46" s="18">
        <v>1</v>
      </c>
      <c r="U46" s="15">
        <v>342.4</v>
      </c>
      <c r="V46" s="18">
        <v>18</v>
      </c>
      <c r="W46" s="15">
        <f>W45-613.2</f>
        <v>1150.2</v>
      </c>
      <c r="X46" s="18">
        <v>1</v>
      </c>
      <c r="Y46" s="15">
        <v>65</v>
      </c>
      <c r="Z46" s="18"/>
      <c r="AA46" s="15"/>
      <c r="AB46" s="18">
        <v>5</v>
      </c>
      <c r="AC46" s="15">
        <f>2*98+265.5-AC45</f>
        <v>415.35</v>
      </c>
      <c r="AD46" s="18"/>
      <c r="AE46" s="15"/>
      <c r="AF46" s="18"/>
      <c r="AG46" s="15"/>
      <c r="AH46" s="18"/>
      <c r="AI46" s="15"/>
      <c r="AJ46" s="18"/>
      <c r="AK46" s="15"/>
      <c r="AL46" s="18"/>
      <c r="AM46" s="15">
        <f>AL46*139.5</f>
        <v>0</v>
      </c>
      <c r="AN46" s="18">
        <v>2</v>
      </c>
      <c r="AO46" s="15">
        <f>AN46*53</f>
        <v>106</v>
      </c>
      <c r="AP46" s="18"/>
      <c r="AQ46" s="15"/>
      <c r="AR46" s="18">
        <v>10000</v>
      </c>
      <c r="AS46" s="33"/>
      <c r="AT46" s="33">
        <f>C46+G46+K46+M46+Q46+S46+U46+W46+Y46+AA46+AC46+AE46+AG46+AI46+AK46+AM46+I46+AO46+AQ46+E46+O46</f>
        <v>5029.95</v>
      </c>
      <c r="AU46" s="33"/>
    </row>
    <row r="47" s="2" customFormat="1" customHeight="1" spans="1:47">
      <c r="A47" s="13"/>
      <c r="B47" s="14"/>
      <c r="C47" s="15"/>
      <c r="D47" s="14"/>
      <c r="E47" s="15"/>
      <c r="F47" s="14"/>
      <c r="G47" s="15"/>
      <c r="H47" s="16"/>
      <c r="I47" s="15"/>
      <c r="J47" s="14"/>
      <c r="K47" s="15"/>
      <c r="L47" s="14"/>
      <c r="M47" s="15"/>
      <c r="N47" s="16"/>
      <c r="O47" s="15"/>
      <c r="P47" s="14"/>
      <c r="Q47" s="15"/>
      <c r="R47" s="14"/>
      <c r="S47" s="15"/>
      <c r="T47" s="14"/>
      <c r="U47" s="15"/>
      <c r="V47" s="14"/>
      <c r="W47" s="15"/>
      <c r="X47" s="14"/>
      <c r="Y47" s="15"/>
      <c r="Z47" s="14"/>
      <c r="AA47" s="15"/>
      <c r="AB47" s="14"/>
      <c r="AC47" s="15"/>
      <c r="AD47" s="14"/>
      <c r="AE47" s="15"/>
      <c r="AF47" s="14"/>
      <c r="AG47" s="15"/>
      <c r="AH47" s="14"/>
      <c r="AI47" s="15"/>
      <c r="AJ47" s="14"/>
      <c r="AK47" s="15"/>
      <c r="AL47" s="14"/>
      <c r="AM47" s="15"/>
      <c r="AN47" s="14"/>
      <c r="AO47" s="15"/>
      <c r="AP47" s="14"/>
      <c r="AQ47" s="15"/>
      <c r="AR47" s="14"/>
      <c r="AS47" s="33"/>
      <c r="AT47" s="33"/>
      <c r="AU47" s="33"/>
    </row>
    <row r="48" s="2" customFormat="1" customHeight="1" spans="1:47">
      <c r="A48" s="17">
        <v>45314</v>
      </c>
      <c r="B48" s="18">
        <v>7</v>
      </c>
      <c r="C48" s="15">
        <f>3*178+669.26</f>
        <v>1203.26</v>
      </c>
      <c r="D48" s="18">
        <v>6</v>
      </c>
      <c r="E48" s="15">
        <f>D48*109</f>
        <v>654</v>
      </c>
      <c r="F48" s="18"/>
      <c r="G48" s="15"/>
      <c r="H48" s="19"/>
      <c r="I48" s="15"/>
      <c r="J48" s="18">
        <v>1</v>
      </c>
      <c r="K48" s="15">
        <v>216</v>
      </c>
      <c r="L48" s="18"/>
      <c r="M48" s="15"/>
      <c r="N48" s="19"/>
      <c r="O48" s="15"/>
      <c r="P48" s="18"/>
      <c r="Q48" s="15"/>
      <c r="R48" s="18"/>
      <c r="S48" s="15"/>
      <c r="T48" s="18"/>
      <c r="U48" s="15"/>
      <c r="V48" s="18">
        <v>6</v>
      </c>
      <c r="W48" s="15">
        <v>306</v>
      </c>
      <c r="X48" s="18"/>
      <c r="Y48" s="15"/>
      <c r="Z48" s="18"/>
      <c r="AA48" s="15"/>
      <c r="AB48" s="18"/>
      <c r="AC48" s="15"/>
      <c r="AD48" s="18"/>
      <c r="AE48" s="15"/>
      <c r="AF48" s="18"/>
      <c r="AG48" s="15"/>
      <c r="AH48" s="18"/>
      <c r="AI48" s="15"/>
      <c r="AJ48" s="18"/>
      <c r="AK48" s="15"/>
      <c r="AL48" s="18"/>
      <c r="AM48" s="15">
        <f>AL48*139.5</f>
        <v>0</v>
      </c>
      <c r="AN48" s="18">
        <v>3</v>
      </c>
      <c r="AO48" s="15">
        <f>AN48*53</f>
        <v>159</v>
      </c>
      <c r="AP48" s="18"/>
      <c r="AQ48" s="15"/>
      <c r="AR48" s="18">
        <v>7000</v>
      </c>
      <c r="AS48" s="33"/>
      <c r="AT48" s="33">
        <f>C48+G48+K48+M48+Q48+S48+U48+W48+Y48+AA48+AC48+AE48+AG48+AI48+AK48+AM48+I48+AO48+AQ48+E48+O48</f>
        <v>2538.26</v>
      </c>
      <c r="AU48" s="33"/>
    </row>
    <row r="49" s="2" customFormat="1" customHeight="1" spans="1:47">
      <c r="A49" s="13"/>
      <c r="B49" s="14"/>
      <c r="C49" s="15"/>
      <c r="D49" s="14"/>
      <c r="E49" s="15"/>
      <c r="F49" s="14"/>
      <c r="G49" s="15"/>
      <c r="H49" s="16"/>
      <c r="I49" s="15"/>
      <c r="J49" s="14"/>
      <c r="K49" s="15"/>
      <c r="L49" s="14"/>
      <c r="M49" s="15"/>
      <c r="N49" s="16"/>
      <c r="O49" s="15"/>
      <c r="P49" s="14"/>
      <c r="Q49" s="15"/>
      <c r="R49" s="14"/>
      <c r="S49" s="15"/>
      <c r="T49" s="14"/>
      <c r="U49" s="15"/>
      <c r="V49" s="14">
        <v>34</v>
      </c>
      <c r="W49" s="15">
        <f>18*65+860.2-68</f>
        <v>1962.2</v>
      </c>
      <c r="X49" s="14"/>
      <c r="Y49" s="15"/>
      <c r="Z49" s="14"/>
      <c r="AA49" s="15"/>
      <c r="AB49" s="14"/>
      <c r="AC49" s="15">
        <v>17.11</v>
      </c>
      <c r="AD49" s="14"/>
      <c r="AE49" s="15"/>
      <c r="AF49" s="14"/>
      <c r="AG49" s="15"/>
      <c r="AH49" s="14"/>
      <c r="AI49" s="15"/>
      <c r="AJ49" s="14"/>
      <c r="AK49" s="15"/>
      <c r="AL49" s="14"/>
      <c r="AM49" s="15"/>
      <c r="AN49" s="14"/>
      <c r="AO49" s="15"/>
      <c r="AP49" s="14"/>
      <c r="AQ49" s="15"/>
      <c r="AR49" s="14"/>
      <c r="AS49" s="33"/>
      <c r="AT49" s="33"/>
      <c r="AU49" s="33"/>
    </row>
    <row r="50" s="2" customFormat="1" customHeight="1" spans="1:47">
      <c r="A50" s="17">
        <v>45315</v>
      </c>
      <c r="B50" s="18">
        <v>7</v>
      </c>
      <c r="C50" s="15">
        <f>6*178+174.4</f>
        <v>1242.4</v>
      </c>
      <c r="D50" s="18">
        <v>10</v>
      </c>
      <c r="E50" s="15">
        <f>D50*109</f>
        <v>1090</v>
      </c>
      <c r="F50" s="18"/>
      <c r="G50" s="15"/>
      <c r="H50" s="19"/>
      <c r="I50" s="15"/>
      <c r="J50" s="18">
        <v>1</v>
      </c>
      <c r="K50" s="15">
        <v>228</v>
      </c>
      <c r="L50" s="18"/>
      <c r="M50" s="15"/>
      <c r="N50" s="19"/>
      <c r="O50" s="15"/>
      <c r="P50" s="18"/>
      <c r="Q50" s="15"/>
      <c r="R50" s="18"/>
      <c r="S50" s="15"/>
      <c r="T50" s="18"/>
      <c r="U50" s="15"/>
      <c r="V50" s="18">
        <v>23</v>
      </c>
      <c r="W50" s="15">
        <f>W49-616.2</f>
        <v>1346</v>
      </c>
      <c r="X50" s="18"/>
      <c r="Y50" s="15"/>
      <c r="Z50" s="18"/>
      <c r="AA50" s="15"/>
      <c r="AB50" s="18">
        <v>3</v>
      </c>
      <c r="AC50" s="15">
        <f>289.1-118-AC49</f>
        <v>153.99</v>
      </c>
      <c r="AD50" s="18"/>
      <c r="AE50" s="15"/>
      <c r="AF50" s="18"/>
      <c r="AG50" s="15"/>
      <c r="AH50" s="18"/>
      <c r="AI50" s="15"/>
      <c r="AJ50" s="18"/>
      <c r="AK50" s="15"/>
      <c r="AL50" s="18"/>
      <c r="AM50" s="15">
        <f>AL50*139.5</f>
        <v>0</v>
      </c>
      <c r="AN50" s="18">
        <v>4</v>
      </c>
      <c r="AO50" s="15">
        <f>AN50*53</f>
        <v>212</v>
      </c>
      <c r="AP50" s="18"/>
      <c r="AQ50" s="15"/>
      <c r="AR50" s="18">
        <v>10000</v>
      </c>
      <c r="AS50" s="33"/>
      <c r="AT50" s="33">
        <f>C50+G50+K50+M50+Q50+S50+U50+W50+Y50+AA50+AC50+AE50+AG50+AI50+AK50+AM50+I50+AO50+AQ50+E50+O50</f>
        <v>4272.39</v>
      </c>
      <c r="AU50" s="33"/>
    </row>
    <row r="51" s="2" customFormat="1" customHeight="1" spans="1:47">
      <c r="A51" s="13"/>
      <c r="B51" s="14"/>
      <c r="C51" s="15"/>
      <c r="D51" s="14"/>
      <c r="E51" s="15"/>
      <c r="F51" s="14"/>
      <c r="G51" s="15"/>
      <c r="H51" s="16"/>
      <c r="I51" s="15"/>
      <c r="J51" s="14"/>
      <c r="K51" s="15"/>
      <c r="L51" s="14"/>
      <c r="M51" s="15"/>
      <c r="N51" s="16"/>
      <c r="O51" s="15"/>
      <c r="P51" s="14"/>
      <c r="Q51" s="15"/>
      <c r="R51" s="14"/>
      <c r="S51" s="15"/>
      <c r="T51" s="14"/>
      <c r="U51" s="15"/>
      <c r="V51" s="14">
        <v>13</v>
      </c>
      <c r="W51" s="15">
        <f>6*65+374</f>
        <v>764</v>
      </c>
      <c r="X51" s="14"/>
      <c r="Y51" s="15"/>
      <c r="Z51" s="14"/>
      <c r="AA51" s="15"/>
      <c r="AB51" s="14"/>
      <c r="AC51" s="15">
        <v>18.65</v>
      </c>
      <c r="AD51" s="14"/>
      <c r="AE51" s="15"/>
      <c r="AF51" s="14"/>
      <c r="AG51" s="15"/>
      <c r="AH51" s="14"/>
      <c r="AI51" s="15"/>
      <c r="AJ51" s="14"/>
      <c r="AK51" s="15"/>
      <c r="AL51" s="14"/>
      <c r="AM51" s="15"/>
      <c r="AN51" s="14"/>
      <c r="AO51" s="15"/>
      <c r="AP51" s="14"/>
      <c r="AQ51" s="15"/>
      <c r="AR51" s="14"/>
      <c r="AS51" s="33"/>
      <c r="AT51" s="33"/>
      <c r="AU51" s="33"/>
    </row>
    <row r="52" s="2" customFormat="1" customHeight="1" spans="1:47">
      <c r="A52" s="17">
        <v>45316</v>
      </c>
      <c r="B52" s="18">
        <v>6</v>
      </c>
      <c r="C52" s="15">
        <f>1.5*178+494.86+234.34</f>
        <v>996.2</v>
      </c>
      <c r="D52" s="18">
        <v>9</v>
      </c>
      <c r="E52" s="15">
        <f>D52*109</f>
        <v>981</v>
      </c>
      <c r="F52" s="18"/>
      <c r="G52" s="15"/>
      <c r="H52" s="19">
        <v>1</v>
      </c>
      <c r="I52" s="15">
        <v>133.2</v>
      </c>
      <c r="J52" s="18">
        <v>2</v>
      </c>
      <c r="K52" s="15">
        <f>J52*228</f>
        <v>456</v>
      </c>
      <c r="L52" s="18"/>
      <c r="M52" s="15"/>
      <c r="N52" s="19"/>
      <c r="O52" s="15"/>
      <c r="P52" s="18"/>
      <c r="Q52" s="15"/>
      <c r="R52" s="18"/>
      <c r="S52" s="15"/>
      <c r="T52" s="18"/>
      <c r="U52" s="15"/>
      <c r="V52" s="18">
        <v>5</v>
      </c>
      <c r="W52" s="15">
        <f>W51-449.6</f>
        <v>314.4</v>
      </c>
      <c r="X52" s="18"/>
      <c r="Y52" s="15"/>
      <c r="Z52" s="18"/>
      <c r="AA52" s="15"/>
      <c r="AB52" s="18">
        <v>2</v>
      </c>
      <c r="AC52" s="15">
        <f>98+88.5-AC51</f>
        <v>167.85</v>
      </c>
      <c r="AD52" s="18"/>
      <c r="AE52" s="15"/>
      <c r="AF52" s="18"/>
      <c r="AG52" s="15"/>
      <c r="AH52" s="18"/>
      <c r="AI52" s="15"/>
      <c r="AJ52" s="18"/>
      <c r="AK52" s="15"/>
      <c r="AL52" s="18"/>
      <c r="AM52" s="15">
        <f>AL52*139.5</f>
        <v>0</v>
      </c>
      <c r="AN52" s="18"/>
      <c r="AO52" s="15">
        <f>AN52*53</f>
        <v>0</v>
      </c>
      <c r="AP52" s="18"/>
      <c r="AQ52" s="15"/>
      <c r="AR52" s="18"/>
      <c r="AS52" s="33"/>
      <c r="AT52" s="33">
        <f>C52+G52+K52+M52+Q52+S52+U52+W52+Y52+AA52+AC52+AE52+AG52+AI52+AK52+AM52+I52+AO52+AQ52+E52+O52</f>
        <v>3048.65</v>
      </c>
      <c r="AU52" s="33"/>
    </row>
    <row r="53" s="2" customFormat="1" customHeight="1" spans="1:47">
      <c r="A53" s="13"/>
      <c r="B53" s="14"/>
      <c r="C53" s="15"/>
      <c r="D53" s="14"/>
      <c r="E53" s="15"/>
      <c r="F53" s="14"/>
      <c r="G53" s="15"/>
      <c r="H53" s="16"/>
      <c r="I53" s="15"/>
      <c r="J53" s="14"/>
      <c r="K53" s="15"/>
      <c r="L53" s="14"/>
      <c r="M53" s="15"/>
      <c r="N53" s="16"/>
      <c r="O53" s="15"/>
      <c r="P53" s="14"/>
      <c r="Q53" s="15"/>
      <c r="R53" s="14"/>
      <c r="S53" s="15"/>
      <c r="T53" s="14"/>
      <c r="U53" s="15"/>
      <c r="V53" s="14">
        <v>42</v>
      </c>
      <c r="W53" s="15">
        <f>8*65+1802</f>
        <v>2322</v>
      </c>
      <c r="X53" s="14"/>
      <c r="Y53" s="15"/>
      <c r="Z53" s="14"/>
      <c r="AA53" s="15"/>
      <c r="AB53" s="14"/>
      <c r="AC53" s="15">
        <v>46.02</v>
      </c>
      <c r="AD53" s="14"/>
      <c r="AE53" s="15"/>
      <c r="AF53" s="14"/>
      <c r="AG53" s="15"/>
      <c r="AH53" s="14"/>
      <c r="AI53" s="15"/>
      <c r="AJ53" s="14"/>
      <c r="AK53" s="15"/>
      <c r="AL53" s="14"/>
      <c r="AM53" s="15"/>
      <c r="AN53" s="14"/>
      <c r="AO53" s="15"/>
      <c r="AP53" s="14"/>
      <c r="AQ53" s="15"/>
      <c r="AR53" s="14"/>
      <c r="AS53" s="33"/>
      <c r="AT53" s="33"/>
      <c r="AU53" s="33"/>
    </row>
    <row r="54" s="2" customFormat="1" customHeight="1" spans="1:47">
      <c r="A54" s="17">
        <v>45317</v>
      </c>
      <c r="B54" s="18">
        <v>11</v>
      </c>
      <c r="C54" s="15">
        <f>7*178+647.46</f>
        <v>1893.46</v>
      </c>
      <c r="D54" s="18">
        <v>16</v>
      </c>
      <c r="E54" s="15">
        <f>D54*109</f>
        <v>1744</v>
      </c>
      <c r="F54" s="18"/>
      <c r="G54" s="15"/>
      <c r="H54" s="19"/>
      <c r="I54" s="15"/>
      <c r="J54" s="18">
        <v>2</v>
      </c>
      <c r="K54" s="15">
        <f>J54*228</f>
        <v>456</v>
      </c>
      <c r="L54" s="18"/>
      <c r="M54" s="15"/>
      <c r="N54" s="19"/>
      <c r="O54" s="15"/>
      <c r="P54" s="18"/>
      <c r="Q54" s="15"/>
      <c r="R54" s="18"/>
      <c r="S54" s="15"/>
      <c r="T54" s="18"/>
      <c r="U54" s="15"/>
      <c r="V54" s="18">
        <v>31</v>
      </c>
      <c r="W54" s="15">
        <f>W53-564.4</f>
        <v>1757.6</v>
      </c>
      <c r="X54" s="18"/>
      <c r="Y54" s="15"/>
      <c r="Z54" s="18"/>
      <c r="AA54" s="15"/>
      <c r="AB54" s="18">
        <v>5</v>
      </c>
      <c r="AC54" s="15">
        <f>460.2-AC53</f>
        <v>414.18</v>
      </c>
      <c r="AD54" s="18"/>
      <c r="AE54" s="15"/>
      <c r="AF54" s="18"/>
      <c r="AG54" s="15"/>
      <c r="AH54" s="18"/>
      <c r="AI54" s="15"/>
      <c r="AJ54" s="18"/>
      <c r="AK54" s="15"/>
      <c r="AL54" s="18">
        <v>1</v>
      </c>
      <c r="AM54" s="15">
        <f>AL54*139.5</f>
        <v>139.5</v>
      </c>
      <c r="AN54" s="18">
        <v>3</v>
      </c>
      <c r="AO54" s="15">
        <f>AN54*53</f>
        <v>159</v>
      </c>
      <c r="AP54" s="18"/>
      <c r="AQ54" s="15"/>
      <c r="AR54" s="18">
        <v>10000</v>
      </c>
      <c r="AS54" s="33"/>
      <c r="AT54" s="33">
        <f>C54+G54+K54+M54+Q54+S54+U54+W54+Y54+AA54+AC54+AE54+AG54+AI54+AK54+AM54+I54+AO54+AQ54+E54+O54</f>
        <v>6563.74</v>
      </c>
      <c r="AU54" s="33"/>
    </row>
    <row r="55" s="2" customFormat="1" customHeight="1" spans="1:47">
      <c r="A55" s="13"/>
      <c r="B55" s="14"/>
      <c r="C55" s="15"/>
      <c r="D55" s="14"/>
      <c r="E55" s="15"/>
      <c r="F55" s="14"/>
      <c r="G55" s="15"/>
      <c r="H55" s="16"/>
      <c r="I55" s="15"/>
      <c r="J55" s="14"/>
      <c r="K55" s="15"/>
      <c r="L55" s="14"/>
      <c r="M55" s="15"/>
      <c r="N55" s="16"/>
      <c r="O55" s="15"/>
      <c r="P55" s="14"/>
      <c r="Q55" s="15"/>
      <c r="R55" s="14"/>
      <c r="S55" s="15"/>
      <c r="T55" s="14"/>
      <c r="U55" s="15"/>
      <c r="V55" s="14">
        <v>34</v>
      </c>
      <c r="W55" s="15">
        <f>19*65+786.76</f>
        <v>2021.76</v>
      </c>
      <c r="X55" s="14"/>
      <c r="Y55" s="15"/>
      <c r="Z55" s="14"/>
      <c r="AA55" s="15"/>
      <c r="AB55" s="14"/>
      <c r="AC55" s="15">
        <v>35.17</v>
      </c>
      <c r="AD55" s="14"/>
      <c r="AE55" s="15"/>
      <c r="AF55" s="14"/>
      <c r="AG55" s="15"/>
      <c r="AH55" s="14"/>
      <c r="AI55" s="15"/>
      <c r="AJ55" s="14"/>
      <c r="AK55" s="15"/>
      <c r="AL55" s="14"/>
      <c r="AM55" s="15"/>
      <c r="AN55" s="14"/>
      <c r="AO55" s="15"/>
      <c r="AP55" s="14"/>
      <c r="AQ55" s="15"/>
      <c r="AR55" s="14"/>
      <c r="AS55" s="33"/>
      <c r="AT55" s="33"/>
      <c r="AU55" s="33"/>
    </row>
    <row r="56" s="2" customFormat="1" customHeight="1" spans="1:47">
      <c r="A56" s="20">
        <v>45318</v>
      </c>
      <c r="B56" s="18">
        <v>7</v>
      </c>
      <c r="C56" s="15">
        <f>6*178+18</f>
        <v>1086</v>
      </c>
      <c r="D56" s="18">
        <v>16</v>
      </c>
      <c r="E56" s="15">
        <f>D56*109</f>
        <v>1744</v>
      </c>
      <c r="F56" s="18"/>
      <c r="G56" s="15"/>
      <c r="H56" s="19"/>
      <c r="I56" s="15"/>
      <c r="J56" s="18">
        <v>10</v>
      </c>
      <c r="K56" s="15">
        <f>7*228+691.2</f>
        <v>2287.2</v>
      </c>
      <c r="L56" s="18"/>
      <c r="M56" s="15"/>
      <c r="N56" s="19"/>
      <c r="O56" s="15"/>
      <c r="P56" s="18"/>
      <c r="Q56" s="15"/>
      <c r="R56" s="18"/>
      <c r="S56" s="15"/>
      <c r="T56" s="18"/>
      <c r="U56" s="15"/>
      <c r="V56" s="18">
        <v>25</v>
      </c>
      <c r="W56" s="15">
        <f>W55-470.56</f>
        <v>1551.2</v>
      </c>
      <c r="X56" s="18"/>
      <c r="Y56" s="15"/>
      <c r="Z56" s="18"/>
      <c r="AA56" s="15"/>
      <c r="AB56" s="18">
        <v>4</v>
      </c>
      <c r="AC56" s="15">
        <f>98+253.7-AC55</f>
        <v>316.53</v>
      </c>
      <c r="AD56" s="18"/>
      <c r="AE56" s="15"/>
      <c r="AF56" s="18"/>
      <c r="AG56" s="15"/>
      <c r="AH56" s="18"/>
      <c r="AI56" s="15"/>
      <c r="AJ56" s="18"/>
      <c r="AK56" s="15"/>
      <c r="AL56" s="18">
        <v>1</v>
      </c>
      <c r="AM56" s="15">
        <f>AL56*139.5</f>
        <v>139.5</v>
      </c>
      <c r="AN56" s="18">
        <v>7</v>
      </c>
      <c r="AO56" s="15">
        <f>AN56*53</f>
        <v>371</v>
      </c>
      <c r="AP56" s="18"/>
      <c r="AQ56" s="15"/>
      <c r="AR56" s="18"/>
      <c r="AS56" s="33"/>
      <c r="AT56" s="33">
        <f>C56+G56+K56+M56+Q56+S56+U56+W56+Y56+AA56+AC56+AE56+AG56+AI56+AK56+AM56+I56+AO56+AQ56+E56+O56</f>
        <v>7495.43</v>
      </c>
      <c r="AU56" s="33"/>
    </row>
    <row r="57" s="2" customFormat="1" customHeight="1" spans="1:47">
      <c r="A57" s="13"/>
      <c r="B57" s="14"/>
      <c r="C57" s="15"/>
      <c r="D57" s="14"/>
      <c r="E57" s="15"/>
      <c r="F57" s="14"/>
      <c r="G57" s="15"/>
      <c r="H57" s="16"/>
      <c r="I57" s="15"/>
      <c r="J57" s="14"/>
      <c r="K57" s="15"/>
      <c r="L57" s="14"/>
      <c r="M57" s="15"/>
      <c r="N57" s="16"/>
      <c r="O57" s="15"/>
      <c r="P57" s="14"/>
      <c r="Q57" s="15"/>
      <c r="R57" s="14"/>
      <c r="S57" s="15"/>
      <c r="T57" s="14"/>
      <c r="U57" s="15"/>
      <c r="V57" s="14">
        <v>15</v>
      </c>
      <c r="W57" s="15">
        <f>6*65+200+269.96</f>
        <v>859.96</v>
      </c>
      <c r="X57" s="14"/>
      <c r="Y57" s="15"/>
      <c r="Z57" s="14"/>
      <c r="AA57" s="15"/>
      <c r="AB57" s="14"/>
      <c r="AC57" s="15">
        <v>18.65</v>
      </c>
      <c r="AD57" s="14"/>
      <c r="AE57" s="15"/>
      <c r="AF57" s="14"/>
      <c r="AG57" s="15"/>
      <c r="AH57" s="14"/>
      <c r="AI57" s="15"/>
      <c r="AJ57" s="14"/>
      <c r="AK57" s="15"/>
      <c r="AL57" s="14"/>
      <c r="AM57" s="15"/>
      <c r="AN57" s="14"/>
      <c r="AO57" s="15"/>
      <c r="AP57" s="14"/>
      <c r="AQ57" s="15"/>
      <c r="AR57" s="14"/>
      <c r="AS57" s="33"/>
      <c r="AT57" s="33"/>
      <c r="AU57" s="33"/>
    </row>
    <row r="58" s="2" customFormat="1" customHeight="1" spans="1:47">
      <c r="A58" s="17">
        <v>45319</v>
      </c>
      <c r="B58" s="18">
        <v>8.5</v>
      </c>
      <c r="C58" s="15">
        <f>5.5*178+457.8</f>
        <v>1436.8</v>
      </c>
      <c r="D58" s="18">
        <v>9</v>
      </c>
      <c r="E58" s="15">
        <f>D58*109</f>
        <v>981</v>
      </c>
      <c r="F58" s="18"/>
      <c r="G58" s="15"/>
      <c r="H58" s="19"/>
      <c r="I58" s="15"/>
      <c r="J58" s="18">
        <v>5.5</v>
      </c>
      <c r="K58" s="15">
        <f>4*228+345.6</f>
        <v>1257.6</v>
      </c>
      <c r="L58" s="18"/>
      <c r="M58" s="15"/>
      <c r="N58" s="19"/>
      <c r="O58" s="15"/>
      <c r="P58" s="18"/>
      <c r="Q58" s="15"/>
      <c r="R58" s="18"/>
      <c r="S58" s="15"/>
      <c r="T58" s="18"/>
      <c r="U58" s="15"/>
      <c r="V58" s="18">
        <v>9</v>
      </c>
      <c r="W58" s="15">
        <f>W57-334.96</f>
        <v>525</v>
      </c>
      <c r="X58" s="18"/>
      <c r="Y58" s="15"/>
      <c r="Z58" s="18">
        <v>1</v>
      </c>
      <c r="AA58" s="15">
        <v>53</v>
      </c>
      <c r="AB58" s="18">
        <v>2</v>
      </c>
      <c r="AC58" s="15">
        <f>98+88.5-AC57</f>
        <v>167.85</v>
      </c>
      <c r="AD58" s="18"/>
      <c r="AE58" s="15"/>
      <c r="AF58" s="18"/>
      <c r="AG58" s="15"/>
      <c r="AH58" s="18"/>
      <c r="AI58" s="15"/>
      <c r="AJ58" s="18"/>
      <c r="AK58" s="15"/>
      <c r="AL58" s="18">
        <v>4</v>
      </c>
      <c r="AM58" s="15">
        <f>AL58*139.5</f>
        <v>558</v>
      </c>
      <c r="AN58" s="18">
        <v>8</v>
      </c>
      <c r="AO58" s="15">
        <f>AN58*53</f>
        <v>424</v>
      </c>
      <c r="AP58" s="18"/>
      <c r="AQ58" s="15"/>
      <c r="AR58" s="18">
        <v>10000</v>
      </c>
      <c r="AS58" s="33"/>
      <c r="AT58" s="33">
        <f>C58+G58+K58+M58+Q58+S58+U58+W58+Y58+AA58+AC58+AE58+AG58+AI58+AK58+AM58+I58+AO58+AQ58+E58+O58</f>
        <v>5403.25</v>
      </c>
      <c r="AU58" s="33"/>
    </row>
    <row r="59" s="2" customFormat="1" customHeight="1" spans="1:47">
      <c r="A59" s="13"/>
      <c r="B59" s="14"/>
      <c r="C59" s="15"/>
      <c r="D59" s="14"/>
      <c r="E59" s="15"/>
      <c r="F59" s="14"/>
      <c r="G59" s="15"/>
      <c r="H59" s="16"/>
      <c r="I59" s="15"/>
      <c r="J59" s="14"/>
      <c r="K59" s="15"/>
      <c r="L59" s="14"/>
      <c r="M59" s="15"/>
      <c r="N59" s="16"/>
      <c r="O59" s="15"/>
      <c r="P59" s="14"/>
      <c r="Q59" s="15"/>
      <c r="R59" s="14"/>
      <c r="S59" s="15"/>
      <c r="T59" s="14"/>
      <c r="U59" s="15"/>
      <c r="V59" s="14">
        <v>35</v>
      </c>
      <c r="W59" s="14">
        <f>13*65+1152.6</f>
        <v>1997.6</v>
      </c>
      <c r="X59" s="14"/>
      <c r="Y59" s="15"/>
      <c r="Z59" s="14"/>
      <c r="AA59" s="15"/>
      <c r="AB59" s="14"/>
      <c r="AC59" s="15">
        <v>28.09</v>
      </c>
      <c r="AD59" s="14"/>
      <c r="AE59" s="15"/>
      <c r="AF59" s="14"/>
      <c r="AG59" s="15"/>
      <c r="AH59" s="14"/>
      <c r="AI59" s="15"/>
      <c r="AJ59" s="14"/>
      <c r="AK59" s="15"/>
      <c r="AL59" s="14"/>
      <c r="AM59" s="15"/>
      <c r="AN59" s="14"/>
      <c r="AO59" s="15"/>
      <c r="AP59" s="14"/>
      <c r="AQ59" s="15"/>
      <c r="AR59" s="14"/>
      <c r="AS59" s="33"/>
      <c r="AT59" s="33"/>
      <c r="AU59" s="33"/>
    </row>
    <row r="60" s="2" customFormat="1" customHeight="1" spans="1:47">
      <c r="A60" s="17">
        <v>45320</v>
      </c>
      <c r="B60" s="18">
        <v>15.5</v>
      </c>
      <c r="C60" s="15">
        <f>11*178+241.98+468.7</f>
        <v>2668.68</v>
      </c>
      <c r="D60" s="18">
        <v>13</v>
      </c>
      <c r="E60" s="15">
        <f>D60*109</f>
        <v>1417</v>
      </c>
      <c r="F60" s="18"/>
      <c r="G60" s="15"/>
      <c r="H60" s="19"/>
      <c r="I60" s="15"/>
      <c r="J60" s="18">
        <v>1</v>
      </c>
      <c r="K60" s="15">
        <v>228</v>
      </c>
      <c r="L60" s="18"/>
      <c r="M60" s="15"/>
      <c r="N60" s="19"/>
      <c r="O60" s="15"/>
      <c r="P60" s="18"/>
      <c r="Q60" s="15"/>
      <c r="R60" s="18"/>
      <c r="S60" s="15"/>
      <c r="T60" s="18"/>
      <c r="U60" s="15"/>
      <c r="V60" s="18">
        <v>28</v>
      </c>
      <c r="W60" s="15">
        <f>W59-379.16</f>
        <v>1618.44</v>
      </c>
      <c r="X60" s="18"/>
      <c r="Y60" s="15"/>
      <c r="Z60" s="18"/>
      <c r="AA60" s="15"/>
      <c r="AB60" s="18">
        <v>3</v>
      </c>
      <c r="AC60" s="15">
        <f>98+182.9-AC59</f>
        <v>252.81</v>
      </c>
      <c r="AD60" s="18"/>
      <c r="AE60" s="15"/>
      <c r="AF60" s="18">
        <v>1</v>
      </c>
      <c r="AG60" s="15">
        <v>488.6</v>
      </c>
      <c r="AH60" s="18"/>
      <c r="AI60" s="15"/>
      <c r="AJ60" s="18"/>
      <c r="AK60" s="15"/>
      <c r="AL60" s="18"/>
      <c r="AM60" s="15">
        <f>AL60*139.5</f>
        <v>0</v>
      </c>
      <c r="AN60" s="18">
        <v>1</v>
      </c>
      <c r="AO60" s="15">
        <f>AN60*53</f>
        <v>53</v>
      </c>
      <c r="AP60" s="18"/>
      <c r="AQ60" s="15"/>
      <c r="AR60" s="18"/>
      <c r="AS60" s="33"/>
      <c r="AT60" s="33">
        <f>C60+G60+K60+M60+Q60+S60+U60+W60+Y60+AA60+AC60+AE60+AG60+AI60+AK60+AM60+I60+AO60+AQ60+E60+O60</f>
        <v>6726.53</v>
      </c>
      <c r="AU60" s="33"/>
    </row>
    <row r="61" s="2" customFormat="1" customHeight="1" spans="1:47">
      <c r="A61" s="13"/>
      <c r="B61" s="14"/>
      <c r="C61" s="15"/>
      <c r="D61" s="14"/>
      <c r="E61" s="15"/>
      <c r="F61" s="14"/>
      <c r="G61" s="15"/>
      <c r="H61" s="16"/>
      <c r="I61" s="15"/>
      <c r="J61" s="14"/>
      <c r="K61" s="15"/>
      <c r="L61" s="14"/>
      <c r="M61" s="15"/>
      <c r="N61" s="16"/>
      <c r="O61" s="15"/>
      <c r="P61" s="14"/>
      <c r="Q61" s="15"/>
      <c r="R61" s="14"/>
      <c r="S61" s="15"/>
      <c r="T61" s="14"/>
      <c r="U61" s="15"/>
      <c r="V61" s="14"/>
      <c r="W61" s="15"/>
      <c r="X61" s="14"/>
      <c r="Y61" s="15"/>
      <c r="Z61" s="14"/>
      <c r="AA61" s="15"/>
      <c r="AB61" s="14"/>
      <c r="AC61" s="15"/>
      <c r="AD61" s="14"/>
      <c r="AE61" s="15"/>
      <c r="AF61" s="14"/>
      <c r="AG61" s="15"/>
      <c r="AH61" s="14"/>
      <c r="AI61" s="15"/>
      <c r="AJ61" s="14"/>
      <c r="AK61" s="15"/>
      <c r="AL61" s="14"/>
      <c r="AM61" s="15"/>
      <c r="AN61" s="14"/>
      <c r="AO61" s="15"/>
      <c r="AP61" s="14"/>
      <c r="AQ61" s="15"/>
      <c r="AR61" s="14"/>
      <c r="AS61" s="33"/>
      <c r="AT61" s="33"/>
      <c r="AU61" s="33"/>
    </row>
    <row r="62" s="2" customFormat="1" customHeight="1" spans="1:47">
      <c r="A62" s="17">
        <v>45321</v>
      </c>
      <c r="B62" s="18">
        <v>15.5</v>
      </c>
      <c r="C62" s="15">
        <f>13.5*178+396.76</f>
        <v>2799.76</v>
      </c>
      <c r="D62" s="18">
        <v>17</v>
      </c>
      <c r="E62" s="15">
        <f>D62*109</f>
        <v>1853</v>
      </c>
      <c r="F62" s="18">
        <v>1</v>
      </c>
      <c r="G62" s="15">
        <v>179</v>
      </c>
      <c r="H62" s="19"/>
      <c r="I62" s="15"/>
      <c r="J62" s="18">
        <v>2</v>
      </c>
      <c r="K62" s="15">
        <f>J62*228</f>
        <v>456</v>
      </c>
      <c r="L62" s="18"/>
      <c r="M62" s="15"/>
      <c r="N62" s="19"/>
      <c r="O62" s="15"/>
      <c r="P62" s="18"/>
      <c r="Q62" s="15"/>
      <c r="R62" s="18"/>
      <c r="S62" s="15"/>
      <c r="T62" s="18"/>
      <c r="U62" s="15"/>
      <c r="V62" s="18">
        <v>17</v>
      </c>
      <c r="W62" s="15">
        <f>14*65+163.2</f>
        <v>1073.2</v>
      </c>
      <c r="X62" s="18"/>
      <c r="Y62" s="15"/>
      <c r="Z62" s="18"/>
      <c r="AA62" s="15"/>
      <c r="AB62" s="18"/>
      <c r="AC62" s="15"/>
      <c r="AD62" s="18"/>
      <c r="AE62" s="15"/>
      <c r="AF62" s="18"/>
      <c r="AG62" s="15"/>
      <c r="AH62" s="18"/>
      <c r="AI62" s="15"/>
      <c r="AJ62" s="18"/>
      <c r="AK62" s="15"/>
      <c r="AL62" s="18"/>
      <c r="AM62" s="15">
        <f>AL62*139.5</f>
        <v>0</v>
      </c>
      <c r="AN62" s="18">
        <v>4</v>
      </c>
      <c r="AO62" s="15">
        <f>AN62*53</f>
        <v>212</v>
      </c>
      <c r="AP62" s="18"/>
      <c r="AQ62" s="15"/>
      <c r="AR62" s="18"/>
      <c r="AS62" s="33"/>
      <c r="AT62" s="33">
        <f>C62+G62+K62+M62+Q62+S62+U62+W62+Y62+AA62+AC62+AE62+AG62+AI62+AK62+AM62+I62+AO62+AQ62+E62+O62</f>
        <v>6572.96</v>
      </c>
      <c r="AU62" s="33"/>
    </row>
    <row r="63" s="2" customFormat="1" customHeight="1" spans="1:47">
      <c r="A63" s="13"/>
      <c r="B63" s="14"/>
      <c r="C63" s="15"/>
      <c r="D63" s="14"/>
      <c r="E63" s="15"/>
      <c r="F63" s="14"/>
      <c r="G63" s="15"/>
      <c r="H63" s="16"/>
      <c r="I63" s="15"/>
      <c r="J63" s="14"/>
      <c r="K63" s="15"/>
      <c r="L63" s="14"/>
      <c r="M63" s="15"/>
      <c r="N63" s="16"/>
      <c r="O63" s="15"/>
      <c r="P63" s="14"/>
      <c r="Q63" s="15"/>
      <c r="R63" s="14"/>
      <c r="S63" s="15"/>
      <c r="T63" s="14"/>
      <c r="U63" s="15"/>
      <c r="V63" s="14">
        <v>27</v>
      </c>
      <c r="W63" s="25">
        <f>850+11*65</f>
        <v>1565</v>
      </c>
      <c r="X63" s="14"/>
      <c r="Y63" s="15"/>
      <c r="Z63" s="14"/>
      <c r="AA63" s="15"/>
      <c r="AB63" s="14"/>
      <c r="AC63" s="15">
        <v>45.56</v>
      </c>
      <c r="AD63" s="14"/>
      <c r="AE63" s="15"/>
      <c r="AF63" s="14"/>
      <c r="AG63" s="15"/>
      <c r="AH63" s="14"/>
      <c r="AI63" s="15"/>
      <c r="AJ63" s="14"/>
      <c r="AK63" s="15"/>
      <c r="AL63" s="14"/>
      <c r="AM63" s="15"/>
      <c r="AN63" s="14"/>
      <c r="AO63" s="15"/>
      <c r="AP63" s="14"/>
      <c r="AQ63" s="15"/>
      <c r="AR63" s="14"/>
      <c r="AS63" s="33"/>
      <c r="AT63" s="33"/>
      <c r="AU63" s="33"/>
    </row>
    <row r="64" s="2" customFormat="1" customHeight="1" spans="1:47">
      <c r="A64" s="20">
        <v>45322</v>
      </c>
      <c r="B64" s="18">
        <v>10.5</v>
      </c>
      <c r="C64" s="15">
        <f>6*178+536.28+263.78</f>
        <v>1868.06</v>
      </c>
      <c r="D64" s="18">
        <v>11</v>
      </c>
      <c r="E64" s="15">
        <f>D64*109</f>
        <v>1199</v>
      </c>
      <c r="F64" s="18"/>
      <c r="G64" s="15"/>
      <c r="H64" s="19">
        <v>1</v>
      </c>
      <c r="I64" s="15">
        <v>133.2</v>
      </c>
      <c r="J64" s="18">
        <v>4</v>
      </c>
      <c r="K64" s="15">
        <f>J64*228</f>
        <v>912</v>
      </c>
      <c r="L64" s="18"/>
      <c r="M64" s="15"/>
      <c r="N64" s="19"/>
      <c r="O64" s="15"/>
      <c r="P64" s="18"/>
      <c r="Q64" s="15"/>
      <c r="R64" s="18"/>
      <c r="S64" s="15"/>
      <c r="T64" s="18"/>
      <c r="U64" s="15"/>
      <c r="V64" s="18">
        <v>19</v>
      </c>
      <c r="W64" s="15">
        <f>W63-464</f>
        <v>1101</v>
      </c>
      <c r="X64" s="18"/>
      <c r="Y64" s="15"/>
      <c r="Z64" s="18"/>
      <c r="AA64" s="15"/>
      <c r="AB64" s="18">
        <v>5</v>
      </c>
      <c r="AC64" s="15">
        <f>259.6+98*2-AC63</f>
        <v>410.04</v>
      </c>
      <c r="AD64" s="18"/>
      <c r="AE64" s="15"/>
      <c r="AF64" s="18"/>
      <c r="AG64" s="15"/>
      <c r="AH64" s="18"/>
      <c r="AI64" s="15"/>
      <c r="AJ64" s="18"/>
      <c r="AK64" s="15"/>
      <c r="AL64" s="18">
        <v>1</v>
      </c>
      <c r="AM64" s="15">
        <f>AL64*139.5</f>
        <v>139.5</v>
      </c>
      <c r="AN64" s="18"/>
      <c r="AO64" s="15">
        <f>AN64*53</f>
        <v>0</v>
      </c>
      <c r="AP64" s="18"/>
      <c r="AQ64" s="15"/>
      <c r="AR64" s="18">
        <v>2000</v>
      </c>
      <c r="AS64" s="33"/>
      <c r="AT64" s="33">
        <f>C64+G64+K64+M64+Q64+S64+U64+W64+Y64+AA64+AC64+AE64+AG64+AI64+AK64+AM64+I64+AO64+AQ64+E64+O64</f>
        <v>5762.8</v>
      </c>
      <c r="AU64" s="33"/>
    </row>
    <row r="65" s="2" customFormat="1" customHeight="1" spans="1:47">
      <c r="A65" s="13" t="s">
        <v>24</v>
      </c>
      <c r="B65" s="15">
        <f t="shared" ref="B65:O65" si="0">B4+B6+B8+B10+B12+B14+B16+B18+B20+B22+B24+B26+B28+B30+B32+B34+B36+B38+B40+B42+B44+B46+B48+B50+B52+B54+B56+B58+B60+B62+B64</f>
        <v>496.5</v>
      </c>
      <c r="C65" s="15">
        <f t="shared" si="0"/>
        <v>86851.19</v>
      </c>
      <c r="D65" s="15">
        <f t="shared" si="0"/>
        <v>250</v>
      </c>
      <c r="E65" s="15">
        <f t="shared" si="0"/>
        <v>27250</v>
      </c>
      <c r="F65" s="15">
        <f t="shared" si="0"/>
        <v>9</v>
      </c>
      <c r="G65" s="15">
        <f t="shared" si="0"/>
        <v>1611</v>
      </c>
      <c r="H65" s="15">
        <f t="shared" si="0"/>
        <v>30</v>
      </c>
      <c r="I65" s="15">
        <f t="shared" si="0"/>
        <v>3996</v>
      </c>
      <c r="J65" s="15">
        <f t="shared" si="0"/>
        <v>160.5</v>
      </c>
      <c r="K65" s="15">
        <f t="shared" si="0"/>
        <v>36459.88</v>
      </c>
      <c r="L65" s="15">
        <f t="shared" si="0"/>
        <v>0</v>
      </c>
      <c r="M65" s="15">
        <f t="shared" si="0"/>
        <v>0</v>
      </c>
      <c r="N65" s="15">
        <f t="shared" si="0"/>
        <v>3</v>
      </c>
      <c r="O65" s="15">
        <f t="shared" si="0"/>
        <v>607.5</v>
      </c>
      <c r="P65" s="15">
        <f t="shared" ref="P65:W65" si="1">P4+P6+P8+P10+P12+P14+P16+P18+P20+P22+P24+P26+P28+P30+P32+P34+P36+P38+P40+P42+P44+P46+P48+P50+P52+P54+P56+P58+P60+P62+P64</f>
        <v>0</v>
      </c>
      <c r="Q65" s="15">
        <f t="shared" si="1"/>
        <v>0</v>
      </c>
      <c r="R65" s="15">
        <f t="shared" si="1"/>
        <v>0</v>
      </c>
      <c r="S65" s="15">
        <f t="shared" si="1"/>
        <v>0</v>
      </c>
      <c r="T65" s="15">
        <f t="shared" si="1"/>
        <v>10</v>
      </c>
      <c r="U65" s="15">
        <f t="shared" si="1"/>
        <v>2918.96</v>
      </c>
      <c r="V65" s="15">
        <f t="shared" si="1"/>
        <v>726</v>
      </c>
      <c r="W65" s="15">
        <f t="shared" si="1"/>
        <v>43129.92</v>
      </c>
      <c r="X65" s="15">
        <f t="shared" ref="X65:AR65" si="2">X4+X6+X8+X10+X12+X14+X16+X18+X20+X22+X24+X26+X28+X30+X32+X34+X36+X38+X40+X42+X44+X46+X48+X50+X52+X54+X56+X58+X60+X62+X64</f>
        <v>11</v>
      </c>
      <c r="Y65" s="15">
        <f t="shared" si="2"/>
        <v>714.76</v>
      </c>
      <c r="Z65" s="15">
        <f t="shared" si="2"/>
        <v>12</v>
      </c>
      <c r="AA65" s="15">
        <f t="shared" si="2"/>
        <v>636</v>
      </c>
      <c r="AB65" s="15">
        <f t="shared" si="2"/>
        <v>168</v>
      </c>
      <c r="AC65" s="15">
        <f t="shared" si="2"/>
        <v>13523.12</v>
      </c>
      <c r="AD65" s="15">
        <f t="shared" si="2"/>
        <v>1</v>
      </c>
      <c r="AE65" s="15">
        <f t="shared" si="2"/>
        <v>124.6</v>
      </c>
      <c r="AF65" s="15">
        <f t="shared" si="2"/>
        <v>1</v>
      </c>
      <c r="AG65" s="15">
        <f t="shared" si="2"/>
        <v>488.6</v>
      </c>
      <c r="AH65" s="15">
        <f t="shared" si="2"/>
        <v>0</v>
      </c>
      <c r="AI65" s="15">
        <f t="shared" si="2"/>
        <v>0</v>
      </c>
      <c r="AJ65" s="15">
        <f t="shared" si="2"/>
        <v>3</v>
      </c>
      <c r="AK65" s="15">
        <f t="shared" si="2"/>
        <v>537</v>
      </c>
      <c r="AL65" s="15">
        <f t="shared" si="2"/>
        <v>14</v>
      </c>
      <c r="AM65" s="15">
        <f t="shared" si="2"/>
        <v>1911.5</v>
      </c>
      <c r="AN65" s="15">
        <f t="shared" si="2"/>
        <v>129</v>
      </c>
      <c r="AO65" s="15">
        <f t="shared" si="2"/>
        <v>6826</v>
      </c>
      <c r="AP65" s="15">
        <f t="shared" si="2"/>
        <v>0</v>
      </c>
      <c r="AQ65" s="15">
        <f t="shared" si="2"/>
        <v>0</v>
      </c>
      <c r="AR65" s="15">
        <f t="shared" si="2"/>
        <v>89000</v>
      </c>
      <c r="AS65" s="33">
        <f>B65+J65+P65+R65+T65+V65+X65+Z65+AB65+AD65+AF65+AH65+AJ65+AL65+H65+AN65+AP65</f>
        <v>1762</v>
      </c>
      <c r="AT65" s="33"/>
      <c r="AU65" s="33"/>
    </row>
    <row r="66" customHeight="1" spans="1:45">
      <c r="A66" s="34"/>
      <c r="B66" s="35">
        <f>B65+F65</f>
        <v>505.5</v>
      </c>
      <c r="C66" s="3">
        <f>C65+G65+I65</f>
        <v>92458.19</v>
      </c>
      <c r="G66" s="3">
        <f>F65+H65</f>
        <v>39</v>
      </c>
      <c r="H66" s="36"/>
      <c r="I66" s="36"/>
      <c r="J66" s="3">
        <f>J65+L65+P65</f>
        <v>160.5</v>
      </c>
      <c r="K66" s="3">
        <f>K65+O65</f>
        <v>37067.38</v>
      </c>
      <c r="N66" s="36"/>
      <c r="O66" s="36"/>
      <c r="AL66" s="36">
        <f>AL65+H65</f>
        <v>44</v>
      </c>
      <c r="AM66" s="36"/>
      <c r="AN66" s="36"/>
      <c r="AO66" s="36"/>
      <c r="AP66" s="36"/>
      <c r="AQ66" s="36"/>
      <c r="AS66" s="3" t="s">
        <v>25</v>
      </c>
    </row>
    <row r="67" customHeight="1" spans="1:47">
      <c r="A67" s="34"/>
      <c r="X67" s="3">
        <f>X65+Z65</f>
        <v>23</v>
      </c>
      <c r="Y67" s="3">
        <f>Y65+AA65</f>
        <v>1350.76</v>
      </c>
      <c r="AC67" s="3">
        <f>SUM(AC3:AC64)</f>
        <v>15025.64</v>
      </c>
      <c r="AD67" s="3">
        <f>SUM(AD3:AD64)</f>
        <v>1</v>
      </c>
      <c r="AG67" s="3" t="s">
        <v>26</v>
      </c>
      <c r="AJ67" s="3">
        <f>AJ65</f>
        <v>3</v>
      </c>
      <c r="AK67" s="3">
        <f>AK65</f>
        <v>537</v>
      </c>
      <c r="AL67" s="3">
        <f>AL65+H65</f>
        <v>44</v>
      </c>
      <c r="AM67" s="3">
        <f>AM65+I65</f>
        <v>5907.5</v>
      </c>
      <c r="AT67" s="3">
        <f>SUM(AT3:AT64)</f>
        <v>227586.03</v>
      </c>
      <c r="AU67" s="3">
        <f>C65+K65+M65+Q65+S65+U65+W65+Y65+AA65+AC65+AE65+AG65+AI65+AK65+AM65+I65+AO65+AQ65+G65+E65+O65</f>
        <v>227586.03</v>
      </c>
    </row>
    <row r="68" customHeight="1" spans="1:44">
      <c r="A68" s="34"/>
      <c r="N68" s="3">
        <f>3600*2</f>
        <v>7200</v>
      </c>
      <c r="U68" s="37"/>
      <c r="V68" s="3">
        <f>V3+V5+V8+V9+V12+V13+V15+V17+V19+V22+V23+V25+V27+V29+V31</f>
        <v>496</v>
      </c>
      <c r="X68" s="3" t="s">
        <v>26</v>
      </c>
      <c r="AC68" s="3">
        <f>AC67-AC65</f>
        <v>1502.52</v>
      </c>
      <c r="AD68" s="3">
        <f>AD67-AD65</f>
        <v>0</v>
      </c>
      <c r="AL68" s="3">
        <f>AJ65+AL65+H65+AN65+AP65+Z65</f>
        <v>188</v>
      </c>
      <c r="AM68" s="3" t="s">
        <v>27</v>
      </c>
      <c r="AR68" s="3">
        <f>AR65*0.02</f>
        <v>1780</v>
      </c>
    </row>
    <row r="69" customHeight="1" spans="1:23">
      <c r="A69" s="34"/>
      <c r="W69" s="3" t="s">
        <v>28</v>
      </c>
    </row>
    <row r="70" customHeight="1" spans="1:46">
      <c r="A70" s="34"/>
      <c r="C70" s="3" t="s">
        <v>29</v>
      </c>
      <c r="U70" s="3" t="s">
        <v>30</v>
      </c>
      <c r="V70" s="3">
        <f>V3+V6+V7+V9+V11+V13+V15+V17+V20+V21+V23+V25+V27+V29+V31+V34+V35+V37+V39+V41+V43+V45+V48+V49+V51+V53+V55+V57+V59+V62+V63</f>
        <v>1008</v>
      </c>
      <c r="W70" s="3">
        <f>W3+W6+W7+W9+W11+W13+W15+W17+W20+W21+W23+W25+W27+W29+W31+W34+W35+W37+W39+W41+W43+W45+W48+W49+W51+W53+W55+W57+W59+W62+W63</f>
        <v>58450.6</v>
      </c>
      <c r="AI70" s="38" t="s">
        <v>31</v>
      </c>
      <c r="AJ70" s="3">
        <f>53*AJ65</f>
        <v>159</v>
      </c>
      <c r="AL70" s="3">
        <f>48*AL65</f>
        <v>672</v>
      </c>
      <c r="AN70" s="3">
        <f>15*AN65</f>
        <v>1935</v>
      </c>
      <c r="AP70" s="3">
        <f>65*AP65</f>
        <v>0</v>
      </c>
      <c r="AT70" s="3">
        <f>AT67+[1]Sheet1!$G$34+[2]Sheet2!$J$28+[2]任医生!$J$37+[2]任医生!$K$37+[2]任医生!$Z$37+[2]任医生!$AA$37+[1]Sheet1!$F$34+[1]Sheet1!$W$34</f>
        <v>886352.83</v>
      </c>
    </row>
    <row r="71" customHeight="1" spans="1:26">
      <c r="A71" s="34"/>
      <c r="U71" s="3" t="s">
        <v>32</v>
      </c>
      <c r="V71" s="3">
        <f>V4+V6+V8+V10+V12+V14+V16+V18+V20+V22+V24+V26+V28+V30+V32+V34+V36+V38+V40+V42+V44+V46+V48+V50+V52+V54+V56+V58+V60+V62+V64</f>
        <v>726</v>
      </c>
      <c r="W71" s="3">
        <f>W4+W6+W8+W10+W12+W14+W16+W18+W20+W22+W24+W26+W28+W30+W32+W34+W36+W38+W40+W42+W44+W46+W48+W50+W52+W54+W56+W58+W60+W62+W64</f>
        <v>43129.92</v>
      </c>
      <c r="Z71" s="3">
        <f>W43+W45+W47+W49+W51+W54+W55+W57+W59+W61+W63</f>
        <v>15352.84</v>
      </c>
    </row>
    <row r="72" customHeight="1" spans="22:39">
      <c r="V72" s="3">
        <f>V70-V71</f>
        <v>282</v>
      </c>
      <c r="W72" s="3">
        <f>W70-W71</f>
        <v>15320.68</v>
      </c>
      <c r="AM72" s="3" t="s">
        <v>33</v>
      </c>
    </row>
    <row r="74" customHeight="1" spans="3:31">
      <c r="C74" s="3">
        <f>C65/B65</f>
        <v>174.926868076536</v>
      </c>
      <c r="K74" s="3">
        <f>K66/J66</f>
        <v>230.949408099688</v>
      </c>
      <c r="U74" s="3">
        <f>U65/T65</f>
        <v>291.896</v>
      </c>
      <c r="W74" s="3">
        <f>W65/V65</f>
        <v>59.4076033057851</v>
      </c>
      <c r="Y74" s="3">
        <f>Y67/X67</f>
        <v>58.7286956521739</v>
      </c>
      <c r="AC74" s="3">
        <f>AC67/AB65</f>
        <v>89.4383333333333</v>
      </c>
      <c r="AE74" s="3">
        <f>AE65/AD65</f>
        <v>124.6</v>
      </c>
    </row>
    <row r="76" customHeight="1" spans="3:29">
      <c r="C76" s="3">
        <v>168</v>
      </c>
      <c r="E76" s="3">
        <v>228</v>
      </c>
      <c r="G76" s="3">
        <v>228</v>
      </c>
      <c r="S76" s="3">
        <v>338</v>
      </c>
      <c r="W76" s="3">
        <v>50</v>
      </c>
      <c r="Y76" s="3">
        <v>95</v>
      </c>
      <c r="AC76" s="3">
        <v>140</v>
      </c>
    </row>
  </sheetData>
  <mergeCells count="19">
    <mergeCell ref="B1:C1"/>
    <mergeCell ref="D1:E1"/>
    <mergeCell ref="F1:I1"/>
    <mergeCell ref="J1:K1"/>
    <mergeCell ref="L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24年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WPS_1528192790</cp:lastModifiedBy>
  <dcterms:created xsi:type="dcterms:W3CDTF">2023-05-12T11:15:00Z</dcterms:created>
  <dcterms:modified xsi:type="dcterms:W3CDTF">2024-02-02T11:04:07Z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FD094CE04E514680B691ACC1DA8C528F_12</vt:lpwstr>
  </property>
</Properties>
</file>