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_FilterDatabase" localSheetId="0" hidden="1">Sheet1!$A$1:$AF$82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<sst xmlns="http://schemas.openxmlformats.org/spreadsheetml/2006/main" count="212" uniqueCount="63">
  <si>
    <t>2024年1月推拿统计</t>
  </si>
  <si>
    <t>姓名</t>
  </si>
  <si>
    <t>中推</t>
  </si>
  <si>
    <t>香薰</t>
  </si>
  <si>
    <t>五行灸</t>
  </si>
  <si>
    <t>脊柱</t>
  </si>
  <si>
    <t>艾灸</t>
  </si>
  <si>
    <r>
      <rPr>
        <b/>
        <sz val="8"/>
        <color rgb="FF000000"/>
        <rFont val="宋体"/>
        <charset val="134"/>
      </rPr>
      <t>火罐</t>
    </r>
    <r>
      <rPr>
        <b/>
        <sz val="6"/>
        <color rgb="FF000000"/>
        <rFont val="宋体"/>
        <charset val="134"/>
      </rPr>
      <t>（团）</t>
    </r>
  </si>
  <si>
    <t>腹部 推拿</t>
  </si>
  <si>
    <t>减肥</t>
  </si>
  <si>
    <t>淋巴</t>
  </si>
  <si>
    <t>A</t>
  </si>
  <si>
    <t>C</t>
  </si>
  <si>
    <t>团59</t>
  </si>
  <si>
    <t>团198</t>
  </si>
  <si>
    <t>团中推</t>
  </si>
  <si>
    <t>团香推</t>
  </si>
  <si>
    <t>一元</t>
  </si>
  <si>
    <t>推拿   次卡</t>
  </si>
  <si>
    <t>业绩合计（含团购业绩）</t>
  </si>
  <si>
    <t>不含团购业绩</t>
  </si>
  <si>
    <t>业绩扣除168</t>
  </si>
  <si>
    <t>业绩提成</t>
  </si>
  <si>
    <t>会员卡</t>
  </si>
  <si>
    <t>提成合计(含团购提成）</t>
  </si>
  <si>
    <t>社保</t>
  </si>
  <si>
    <t>公积金</t>
  </si>
  <si>
    <t>水电费</t>
  </si>
  <si>
    <t>应发提成</t>
  </si>
  <si>
    <t>签名</t>
  </si>
  <si>
    <t>差额</t>
  </si>
  <si>
    <t>新</t>
  </si>
  <si>
    <t>旧</t>
  </si>
  <si>
    <t>李晓红</t>
  </si>
  <si>
    <t xml:space="preserve">                                       团购提成：  </t>
  </si>
  <si>
    <t>陈华平</t>
  </si>
  <si>
    <t>肖新姣</t>
  </si>
  <si>
    <t>王立伟</t>
  </si>
  <si>
    <t>程和君</t>
  </si>
  <si>
    <t>袁勇君</t>
  </si>
  <si>
    <t xml:space="preserve">                                        团购提成：  </t>
  </si>
  <si>
    <t>柳常青</t>
  </si>
  <si>
    <t>注：平衡罐、乳腺分别在五行灸和香薰里面，个税、水电费未扣  核对确认不签名，一律以报表为准。</t>
  </si>
  <si>
    <t>吴建兵</t>
  </si>
  <si>
    <t>刘晓玲</t>
  </si>
  <si>
    <t>李拥华</t>
  </si>
  <si>
    <t>彭凤英</t>
  </si>
  <si>
    <t>甘金华</t>
  </si>
  <si>
    <t>颜晓琴</t>
  </si>
  <si>
    <t>合计</t>
  </si>
  <si>
    <t>券1</t>
  </si>
  <si>
    <t>2023年7月份推拿提成</t>
  </si>
  <si>
    <t>C（98）</t>
  </si>
  <si>
    <t>团149</t>
  </si>
  <si>
    <t>团购</t>
  </si>
  <si>
    <t>会员</t>
  </si>
  <si>
    <t>注：平衡罐、乳腺分别在五行灸和香薰里面 个税、水电费未扣  请确认签名。</t>
  </si>
  <si>
    <t>火罐</t>
  </si>
  <si>
    <t>王岚生</t>
  </si>
  <si>
    <t>注：平衡罐、乳腺分别在五行灸和香薰里面 个税、水电费未扣   请确认签名</t>
  </si>
  <si>
    <t>少3</t>
  </si>
  <si>
    <t>少2</t>
  </si>
  <si>
    <t>少1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</si>
</sst>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30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11"/>
      <color indexed="8"/>
      <name val="宋体"/>
      <charset val="134"/>
    </font>
    <font>
      <b/>
      <sz val="8"/>
      <color indexed="8"/>
      <name val="宋体"/>
      <charset val="134"/>
    </font>
    <font>
      <b/>
      <sz val="8"/>
      <name val="宋体"/>
      <charset val="134"/>
    </font>
    <font>
      <b/>
      <sz val="11"/>
      <name val="宋体"/>
      <charset val="134"/>
    </font>
    <font>
      <b/>
      <sz val="6"/>
      <name val="宋体"/>
      <charset val="134"/>
    </font>
    <font>
      <b/>
      <sz val="8"/>
      <color rgb="FF000000"/>
      <name val="宋体"/>
      <charset val="134"/>
    </font>
    <font>
      <b/>
      <sz val="6"/>
      <color rgb="FF000000"/>
      <name val="宋体"/>
      <charset val="134"/>
    </font>
    <font>
      <b/>
      <sz val="6"/>
      <color indexed="8"/>
      <name val="宋体"/>
      <charset val="134"/>
    </font>
    <font>
      <sz val="8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4993743705557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1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8" borderId="18" applyNumberFormat="0" applyAlignment="0" applyProtection="0">
      <alignment vertical="center"/>
    </xf>
    <xf numFmtId="0" fontId="20" fillId="9" borderId="19" applyNumberFormat="0" applyAlignment="0" applyProtection="0">
      <alignment vertical="center"/>
    </xf>
    <xf numFmtId="0" fontId="21" fillId="9" borderId="18" applyNumberFormat="0" applyAlignment="0" applyProtection="0">
      <alignment vertical="center"/>
    </xf>
    <xf numFmtId="0" fontId="22" fillId="10" borderId="20" applyNumberFormat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</cellStyleXfs>
  <cellXfs count="15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center" vertical="center" wrapText="1"/>
    </xf>
    <xf numFmtId="0" fontId="3" fillId="0" borderId="3" xfId="0" applyFont="1" applyFill="1" applyBorder="1" applyAlignment="1" applyProtection="1">
      <alignment horizontal="center" vertical="center"/>
    </xf>
    <xf numFmtId="0" fontId="3" fillId="0" borderId="4" xfId="0" applyFont="1" applyFill="1" applyBorder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center" vertical="center"/>
    </xf>
    <xf numFmtId="0" fontId="3" fillId="0" borderId="5" xfId="0" applyFont="1" applyFill="1" applyBorder="1" applyAlignment="1" applyProtection="1">
      <alignment horizontal="center" vertical="center" wrapText="1"/>
    </xf>
    <xf numFmtId="0" fontId="3" fillId="0" borderId="6" xfId="0" applyFont="1" applyFill="1" applyBorder="1" applyAlignment="1" applyProtection="1">
      <alignment horizontal="center" vertical="center"/>
    </xf>
    <xf numFmtId="0" fontId="3" fillId="0" borderId="7" xfId="0" applyFont="1" applyFill="1" applyBorder="1" applyAlignment="1" applyProtection="1">
      <alignment horizontal="center" vertical="center"/>
    </xf>
    <xf numFmtId="0" fontId="4" fillId="0" borderId="2" xfId="0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 applyProtection="1">
      <alignment horizontal="center" vertical="center"/>
    </xf>
    <xf numFmtId="0" fontId="4" fillId="0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/>
    </xf>
    <xf numFmtId="0" fontId="4" fillId="0" borderId="7" xfId="0" applyFont="1" applyFill="1" applyBorder="1" applyAlignment="1" applyProtection="1">
      <alignment horizontal="center" vertical="center" wrapText="1"/>
    </xf>
    <xf numFmtId="0" fontId="4" fillId="3" borderId="3" xfId="0" applyFont="1" applyFill="1" applyBorder="1" applyAlignment="1" applyProtection="1">
      <alignment vertical="center"/>
    </xf>
    <xf numFmtId="0" fontId="4" fillId="3" borderId="8" xfId="0" applyFont="1" applyFill="1" applyBorder="1" applyAlignment="1" applyProtection="1">
      <alignment vertical="center"/>
    </xf>
    <xf numFmtId="0" fontId="4" fillId="3" borderId="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3" borderId="6" xfId="0" applyFont="1" applyFill="1" applyBorder="1" applyAlignment="1" applyProtection="1">
      <alignment vertical="center"/>
    </xf>
    <xf numFmtId="0" fontId="4" fillId="0" borderId="0" xfId="0" applyFont="1" applyFill="1" applyAlignment="1" applyProtection="1">
      <alignment horizontal="center" vertical="center" wrapText="1"/>
    </xf>
    <xf numFmtId="0" fontId="4" fillId="0" borderId="0" xfId="0" applyFont="1" applyFill="1" applyAlignment="1" applyProtection="1">
      <alignment vertical="center"/>
    </xf>
    <xf numFmtId="0" fontId="5" fillId="0" borderId="0" xfId="0" applyFont="1" applyFill="1" applyAlignment="1" applyProtection="1">
      <alignment horizontal="center" vertical="center"/>
    </xf>
    <xf numFmtId="0" fontId="3" fillId="0" borderId="6" xfId="0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 applyProtection="1">
      <alignment horizontal="center" vertical="center" wrapText="1"/>
    </xf>
    <xf numFmtId="0" fontId="6" fillId="0" borderId="6" xfId="0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 wrapText="1"/>
    </xf>
    <xf numFmtId="0" fontId="3" fillId="0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 wrapText="1"/>
    </xf>
    <xf numFmtId="0" fontId="1" fillId="0" borderId="0" xfId="0" applyFont="1" applyProtection="1">
      <alignment vertical="center"/>
    </xf>
    <xf numFmtId="0" fontId="1" fillId="4" borderId="0" xfId="0" applyFont="1" applyFill="1">
      <alignment vertical="center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3" fillId="0" borderId="7" xfId="0" applyFont="1" applyFill="1" applyBorder="1" applyAlignment="1" applyProtection="1">
      <alignment horizontal="center" vertical="center" wrapText="1"/>
    </xf>
    <xf numFmtId="0" fontId="8" fillId="0" borderId="5" xfId="0" applyFont="1" applyFill="1" applyBorder="1" applyAlignment="1" applyProtection="1">
      <alignment horizontal="center" vertical="center" wrapText="1"/>
    </xf>
    <xf numFmtId="0" fontId="7" fillId="0" borderId="5" xfId="0" applyFont="1" applyFill="1" applyBorder="1" applyAlignment="1" applyProtection="1">
      <alignment horizontal="center" vertical="center" wrapText="1"/>
    </xf>
    <xf numFmtId="0" fontId="4" fillId="2" borderId="3" xfId="0" applyFont="1" applyFill="1" applyBorder="1" applyAlignment="1" applyProtection="1">
      <alignment horizontal="center" vertical="center" wrapText="1"/>
    </xf>
    <xf numFmtId="0" fontId="4" fillId="3" borderId="0" xfId="0" applyFont="1" applyFill="1" applyBorder="1" applyAlignment="1" applyProtection="1">
      <alignment horizontal="center" vertical="center"/>
    </xf>
    <xf numFmtId="0" fontId="4" fillId="3" borderId="0" xfId="0" applyFont="1" applyFill="1" applyBorder="1" applyAlignment="1" applyProtection="1">
      <alignment horizontal="center" vertical="center" wrapText="1"/>
    </xf>
    <xf numFmtId="0" fontId="4" fillId="3" borderId="6" xfId="0" applyFont="1" applyFill="1" applyBorder="1" applyAlignment="1" applyProtection="1">
      <alignment horizontal="center" vertical="center"/>
    </xf>
    <xf numFmtId="0" fontId="4" fillId="5" borderId="6" xfId="0" applyFont="1" applyFill="1" applyBorder="1" applyAlignment="1" applyProtection="1">
      <alignment horizontal="center" vertical="center" wrapText="1"/>
    </xf>
    <xf numFmtId="0" fontId="4" fillId="3" borderId="4" xfId="0" applyFont="1" applyFill="1" applyBorder="1" applyAlignment="1" applyProtection="1">
      <alignment vertical="center"/>
    </xf>
    <xf numFmtId="0" fontId="4" fillId="3" borderId="9" xfId="0" applyFont="1" applyFill="1" applyBorder="1" applyAlignment="1" applyProtection="1">
      <alignment horizontal="center" vertical="center"/>
    </xf>
    <xf numFmtId="0" fontId="4" fillId="3" borderId="3" xfId="0" applyFont="1" applyFill="1" applyBorder="1" applyAlignment="1" applyProtection="1">
      <alignment horizontal="center" vertical="center"/>
    </xf>
    <xf numFmtId="0" fontId="4" fillId="3" borderId="8" xfId="0" applyFont="1" applyFill="1" applyBorder="1" applyAlignment="1" applyProtection="1">
      <alignment horizontal="center" vertical="center"/>
    </xf>
    <xf numFmtId="0" fontId="4" fillId="3" borderId="4" xfId="0" applyFont="1" applyFill="1" applyBorder="1" applyAlignment="1" applyProtection="1">
      <alignment horizontal="center" vertical="center" wrapText="1"/>
    </xf>
    <xf numFmtId="0" fontId="4" fillId="3" borderId="10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 wrapText="1"/>
    </xf>
    <xf numFmtId="0" fontId="4" fillId="0" borderId="0" xfId="0" applyFont="1" applyFill="1" applyAlignment="1" applyProtection="1">
      <alignment horizontal="center" vertical="center"/>
    </xf>
    <xf numFmtId="0" fontId="3" fillId="0" borderId="0" xfId="0" applyFont="1" applyFill="1" applyAlignment="1" applyProtection="1">
      <alignment horizontal="right" vertical="top" wrapText="1"/>
    </xf>
    <xf numFmtId="0" fontId="9" fillId="0" borderId="5" xfId="0" applyFont="1" applyFill="1" applyBorder="1" applyAlignment="1" applyProtection="1">
      <alignment horizontal="center" vertical="center" wrapText="1"/>
    </xf>
    <xf numFmtId="0" fontId="3" fillId="0" borderId="11" xfId="0" applyFont="1" applyFill="1" applyBorder="1" applyAlignment="1" applyProtection="1">
      <alignment vertical="center"/>
    </xf>
    <xf numFmtId="0" fontId="3" fillId="0" borderId="0" xfId="0" applyFont="1" applyFill="1" applyAlignment="1" applyProtection="1">
      <alignment horizontal="right" vertical="center" wrapText="1"/>
    </xf>
    <xf numFmtId="0" fontId="3" fillId="0" borderId="0" xfId="0" applyFont="1" applyFill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3" fillId="0" borderId="6" xfId="0" applyFont="1" applyFill="1" applyBorder="1" applyAlignment="1" applyProtection="1">
      <alignment vertical="center"/>
    </xf>
    <xf numFmtId="0" fontId="3" fillId="0" borderId="2" xfId="0" applyFont="1" applyFill="1" applyBorder="1" applyAlignment="1" applyProtection="1">
      <alignment horizontal="left" vertical="center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7" xfId="0" applyFont="1" applyFill="1" applyBorder="1" applyAlignment="1" applyProtection="1">
      <alignment horizontal="left" vertical="center"/>
    </xf>
    <xf numFmtId="0" fontId="4" fillId="0" borderId="6" xfId="0" applyFont="1" applyFill="1" applyBorder="1" applyAlignment="1" applyProtection="1">
      <alignment horizontal="left" vertical="center"/>
    </xf>
    <xf numFmtId="176" fontId="3" fillId="0" borderId="2" xfId="0" applyNumberFormat="1" applyFont="1" applyFill="1" applyBorder="1" applyAlignment="1" applyProtection="1">
      <alignment horizontal="center" vertical="center" wrapText="1"/>
    </xf>
    <xf numFmtId="176" fontId="3" fillId="0" borderId="7" xfId="0" applyNumberFormat="1" applyFont="1" applyFill="1" applyBorder="1" applyAlignment="1" applyProtection="1">
      <alignment horizontal="center" vertical="center" wrapText="1"/>
    </xf>
    <xf numFmtId="176" fontId="4" fillId="0" borderId="2" xfId="0" applyNumberFormat="1" applyFont="1" applyFill="1" applyBorder="1" applyAlignment="1" applyProtection="1">
      <alignment horizontal="left" vertical="center" wrapText="1"/>
    </xf>
    <xf numFmtId="176" fontId="3" fillId="0" borderId="2" xfId="0" applyNumberFormat="1" applyFont="1" applyFill="1" applyBorder="1" applyAlignment="1" applyProtection="1">
      <alignment horizontal="left" vertical="center" wrapText="1"/>
    </xf>
    <xf numFmtId="0" fontId="9" fillId="0" borderId="2" xfId="0" applyFont="1" applyFill="1" applyBorder="1" applyAlignment="1" applyProtection="1">
      <alignment horizontal="left" vertical="center" wrapText="1"/>
    </xf>
    <xf numFmtId="176" fontId="4" fillId="2" borderId="2" xfId="0" applyNumberFormat="1" applyFont="1" applyFill="1" applyBorder="1" applyAlignment="1" applyProtection="1">
      <alignment horizontal="left" vertical="center"/>
    </xf>
    <xf numFmtId="0" fontId="10" fillId="0" borderId="2" xfId="0" applyFont="1" applyFill="1" applyBorder="1" applyAlignment="1" applyProtection="1">
      <alignment horizontal="center" vertical="center"/>
    </xf>
    <xf numFmtId="176" fontId="4" fillId="0" borderId="5" xfId="0" applyNumberFormat="1" applyFont="1" applyFill="1" applyBorder="1" applyAlignment="1" applyProtection="1">
      <alignment horizontal="left" vertical="center" wrapText="1"/>
    </xf>
    <xf numFmtId="176" fontId="3" fillId="0" borderId="5" xfId="0" applyNumberFormat="1" applyFont="1" applyFill="1" applyBorder="1" applyAlignment="1" applyProtection="1">
      <alignment horizontal="left" vertical="center" wrapText="1"/>
    </xf>
    <xf numFmtId="0" fontId="9" fillId="0" borderId="5" xfId="0" applyFont="1" applyFill="1" applyBorder="1" applyAlignment="1" applyProtection="1">
      <alignment horizontal="left" vertical="center" wrapText="1"/>
    </xf>
    <xf numFmtId="176" fontId="4" fillId="2" borderId="5" xfId="0" applyNumberFormat="1" applyFont="1" applyFill="1" applyBorder="1" applyAlignment="1" applyProtection="1">
      <alignment horizontal="left" vertical="center"/>
    </xf>
    <xf numFmtId="0" fontId="10" fillId="0" borderId="5" xfId="0" applyFont="1" applyFill="1" applyBorder="1" applyAlignment="1" applyProtection="1">
      <alignment horizontal="center" vertical="center"/>
    </xf>
    <xf numFmtId="176" fontId="4" fillId="0" borderId="7" xfId="0" applyNumberFormat="1" applyFont="1" applyFill="1" applyBorder="1" applyAlignment="1" applyProtection="1">
      <alignment horizontal="left" vertical="center" wrapText="1"/>
    </xf>
    <xf numFmtId="176" fontId="3" fillId="0" borderId="7" xfId="0" applyNumberFormat="1" applyFont="1" applyFill="1" applyBorder="1" applyAlignment="1" applyProtection="1">
      <alignment horizontal="left" vertical="center" wrapText="1"/>
    </xf>
    <xf numFmtId="0" fontId="9" fillId="0" borderId="7" xfId="0" applyFont="1" applyFill="1" applyBorder="1" applyAlignment="1" applyProtection="1">
      <alignment horizontal="left" vertical="center" wrapText="1"/>
    </xf>
    <xf numFmtId="176" fontId="4" fillId="2" borderId="7" xfId="0" applyNumberFormat="1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horizontal="center" vertical="center"/>
    </xf>
    <xf numFmtId="176" fontId="6" fillId="0" borderId="2" xfId="0" applyNumberFormat="1" applyFont="1" applyFill="1" applyBorder="1" applyAlignment="1" applyProtection="1">
      <alignment horizontal="left" vertical="center" wrapText="1"/>
    </xf>
    <xf numFmtId="176" fontId="6" fillId="0" borderId="5" xfId="0" applyNumberFormat="1" applyFont="1" applyFill="1" applyBorder="1" applyAlignment="1" applyProtection="1">
      <alignment horizontal="left" vertical="center" wrapText="1"/>
    </xf>
    <xf numFmtId="176" fontId="6" fillId="0" borderId="7" xfId="0" applyNumberFormat="1" applyFont="1" applyFill="1" applyBorder="1" applyAlignment="1" applyProtection="1">
      <alignment horizontal="left" vertical="center" wrapText="1"/>
    </xf>
    <xf numFmtId="0" fontId="6" fillId="0" borderId="2" xfId="0" applyFont="1" applyFill="1" applyBorder="1" applyAlignment="1" applyProtection="1">
      <alignment horizontal="left" vertical="center" wrapText="1"/>
    </xf>
    <xf numFmtId="0" fontId="6" fillId="0" borderId="5" xfId="0" applyFont="1" applyFill="1" applyBorder="1" applyAlignment="1" applyProtection="1">
      <alignment horizontal="left" vertical="center" wrapText="1"/>
    </xf>
    <xf numFmtId="0" fontId="6" fillId="0" borderId="7" xfId="0" applyFont="1" applyFill="1" applyBorder="1" applyAlignment="1" applyProtection="1">
      <alignment horizontal="left" vertical="center" wrapText="1"/>
    </xf>
    <xf numFmtId="0" fontId="3" fillId="0" borderId="2" xfId="0" applyFont="1" applyFill="1" applyBorder="1" applyAlignment="1" applyProtection="1">
      <alignment horizontal="left" vertical="center" wrapText="1"/>
    </xf>
    <xf numFmtId="0" fontId="3" fillId="0" borderId="5" xfId="0" applyFont="1" applyFill="1" applyBorder="1" applyAlignment="1" applyProtection="1">
      <alignment horizontal="left" vertical="center" wrapText="1"/>
    </xf>
    <xf numFmtId="0" fontId="3" fillId="0" borderId="7" xfId="0" applyFont="1" applyFill="1" applyBorder="1" applyAlignment="1" applyProtection="1">
      <alignment horizontal="left" vertical="center" wrapText="1"/>
    </xf>
    <xf numFmtId="176" fontId="3" fillId="0" borderId="6" xfId="0" applyNumberFormat="1" applyFont="1" applyFill="1" applyBorder="1" applyAlignment="1" applyProtection="1">
      <alignment horizontal="center" vertical="center" wrapText="1"/>
    </xf>
    <xf numFmtId="0" fontId="10" fillId="0" borderId="6" xfId="0" applyFont="1" applyFill="1" applyBorder="1" applyAlignment="1" applyProtection="1">
      <alignment vertical="center"/>
    </xf>
    <xf numFmtId="0" fontId="1" fillId="0" borderId="0" xfId="0" applyFont="1" applyProtection="1">
      <alignment vertical="center"/>
      <protection locked="0"/>
    </xf>
    <xf numFmtId="0" fontId="1" fillId="0" borderId="0" xfId="0" applyFont="1" applyAlignme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 applyFill="1" applyAlignment="1" applyProtection="1">
      <alignment horizontal="center" vertical="center"/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3" fillId="0" borderId="12" xfId="0" applyFont="1" applyFill="1" applyBorder="1" applyAlignment="1" applyProtection="1">
      <alignment horizontal="center" vertical="center" wrapText="1"/>
    </xf>
    <xf numFmtId="0" fontId="3" fillId="0" borderId="8" xfId="0" applyFont="1" applyFill="1" applyBorder="1" applyAlignment="1" applyProtection="1">
      <alignment horizontal="center" vertical="center"/>
    </xf>
    <xf numFmtId="0" fontId="3" fillId="0" borderId="9" xfId="0" applyFont="1" applyFill="1" applyBorder="1" applyAlignment="1" applyProtection="1">
      <alignment horizontal="center" vertical="center" wrapText="1"/>
    </xf>
    <xf numFmtId="0" fontId="4" fillId="0" borderId="3" xfId="0" applyFont="1" applyFill="1" applyBorder="1" applyAlignment="1" applyProtection="1">
      <alignment horizontal="center" vertical="center"/>
    </xf>
    <xf numFmtId="0" fontId="4" fillId="0" borderId="4" xfId="0" applyFont="1" applyFill="1" applyBorder="1" applyAlignment="1" applyProtection="1">
      <alignment horizontal="center" vertical="center"/>
    </xf>
    <xf numFmtId="0" fontId="4" fillId="0" borderId="6" xfId="0" applyFont="1" applyFill="1" applyBorder="1" applyAlignment="1" applyProtection="1">
      <alignment vertical="center"/>
    </xf>
    <xf numFmtId="0" fontId="4" fillId="5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4" fillId="3" borderId="10" xfId="0" applyFont="1" applyFill="1" applyBorder="1" applyAlignment="1" applyProtection="1">
      <alignment vertical="center"/>
    </xf>
    <xf numFmtId="0" fontId="4" fillId="3" borderId="1" xfId="0" applyFont="1" applyFill="1" applyBorder="1" applyAlignment="1" applyProtection="1">
      <alignment vertical="center"/>
    </xf>
    <xf numFmtId="0" fontId="4" fillId="3" borderId="7" xfId="0" applyFont="1" applyFill="1" applyBorder="1" applyAlignment="1" applyProtection="1">
      <alignment horizontal="center" vertical="center" wrapText="1"/>
    </xf>
    <xf numFmtId="0" fontId="4" fillId="0" borderId="8" xfId="0" applyFont="1" applyFill="1" applyBorder="1" applyAlignment="1" applyProtection="1">
      <alignment horizontal="center" vertical="center"/>
    </xf>
    <xf numFmtId="0" fontId="4" fillId="0" borderId="12" xfId="0" applyFont="1" applyFill="1" applyBorder="1" applyAlignment="1" applyProtection="1">
      <alignment horizontal="center" vertical="center"/>
    </xf>
    <xf numFmtId="0" fontId="4" fillId="0" borderId="13" xfId="0" applyFont="1" applyFill="1" applyBorder="1" applyAlignment="1" applyProtection="1">
      <alignment horizontal="center" vertical="center"/>
    </xf>
    <xf numFmtId="0" fontId="4" fillId="3" borderId="7" xfId="0" applyFont="1" applyFill="1" applyBorder="1" applyAlignment="1" applyProtection="1">
      <alignment vertical="center"/>
    </xf>
    <xf numFmtId="0" fontId="3" fillId="0" borderId="12" xfId="0" applyFont="1" applyFill="1" applyBorder="1" applyAlignment="1" applyProtection="1">
      <alignment horizontal="center" vertical="center"/>
    </xf>
    <xf numFmtId="0" fontId="3" fillId="0" borderId="13" xfId="0" applyFont="1" applyFill="1" applyBorder="1" applyAlignment="1" applyProtection="1">
      <alignment horizontal="center" vertical="center" wrapText="1"/>
    </xf>
    <xf numFmtId="0" fontId="7" fillId="0" borderId="7" xfId="0" applyFont="1" applyFill="1" applyBorder="1" applyAlignment="1" applyProtection="1">
      <alignment horizontal="center" vertical="center" wrapText="1"/>
    </xf>
    <xf numFmtId="0" fontId="3" fillId="0" borderId="10" xfId="0" applyFont="1" applyFill="1" applyBorder="1" applyAlignment="1" applyProtection="1">
      <alignment horizontal="center" vertical="center"/>
    </xf>
    <xf numFmtId="0" fontId="3" fillId="0" borderId="14" xfId="0" applyFont="1" applyFill="1" applyBorder="1" applyAlignment="1" applyProtection="1">
      <alignment horizontal="center" vertical="center" wrapText="1"/>
    </xf>
    <xf numFmtId="0" fontId="4" fillId="3" borderId="7" xfId="0" applyFont="1" applyFill="1" applyBorder="1" applyAlignment="1" applyProtection="1">
      <alignment horizontal="center" vertical="center"/>
    </xf>
    <xf numFmtId="0" fontId="4" fillId="3" borderId="14" xfId="0" applyFont="1" applyFill="1" applyBorder="1" applyAlignment="1" applyProtection="1">
      <alignment vertical="center"/>
    </xf>
    <xf numFmtId="0" fontId="3" fillId="0" borderId="5" xfId="0" applyFont="1" applyFill="1" applyBorder="1" applyAlignment="1" applyProtection="1">
      <alignment horizontal="center" vertical="center"/>
    </xf>
    <xf numFmtId="0" fontId="4" fillId="0" borderId="3" xfId="0" applyFont="1" applyFill="1" applyBorder="1" applyAlignment="1" applyProtection="1">
      <alignment horizontal="center" vertical="center" wrapText="1"/>
    </xf>
    <xf numFmtId="0" fontId="3" fillId="6" borderId="2" xfId="0" applyFont="1" applyFill="1" applyBorder="1" applyAlignment="1" applyProtection="1">
      <alignment horizontal="center" vertical="center" wrapText="1"/>
    </xf>
    <xf numFmtId="0" fontId="3" fillId="6" borderId="7" xfId="0" applyFont="1" applyFill="1" applyBorder="1" applyAlignment="1" applyProtection="1">
      <alignment horizontal="center" vertical="center" wrapText="1"/>
    </xf>
    <xf numFmtId="176" fontId="3" fillId="0" borderId="2" xfId="0" applyNumberFormat="1" applyFont="1" applyFill="1" applyBorder="1" applyAlignment="1" applyProtection="1">
      <alignment horizontal="center" vertical="center"/>
    </xf>
    <xf numFmtId="176" fontId="4" fillId="0" borderId="2" xfId="0" applyNumberFormat="1" applyFont="1" applyFill="1" applyBorder="1" applyAlignment="1" applyProtection="1">
      <alignment horizontal="center" vertical="center" wrapText="1"/>
    </xf>
    <xf numFmtId="0" fontId="9" fillId="0" borderId="2" xfId="0" applyFont="1" applyFill="1" applyBorder="1" applyAlignment="1" applyProtection="1">
      <alignment horizontal="center" vertical="center" wrapText="1"/>
    </xf>
    <xf numFmtId="176" fontId="4" fillId="6" borderId="2" xfId="0" applyNumberFormat="1" applyFont="1" applyFill="1" applyBorder="1" applyAlignment="1" applyProtection="1">
      <alignment horizontal="center" vertical="center"/>
    </xf>
    <xf numFmtId="176" fontId="3" fillId="0" borderId="5" xfId="0" applyNumberFormat="1" applyFont="1" applyFill="1" applyBorder="1" applyAlignment="1" applyProtection="1">
      <alignment horizontal="center" vertical="center"/>
    </xf>
    <xf numFmtId="176" fontId="4" fillId="0" borderId="5" xfId="0" applyNumberFormat="1" applyFont="1" applyFill="1" applyBorder="1" applyAlignment="1" applyProtection="1">
      <alignment horizontal="center" vertical="center" wrapText="1"/>
    </xf>
    <xf numFmtId="176" fontId="3" fillId="0" borderId="5" xfId="0" applyNumberFormat="1" applyFont="1" applyFill="1" applyBorder="1" applyAlignment="1" applyProtection="1">
      <alignment horizontal="center" vertical="center" wrapText="1"/>
    </xf>
    <xf numFmtId="176" fontId="4" fillId="6" borderId="5" xfId="0" applyNumberFormat="1" applyFont="1" applyFill="1" applyBorder="1" applyAlignment="1" applyProtection="1">
      <alignment horizontal="center" vertical="center"/>
    </xf>
    <xf numFmtId="176" fontId="3" fillId="0" borderId="7" xfId="0" applyNumberFormat="1" applyFont="1" applyFill="1" applyBorder="1" applyAlignment="1" applyProtection="1">
      <alignment horizontal="center" vertical="center"/>
    </xf>
    <xf numFmtId="176" fontId="4" fillId="0" borderId="7" xfId="0" applyNumberFormat="1" applyFont="1" applyFill="1" applyBorder="1" applyAlignment="1" applyProtection="1">
      <alignment horizontal="center" vertical="center" wrapText="1"/>
    </xf>
    <xf numFmtId="0" fontId="9" fillId="0" borderId="7" xfId="0" applyFont="1" applyFill="1" applyBorder="1" applyAlignment="1" applyProtection="1">
      <alignment horizontal="center" vertical="center" wrapText="1"/>
    </xf>
    <xf numFmtId="176" fontId="4" fillId="6" borderId="7" xfId="0" applyNumberFormat="1" applyFont="1" applyFill="1" applyBorder="1" applyAlignment="1" applyProtection="1">
      <alignment horizontal="center" vertical="center"/>
    </xf>
    <xf numFmtId="176" fontId="6" fillId="0" borderId="2" xfId="0" applyNumberFormat="1" applyFont="1" applyFill="1" applyBorder="1" applyAlignment="1" applyProtection="1">
      <alignment horizontal="center" vertical="center" wrapText="1"/>
    </xf>
    <xf numFmtId="176" fontId="6" fillId="0" borderId="5" xfId="0" applyNumberFormat="1" applyFont="1" applyFill="1" applyBorder="1" applyAlignment="1" applyProtection="1">
      <alignment horizontal="center" vertical="center" wrapText="1"/>
    </xf>
    <xf numFmtId="176" fontId="6" fillId="0" borderId="7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Fill="1" applyBorder="1" applyAlignment="1" applyProtection="1">
      <alignment horizontal="center" vertical="center" wrapText="1"/>
    </xf>
    <xf numFmtId="0" fontId="6" fillId="0" borderId="5" xfId="0" applyFont="1" applyFill="1" applyBorder="1" applyAlignment="1" applyProtection="1">
      <alignment horizontal="center" vertical="center" wrapText="1"/>
    </xf>
    <xf numFmtId="0" fontId="6" fillId="0" borderId="7" xfId="0" applyFont="1" applyFill="1" applyBorder="1" applyAlignment="1" applyProtection="1">
      <alignment horizontal="center" vertical="center" wrapText="1"/>
    </xf>
    <xf numFmtId="0" fontId="3" fillId="0" borderId="0" xfId="0" applyFont="1" applyFill="1" applyAlignment="1" applyProtection="1">
      <alignment vertical="top" wrapText="1"/>
    </xf>
    <xf numFmtId="0" fontId="3" fillId="0" borderId="0" xfId="0" applyFont="1" applyFill="1" applyAlignment="1" applyProtection="1">
      <alignment horizontal="center" vertical="top" wrapText="1"/>
    </xf>
    <xf numFmtId="176" fontId="1" fillId="0" borderId="0" xfId="0" applyNumberFormat="1" applyFont="1" applyProtection="1">
      <alignment vertical="center"/>
    </xf>
    <xf numFmtId="176" fontId="1" fillId="6" borderId="0" xfId="0" applyNumberFormat="1" applyFont="1" applyFill="1" applyAlignment="1" applyProtection="1">
      <alignment horizontal="center" vertical="center"/>
    </xf>
    <xf numFmtId="176" fontId="3" fillId="6" borderId="2" xfId="0" applyNumberFormat="1" applyFont="1" applyFill="1" applyBorder="1" applyAlignment="1" applyProtection="1">
      <alignment horizontal="center" vertical="center"/>
    </xf>
    <xf numFmtId="176" fontId="3" fillId="6" borderId="5" xfId="0" applyNumberFormat="1" applyFont="1" applyFill="1" applyBorder="1" applyAlignment="1" applyProtection="1">
      <alignment horizontal="center" vertical="center"/>
    </xf>
    <xf numFmtId="176" fontId="3" fillId="6" borderId="7" xfId="0" applyNumberFormat="1" applyFont="1" applyFill="1" applyBorder="1" applyAlignment="1" applyProtection="1">
      <alignment horizontal="center" vertical="center"/>
    </xf>
    <xf numFmtId="176" fontId="1" fillId="0" borderId="0" xfId="0" applyNumberFormat="1" applyFont="1" applyProtection="1">
      <alignment vertical="center"/>
      <protection locked="0"/>
    </xf>
    <xf numFmtId="0" fontId="6" fillId="0" borderId="6" xfId="0" applyFont="1" applyFill="1" applyBorder="1" applyAlignment="1" applyProtection="1">
      <alignment horizontal="left" vertical="center"/>
    </xf>
    <xf numFmtId="0" fontId="3" fillId="0" borderId="0" xfId="0" applyFont="1" applyFill="1" applyAlignment="1" applyProtection="1">
      <alignment horizontal="center" vertical="center" wrapText="1"/>
    </xf>
    <xf numFmtId="0" fontId="1" fillId="0" borderId="0" xfId="0" applyFont="1" applyAlignment="1" applyProtection="1">
      <alignment vertical="center"/>
    </xf>
    <xf numFmtId="0" fontId="1" fillId="0" borderId="0" xfId="0" applyFont="1" applyFill="1" applyAlignment="1">
      <alignment vertical="center"/>
    </xf>
    <xf numFmtId="176" fontId="4" fillId="6" borderId="6" xfId="0" applyNumberFormat="1" applyFont="1" applyFill="1" applyBorder="1" applyAlignment="1" applyProtection="1">
      <alignment horizontal="left" vertical="center"/>
    </xf>
    <xf numFmtId="176" fontId="1" fillId="0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7599;&#26376;&#25512;&#25343;&#32479;&#35745;&#3492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2024&#24180;1&#26376;&#25512;&#25343;&#32479;&#35745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李晓红"/>
      <sheetName val="陈宇秋"/>
      <sheetName val="陈华平"/>
      <sheetName val="肖新姣"/>
      <sheetName val="王立伟"/>
      <sheetName val="程和君"/>
      <sheetName val="袁勇君"/>
      <sheetName val="柳常青"/>
      <sheetName val="吴建兵"/>
      <sheetName val="刘晓玲"/>
      <sheetName val="李拥华"/>
      <sheetName val="彭凤英"/>
      <sheetName val="李洋"/>
      <sheetName val="甘金华"/>
      <sheetName val="陈丽琴"/>
      <sheetName val="颜晓琴"/>
      <sheetName val="合计"/>
      <sheetName val="王岚生"/>
    </sheetNames>
    <sheetDataSet>
      <sheetData sheetId="0" refreshError="1">
        <row r="34">
          <cell r="B34">
            <v>14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</row>
        <row r="34">
          <cell r="U34">
            <v>0</v>
          </cell>
          <cell r="V34">
            <v>0</v>
          </cell>
        </row>
        <row r="36">
          <cell r="T36">
            <v>0</v>
          </cell>
        </row>
      </sheetData>
      <sheetData sheetId="1" refreshError="1"/>
      <sheetData sheetId="2" refreshError="1">
        <row r="34">
          <cell r="B34">
            <v>59</v>
          </cell>
          <cell r="C34">
            <v>0</v>
          </cell>
          <cell r="D34">
            <v>6</v>
          </cell>
          <cell r="E34">
            <v>0</v>
          </cell>
          <cell r="F34">
            <v>0</v>
          </cell>
          <cell r="G34">
            <v>0</v>
          </cell>
          <cell r="H34">
            <v>1</v>
          </cell>
          <cell r="I34">
            <v>42</v>
          </cell>
          <cell r="J34">
            <v>3</v>
          </cell>
          <cell r="K34">
            <v>13</v>
          </cell>
          <cell r="L34">
            <v>0</v>
          </cell>
          <cell r="M34">
            <v>0</v>
          </cell>
          <cell r="N34">
            <v>1</v>
          </cell>
          <cell r="O34">
            <v>2</v>
          </cell>
          <cell r="P34">
            <v>5</v>
          </cell>
          <cell r="Q34">
            <v>0</v>
          </cell>
          <cell r="R34">
            <v>3</v>
          </cell>
          <cell r="S34">
            <v>0</v>
          </cell>
        </row>
        <row r="34">
          <cell r="U34">
            <v>2</v>
          </cell>
          <cell r="V34">
            <v>0</v>
          </cell>
        </row>
        <row r="36">
          <cell r="T36">
            <v>0</v>
          </cell>
        </row>
      </sheetData>
      <sheetData sheetId="3" refreshError="1">
        <row r="34">
          <cell r="B34">
            <v>61</v>
          </cell>
          <cell r="C34">
            <v>0</v>
          </cell>
          <cell r="D34">
            <v>38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109</v>
          </cell>
          <cell r="J34">
            <v>0</v>
          </cell>
          <cell r="K34">
            <v>3</v>
          </cell>
          <cell r="L34">
            <v>0</v>
          </cell>
          <cell r="M34">
            <v>1</v>
          </cell>
          <cell r="N34">
            <v>0</v>
          </cell>
          <cell r="O34">
            <v>3</v>
          </cell>
          <cell r="P34">
            <v>7</v>
          </cell>
          <cell r="Q34">
            <v>1</v>
          </cell>
          <cell r="R34">
            <v>0</v>
          </cell>
          <cell r="S34">
            <v>0</v>
          </cell>
        </row>
        <row r="34">
          <cell r="U34">
            <v>1</v>
          </cell>
          <cell r="V34">
            <v>0</v>
          </cell>
        </row>
        <row r="36">
          <cell r="T36">
            <v>170</v>
          </cell>
        </row>
      </sheetData>
      <sheetData sheetId="4" refreshError="1">
        <row r="34">
          <cell r="B34">
            <v>58.5</v>
          </cell>
          <cell r="C34">
            <v>0</v>
          </cell>
          <cell r="D34">
            <v>6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52</v>
          </cell>
          <cell r="J34">
            <v>1</v>
          </cell>
          <cell r="K34">
            <v>29</v>
          </cell>
          <cell r="L34">
            <v>0</v>
          </cell>
          <cell r="M34">
            <v>0</v>
          </cell>
          <cell r="N34">
            <v>0</v>
          </cell>
          <cell r="O34">
            <v>2</v>
          </cell>
          <cell r="P34">
            <v>3</v>
          </cell>
          <cell r="Q34">
            <v>1</v>
          </cell>
          <cell r="R34">
            <v>3</v>
          </cell>
          <cell r="S34">
            <v>0</v>
          </cell>
        </row>
        <row r="34">
          <cell r="U34">
            <v>3</v>
          </cell>
          <cell r="V34">
            <v>0</v>
          </cell>
        </row>
        <row r="36">
          <cell r="T36">
            <v>0</v>
          </cell>
        </row>
      </sheetData>
      <sheetData sheetId="5" refreshError="1">
        <row r="34">
          <cell r="B34">
            <v>56</v>
          </cell>
          <cell r="C34">
            <v>0</v>
          </cell>
          <cell r="D34">
            <v>14.5</v>
          </cell>
          <cell r="E34">
            <v>0</v>
          </cell>
          <cell r="F34">
            <v>0</v>
          </cell>
          <cell r="G34">
            <v>0</v>
          </cell>
          <cell r="H34">
            <v>1</v>
          </cell>
          <cell r="I34">
            <v>78</v>
          </cell>
          <cell r="J34">
            <v>2</v>
          </cell>
          <cell r="K34">
            <v>29</v>
          </cell>
          <cell r="L34">
            <v>0</v>
          </cell>
          <cell r="M34">
            <v>0</v>
          </cell>
          <cell r="N34">
            <v>0</v>
          </cell>
          <cell r="O34">
            <v>2</v>
          </cell>
          <cell r="P34">
            <v>4</v>
          </cell>
          <cell r="Q34">
            <v>1</v>
          </cell>
          <cell r="R34">
            <v>0</v>
          </cell>
          <cell r="S34">
            <v>0</v>
          </cell>
        </row>
        <row r="34">
          <cell r="U34">
            <v>0</v>
          </cell>
          <cell r="V34">
            <v>0</v>
          </cell>
        </row>
        <row r="36">
          <cell r="T36">
            <v>15</v>
          </cell>
        </row>
      </sheetData>
      <sheetData sheetId="6" refreshError="1">
        <row r="34">
          <cell r="B34">
            <v>68.5</v>
          </cell>
          <cell r="C34">
            <v>0</v>
          </cell>
          <cell r="D34">
            <v>8</v>
          </cell>
          <cell r="E34">
            <v>0</v>
          </cell>
          <cell r="F34">
            <v>0</v>
          </cell>
          <cell r="G34">
            <v>0</v>
          </cell>
          <cell r="H34">
            <v>3</v>
          </cell>
          <cell r="I34">
            <v>160</v>
          </cell>
          <cell r="J34">
            <v>1</v>
          </cell>
          <cell r="K34">
            <v>17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30</v>
          </cell>
          <cell r="Q34">
            <v>0</v>
          </cell>
          <cell r="R34">
            <v>2</v>
          </cell>
          <cell r="S34">
            <v>0</v>
          </cell>
        </row>
        <row r="34">
          <cell r="U34">
            <v>2</v>
          </cell>
          <cell r="V34">
            <v>0</v>
          </cell>
        </row>
        <row r="36">
          <cell r="T36">
            <v>0</v>
          </cell>
        </row>
      </sheetData>
      <sheetData sheetId="7" refreshError="1">
        <row r="34">
          <cell r="B34">
            <v>44</v>
          </cell>
          <cell r="C34">
            <v>0</v>
          </cell>
          <cell r="D34">
            <v>29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73</v>
          </cell>
          <cell r="J34">
            <v>0</v>
          </cell>
          <cell r="K34">
            <v>13</v>
          </cell>
          <cell r="L34">
            <v>0</v>
          </cell>
          <cell r="M34">
            <v>0</v>
          </cell>
          <cell r="N34">
            <v>1</v>
          </cell>
          <cell r="O34">
            <v>2</v>
          </cell>
          <cell r="P34">
            <v>26</v>
          </cell>
          <cell r="Q34">
            <v>1</v>
          </cell>
          <cell r="R34">
            <v>2</v>
          </cell>
          <cell r="S34">
            <v>0</v>
          </cell>
        </row>
        <row r="34">
          <cell r="U34">
            <v>3</v>
          </cell>
          <cell r="V34">
            <v>0</v>
          </cell>
        </row>
        <row r="36">
          <cell r="T36">
            <v>15</v>
          </cell>
        </row>
      </sheetData>
      <sheetData sheetId="8" refreshError="1">
        <row r="34">
          <cell r="B34">
            <v>97</v>
          </cell>
          <cell r="C34">
            <v>0</v>
          </cell>
          <cell r="D34">
            <v>6</v>
          </cell>
          <cell r="E34">
            <v>0</v>
          </cell>
          <cell r="F34">
            <v>1</v>
          </cell>
          <cell r="G34">
            <v>0</v>
          </cell>
          <cell r="H34">
            <v>0</v>
          </cell>
          <cell r="I34">
            <v>111</v>
          </cell>
          <cell r="J34">
            <v>6</v>
          </cell>
          <cell r="K34">
            <v>14</v>
          </cell>
          <cell r="L34">
            <v>0</v>
          </cell>
          <cell r="M34">
            <v>0</v>
          </cell>
          <cell r="N34">
            <v>0</v>
          </cell>
          <cell r="O34">
            <v>3</v>
          </cell>
          <cell r="P34">
            <v>2</v>
          </cell>
          <cell r="Q34">
            <v>0</v>
          </cell>
          <cell r="R34">
            <v>0</v>
          </cell>
          <cell r="S34">
            <v>0</v>
          </cell>
        </row>
        <row r="34">
          <cell r="V34">
            <v>0</v>
          </cell>
        </row>
        <row r="36">
          <cell r="T36">
            <v>60</v>
          </cell>
        </row>
      </sheetData>
      <sheetData sheetId="9" refreshError="1">
        <row r="34">
          <cell r="B34">
            <v>59</v>
          </cell>
          <cell r="C34">
            <v>0</v>
          </cell>
          <cell r="D34">
            <v>26</v>
          </cell>
          <cell r="E34">
            <v>0</v>
          </cell>
          <cell r="F34">
            <v>0</v>
          </cell>
          <cell r="G34">
            <v>0</v>
          </cell>
          <cell r="H34">
            <v>1</v>
          </cell>
          <cell r="I34">
            <v>140</v>
          </cell>
          <cell r="J34">
            <v>4</v>
          </cell>
          <cell r="K34">
            <v>10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13</v>
          </cell>
          <cell r="Q34">
            <v>1</v>
          </cell>
          <cell r="R34">
            <v>0</v>
          </cell>
          <cell r="S34">
            <v>0</v>
          </cell>
        </row>
        <row r="34">
          <cell r="U34">
            <v>2</v>
          </cell>
          <cell r="V34">
            <v>0</v>
          </cell>
        </row>
        <row r="36">
          <cell r="T36">
            <v>255</v>
          </cell>
        </row>
      </sheetData>
      <sheetData sheetId="10" refreshError="1">
        <row r="34">
          <cell r="B34">
            <v>49.5</v>
          </cell>
          <cell r="C34">
            <v>0</v>
          </cell>
          <cell r="D34">
            <v>11</v>
          </cell>
          <cell r="E34">
            <v>0</v>
          </cell>
          <cell r="F34">
            <v>0</v>
          </cell>
          <cell r="G34">
            <v>0</v>
          </cell>
          <cell r="H34">
            <v>1</v>
          </cell>
          <cell r="I34">
            <v>65</v>
          </cell>
          <cell r="J34">
            <v>4</v>
          </cell>
          <cell r="K34">
            <v>9</v>
          </cell>
          <cell r="L34">
            <v>0</v>
          </cell>
          <cell r="M34">
            <v>0</v>
          </cell>
          <cell r="N34">
            <v>1</v>
          </cell>
          <cell r="O34">
            <v>0</v>
          </cell>
          <cell r="P34">
            <v>11</v>
          </cell>
        </row>
        <row r="34">
          <cell r="R34">
            <v>3</v>
          </cell>
          <cell r="S34">
            <v>0</v>
          </cell>
        </row>
        <row r="34">
          <cell r="U34">
            <v>2</v>
          </cell>
          <cell r="V34">
            <v>0</v>
          </cell>
        </row>
        <row r="36">
          <cell r="T36">
            <v>80</v>
          </cell>
        </row>
      </sheetData>
      <sheetData sheetId="11" refreshError="1">
        <row r="34">
          <cell r="B34">
            <v>43</v>
          </cell>
          <cell r="C34">
            <v>0</v>
          </cell>
          <cell r="D34">
            <v>41.5</v>
          </cell>
          <cell r="E34">
            <v>0</v>
          </cell>
          <cell r="F34">
            <v>0</v>
          </cell>
          <cell r="G34">
            <v>0</v>
          </cell>
          <cell r="H34">
            <v>8</v>
          </cell>
          <cell r="I34">
            <v>121</v>
          </cell>
          <cell r="J34">
            <v>1</v>
          </cell>
          <cell r="K34">
            <v>7</v>
          </cell>
          <cell r="L34">
            <v>0</v>
          </cell>
          <cell r="M34">
            <v>0</v>
          </cell>
          <cell r="N34">
            <v>2</v>
          </cell>
          <cell r="O34">
            <v>2</v>
          </cell>
          <cell r="P34">
            <v>8</v>
          </cell>
          <cell r="Q34">
            <v>1</v>
          </cell>
          <cell r="R34">
            <v>1</v>
          </cell>
          <cell r="S34">
            <v>0</v>
          </cell>
        </row>
        <row r="34">
          <cell r="U34">
            <v>1</v>
          </cell>
          <cell r="V34">
            <v>0</v>
          </cell>
        </row>
        <row r="36">
          <cell r="T36">
            <v>150</v>
          </cell>
        </row>
      </sheetData>
      <sheetData sheetId="12" refreshError="1"/>
      <sheetData sheetId="13" refreshError="1">
        <row r="34">
          <cell r="B34">
            <v>52.5</v>
          </cell>
          <cell r="C34">
            <v>0</v>
          </cell>
          <cell r="D34">
            <v>2</v>
          </cell>
          <cell r="E34">
            <v>0</v>
          </cell>
          <cell r="F34">
            <v>0</v>
          </cell>
          <cell r="G34">
            <v>0</v>
          </cell>
          <cell r="H34">
            <v>1</v>
          </cell>
          <cell r="I34">
            <v>25</v>
          </cell>
          <cell r="J34">
            <v>4</v>
          </cell>
          <cell r="K34">
            <v>38</v>
          </cell>
          <cell r="L34">
            <v>0</v>
          </cell>
          <cell r="M34">
            <v>0</v>
          </cell>
          <cell r="N34">
            <v>1</v>
          </cell>
          <cell r="O34">
            <v>1</v>
          </cell>
          <cell r="P34">
            <v>7</v>
          </cell>
          <cell r="Q34">
            <v>1</v>
          </cell>
          <cell r="R34">
            <v>3</v>
          </cell>
          <cell r="S34">
            <v>0</v>
          </cell>
        </row>
        <row r="34">
          <cell r="U34">
            <v>0</v>
          </cell>
          <cell r="V34">
            <v>0</v>
          </cell>
        </row>
        <row r="36">
          <cell r="T36">
            <v>75</v>
          </cell>
        </row>
      </sheetData>
      <sheetData sheetId="14" refreshError="1">
        <row r="34">
          <cell r="U34">
            <v>0</v>
          </cell>
        </row>
      </sheetData>
      <sheetData sheetId="15" refreshError="1">
        <row r="34">
          <cell r="B34">
            <v>49.5</v>
          </cell>
          <cell r="C34">
            <v>0</v>
          </cell>
          <cell r="D34">
            <v>17</v>
          </cell>
          <cell r="E34">
            <v>0</v>
          </cell>
          <cell r="F34">
            <v>0</v>
          </cell>
          <cell r="G34">
            <v>0</v>
          </cell>
          <cell r="H34">
            <v>1</v>
          </cell>
          <cell r="I34">
            <v>36</v>
          </cell>
          <cell r="J34">
            <v>4</v>
          </cell>
          <cell r="K34">
            <v>17</v>
          </cell>
          <cell r="L34">
            <v>0</v>
          </cell>
          <cell r="M34">
            <v>0</v>
          </cell>
          <cell r="N34">
            <v>1</v>
          </cell>
          <cell r="O34">
            <v>1</v>
          </cell>
          <cell r="P34">
            <v>6</v>
          </cell>
          <cell r="Q34">
            <v>0</v>
          </cell>
          <cell r="R34">
            <v>2</v>
          </cell>
          <cell r="S34">
            <v>0</v>
          </cell>
        </row>
        <row r="34">
          <cell r="U34">
            <v>2</v>
          </cell>
          <cell r="V34">
            <v>0</v>
          </cell>
        </row>
        <row r="36">
          <cell r="T36">
            <v>40</v>
          </cell>
        </row>
      </sheetData>
      <sheetData sheetId="16" refreshError="1"/>
      <sheetData sheetId="17" refreshError="1">
        <row r="34">
          <cell r="B34">
            <v>39.5</v>
          </cell>
          <cell r="C34">
            <v>1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52</v>
          </cell>
          <cell r="J34">
            <v>6</v>
          </cell>
          <cell r="K34">
            <v>14</v>
          </cell>
          <cell r="L34">
            <v>0</v>
          </cell>
          <cell r="M34">
            <v>0</v>
          </cell>
          <cell r="N34">
            <v>2</v>
          </cell>
          <cell r="O34">
            <v>2</v>
          </cell>
          <cell r="P34">
            <v>7</v>
          </cell>
          <cell r="Q34">
            <v>0</v>
          </cell>
          <cell r="R34">
            <v>5</v>
          </cell>
          <cell r="S34">
            <v>0</v>
          </cell>
        </row>
        <row r="34">
          <cell r="V34">
            <v>0</v>
          </cell>
        </row>
        <row r="36">
          <cell r="T36">
            <v>20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李晓红"/>
      <sheetName val="陈华平"/>
      <sheetName val="肖新姣"/>
      <sheetName val="王立伟"/>
      <sheetName val="程和君"/>
      <sheetName val="袁勇君"/>
      <sheetName val="柳常青"/>
      <sheetName val="吴建兵"/>
      <sheetName val="刘晓玲"/>
      <sheetName val="李拥华"/>
      <sheetName val="彭凤英"/>
      <sheetName val="甘金华"/>
      <sheetName val="颜晓琴"/>
      <sheetName val="Sheet14"/>
      <sheetName val="合计"/>
    </sheetNames>
    <sheetDataSet>
      <sheetData sheetId="0">
        <row r="34">
          <cell r="B34">
            <v>16.5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7</v>
          </cell>
          <cell r="U34">
            <v>0</v>
          </cell>
        </row>
        <row r="34"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6">
          <cell r="V36">
            <v>200</v>
          </cell>
        </row>
      </sheetData>
      <sheetData sheetId="1">
        <row r="34">
          <cell r="B34">
            <v>32</v>
          </cell>
          <cell r="C34">
            <v>0</v>
          </cell>
          <cell r="D34">
            <v>3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18</v>
          </cell>
          <cell r="J34">
            <v>2</v>
          </cell>
          <cell r="K34">
            <v>6</v>
          </cell>
          <cell r="L34">
            <v>0</v>
          </cell>
          <cell r="M34">
            <v>0</v>
          </cell>
          <cell r="N34">
            <v>0</v>
          </cell>
          <cell r="O34">
            <v>1</v>
          </cell>
          <cell r="P34">
            <v>19</v>
          </cell>
          <cell r="Q34">
            <v>0</v>
          </cell>
          <cell r="R34">
            <v>5</v>
          </cell>
          <cell r="S34">
            <v>0</v>
          </cell>
          <cell r="T34">
            <v>15</v>
          </cell>
          <cell r="U34">
            <v>0</v>
          </cell>
        </row>
        <row r="34"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1</v>
          </cell>
          <cell r="AE34">
            <v>0</v>
          </cell>
          <cell r="AF34">
            <v>0</v>
          </cell>
        </row>
        <row r="36">
          <cell r="V36">
            <v>140</v>
          </cell>
        </row>
      </sheetData>
      <sheetData sheetId="2">
        <row r="34">
          <cell r="B34">
            <v>44</v>
          </cell>
          <cell r="C34">
            <v>0</v>
          </cell>
          <cell r="D34">
            <v>33.5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76</v>
          </cell>
          <cell r="J34">
            <v>4</v>
          </cell>
          <cell r="K34">
            <v>5</v>
          </cell>
          <cell r="L34">
            <v>0</v>
          </cell>
          <cell r="M34">
            <v>1</v>
          </cell>
          <cell r="N34">
            <v>0</v>
          </cell>
          <cell r="O34">
            <v>0</v>
          </cell>
          <cell r="P34">
            <v>14</v>
          </cell>
          <cell r="Q34">
            <v>0</v>
          </cell>
          <cell r="R34">
            <v>2</v>
          </cell>
          <cell r="S34">
            <v>1</v>
          </cell>
          <cell r="T34">
            <v>19</v>
          </cell>
          <cell r="U34">
            <v>0</v>
          </cell>
        </row>
        <row r="34"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6">
          <cell r="V36">
            <v>100</v>
          </cell>
        </row>
      </sheetData>
      <sheetData sheetId="3">
        <row r="34">
          <cell r="B34">
            <v>50.5</v>
          </cell>
          <cell r="C34">
            <v>0</v>
          </cell>
          <cell r="D34">
            <v>7</v>
          </cell>
          <cell r="E34">
            <v>0</v>
          </cell>
          <cell r="F34">
            <v>0</v>
          </cell>
          <cell r="G34">
            <v>0</v>
          </cell>
          <cell r="H34">
            <v>1</v>
          </cell>
          <cell r="I34">
            <v>38</v>
          </cell>
          <cell r="J34">
            <v>3</v>
          </cell>
          <cell r="K34">
            <v>10</v>
          </cell>
          <cell r="L34">
            <v>0</v>
          </cell>
          <cell r="M34">
            <v>0</v>
          </cell>
          <cell r="N34">
            <v>1</v>
          </cell>
          <cell r="O34">
            <v>3</v>
          </cell>
          <cell r="P34">
            <v>7</v>
          </cell>
          <cell r="Q34">
            <v>0</v>
          </cell>
          <cell r="R34">
            <v>1</v>
          </cell>
          <cell r="S34">
            <v>0</v>
          </cell>
          <cell r="T34">
            <v>29</v>
          </cell>
          <cell r="U34">
            <v>0</v>
          </cell>
        </row>
        <row r="34">
          <cell r="X34">
            <v>0.5</v>
          </cell>
          <cell r="Y34">
            <v>0</v>
          </cell>
          <cell r="Z34">
            <v>0</v>
          </cell>
          <cell r="AA34">
            <v>0</v>
          </cell>
          <cell r="AB34">
            <v>5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</sheetData>
      <sheetData sheetId="4">
        <row r="34">
          <cell r="B34">
            <v>33.5</v>
          </cell>
          <cell r="C34">
            <v>0</v>
          </cell>
          <cell r="D34">
            <v>13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52</v>
          </cell>
          <cell r="J34">
            <v>1</v>
          </cell>
          <cell r="K34">
            <v>32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8</v>
          </cell>
          <cell r="Q34">
            <v>0</v>
          </cell>
          <cell r="R34">
            <v>2</v>
          </cell>
          <cell r="S34">
            <v>0</v>
          </cell>
          <cell r="T34">
            <v>23</v>
          </cell>
          <cell r="U34">
            <v>0</v>
          </cell>
        </row>
        <row r="34">
          <cell r="X34">
            <v>0.5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2</v>
          </cell>
          <cell r="AE34">
            <v>0</v>
          </cell>
          <cell r="AF34">
            <v>0</v>
          </cell>
        </row>
        <row r="36">
          <cell r="V36">
            <v>200</v>
          </cell>
        </row>
      </sheetData>
      <sheetData sheetId="5">
        <row r="34">
          <cell r="B34">
            <v>58</v>
          </cell>
          <cell r="C34">
            <v>0</v>
          </cell>
          <cell r="D34">
            <v>7.5</v>
          </cell>
          <cell r="E34">
            <v>0</v>
          </cell>
          <cell r="F34">
            <v>0</v>
          </cell>
          <cell r="G34">
            <v>0</v>
          </cell>
          <cell r="H34">
            <v>5</v>
          </cell>
          <cell r="I34">
            <v>105</v>
          </cell>
          <cell r="J34">
            <v>1</v>
          </cell>
          <cell r="K34">
            <v>23</v>
          </cell>
          <cell r="L34">
            <v>1</v>
          </cell>
          <cell r="M34">
            <v>0</v>
          </cell>
          <cell r="N34">
            <v>0</v>
          </cell>
          <cell r="O34">
            <v>0</v>
          </cell>
          <cell r="P34">
            <v>19</v>
          </cell>
          <cell r="Q34">
            <v>0</v>
          </cell>
          <cell r="R34">
            <v>1</v>
          </cell>
          <cell r="S34">
            <v>1</v>
          </cell>
          <cell r="T34">
            <v>7</v>
          </cell>
          <cell r="U34">
            <v>0</v>
          </cell>
        </row>
        <row r="34">
          <cell r="X34">
            <v>0</v>
          </cell>
          <cell r="Y34">
            <v>0</v>
          </cell>
        </row>
        <row r="34">
          <cell r="AA34">
            <v>0</v>
          </cell>
          <cell r="AB34">
            <v>0</v>
          </cell>
          <cell r="AC34">
            <v>0</v>
          </cell>
          <cell r="AD34">
            <v>2</v>
          </cell>
          <cell r="AE34">
            <v>0</v>
          </cell>
          <cell r="AF34">
            <v>0</v>
          </cell>
        </row>
        <row r="35">
          <cell r="Z35">
            <v>0</v>
          </cell>
        </row>
        <row r="36">
          <cell r="V36">
            <v>440</v>
          </cell>
        </row>
      </sheetData>
      <sheetData sheetId="6">
        <row r="34">
          <cell r="B34">
            <v>38.5</v>
          </cell>
          <cell r="C34">
            <v>0</v>
          </cell>
          <cell r="D34">
            <v>21.5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65</v>
          </cell>
          <cell r="J34">
            <v>0</v>
          </cell>
          <cell r="K34">
            <v>15</v>
          </cell>
          <cell r="L34">
            <v>0</v>
          </cell>
          <cell r="M34">
            <v>0</v>
          </cell>
          <cell r="N34">
            <v>0</v>
          </cell>
          <cell r="O34">
            <v>1</v>
          </cell>
          <cell r="P34">
            <v>7</v>
          </cell>
          <cell r="Q34">
            <v>0</v>
          </cell>
          <cell r="R34">
            <v>3</v>
          </cell>
          <cell r="S34">
            <v>0</v>
          </cell>
          <cell r="T34">
            <v>22</v>
          </cell>
          <cell r="U34">
            <v>0</v>
          </cell>
        </row>
        <row r="34"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1</v>
          </cell>
          <cell r="AE34">
            <v>0</v>
          </cell>
          <cell r="AF34">
            <v>0</v>
          </cell>
        </row>
        <row r="36">
          <cell r="V36">
            <v>0</v>
          </cell>
        </row>
      </sheetData>
      <sheetData sheetId="7">
        <row r="34">
          <cell r="B34">
            <v>46</v>
          </cell>
          <cell r="C34">
            <v>0</v>
          </cell>
          <cell r="D34">
            <v>1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71</v>
          </cell>
          <cell r="J34">
            <v>3</v>
          </cell>
          <cell r="K34">
            <v>15</v>
          </cell>
          <cell r="L34">
            <v>0</v>
          </cell>
          <cell r="M34">
            <v>0</v>
          </cell>
          <cell r="N34">
            <v>0</v>
          </cell>
          <cell r="O34">
            <v>2</v>
          </cell>
          <cell r="P34">
            <v>5</v>
          </cell>
          <cell r="Q34">
            <v>0</v>
          </cell>
          <cell r="R34">
            <v>2</v>
          </cell>
          <cell r="S34">
            <v>0</v>
          </cell>
          <cell r="T34">
            <v>15</v>
          </cell>
          <cell r="U34">
            <v>0</v>
          </cell>
        </row>
        <row r="34">
          <cell r="X34">
            <v>2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1</v>
          </cell>
          <cell r="AE34">
            <v>0</v>
          </cell>
          <cell r="AF34">
            <v>0</v>
          </cell>
        </row>
        <row r="36">
          <cell r="V36">
            <v>40</v>
          </cell>
        </row>
      </sheetData>
      <sheetData sheetId="8">
        <row r="34">
          <cell r="B34">
            <v>46.5</v>
          </cell>
          <cell r="C34">
            <v>0</v>
          </cell>
          <cell r="D34">
            <v>20.5</v>
          </cell>
          <cell r="E34">
            <v>0</v>
          </cell>
          <cell r="F34">
            <v>0</v>
          </cell>
          <cell r="G34">
            <v>0</v>
          </cell>
          <cell r="H34">
            <v>1</v>
          </cell>
          <cell r="I34">
            <v>56</v>
          </cell>
          <cell r="J34">
            <v>0</v>
          </cell>
          <cell r="K34">
            <v>6</v>
          </cell>
          <cell r="L34">
            <v>0</v>
          </cell>
          <cell r="M34">
            <v>0</v>
          </cell>
          <cell r="N34">
            <v>1</v>
          </cell>
          <cell r="O34">
            <v>0</v>
          </cell>
          <cell r="P34">
            <v>10</v>
          </cell>
          <cell r="Q34">
            <v>0</v>
          </cell>
          <cell r="R34">
            <v>3</v>
          </cell>
          <cell r="S34">
            <v>1</v>
          </cell>
          <cell r="T34">
            <v>36</v>
          </cell>
          <cell r="U34">
            <v>0</v>
          </cell>
        </row>
        <row r="34">
          <cell r="X34">
            <v>3</v>
          </cell>
          <cell r="Y34">
            <v>1</v>
          </cell>
          <cell r="Z34">
            <v>0</v>
          </cell>
          <cell r="AA34">
            <v>0</v>
          </cell>
          <cell r="AB34">
            <v>5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6">
          <cell r="V36">
            <v>80</v>
          </cell>
        </row>
      </sheetData>
      <sheetData sheetId="9">
        <row r="34">
          <cell r="B34">
            <v>27</v>
          </cell>
          <cell r="C34">
            <v>0</v>
          </cell>
          <cell r="D34">
            <v>10.5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78</v>
          </cell>
          <cell r="J34">
            <v>4</v>
          </cell>
          <cell r="K34">
            <v>9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4</v>
          </cell>
          <cell r="Q34">
            <v>0</v>
          </cell>
          <cell r="R34">
            <v>3</v>
          </cell>
          <cell r="S34">
            <v>0</v>
          </cell>
          <cell r="T34">
            <v>27</v>
          </cell>
          <cell r="U34">
            <v>0</v>
          </cell>
        </row>
        <row r="34"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6">
          <cell r="V36">
            <v>180</v>
          </cell>
        </row>
      </sheetData>
      <sheetData sheetId="10">
        <row r="34">
          <cell r="B34">
            <v>38</v>
          </cell>
          <cell r="C34">
            <v>0</v>
          </cell>
          <cell r="D34">
            <v>26</v>
          </cell>
          <cell r="E34">
            <v>0</v>
          </cell>
          <cell r="F34">
            <v>0</v>
          </cell>
          <cell r="G34">
            <v>0</v>
          </cell>
          <cell r="H34">
            <v>3</v>
          </cell>
          <cell r="I34">
            <v>98</v>
          </cell>
          <cell r="J34">
            <v>1</v>
          </cell>
          <cell r="K34">
            <v>7</v>
          </cell>
          <cell r="L34">
            <v>0</v>
          </cell>
          <cell r="M34">
            <v>0</v>
          </cell>
          <cell r="N34">
            <v>0</v>
          </cell>
          <cell r="O34">
            <v>3</v>
          </cell>
          <cell r="P34">
            <v>15</v>
          </cell>
          <cell r="Q34">
            <v>0</v>
          </cell>
          <cell r="R34">
            <v>2</v>
          </cell>
          <cell r="S34">
            <v>0</v>
          </cell>
          <cell r="T34">
            <v>9</v>
          </cell>
          <cell r="U34">
            <v>0</v>
          </cell>
        </row>
        <row r="34"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1</v>
          </cell>
          <cell r="AE34">
            <v>0</v>
          </cell>
          <cell r="AF34">
            <v>0</v>
          </cell>
        </row>
        <row r="36">
          <cell r="V36">
            <v>140</v>
          </cell>
        </row>
      </sheetData>
      <sheetData sheetId="11">
        <row r="34">
          <cell r="B34">
            <v>37.5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25</v>
          </cell>
          <cell r="J34">
            <v>2</v>
          </cell>
          <cell r="K34">
            <v>23</v>
          </cell>
          <cell r="L34">
            <v>0</v>
          </cell>
          <cell r="M34">
            <v>0</v>
          </cell>
          <cell r="N34">
            <v>0</v>
          </cell>
          <cell r="O34">
            <v>3</v>
          </cell>
          <cell r="P34">
            <v>5</v>
          </cell>
          <cell r="Q34">
            <v>0</v>
          </cell>
          <cell r="R34">
            <v>6</v>
          </cell>
          <cell r="S34">
            <v>0</v>
          </cell>
          <cell r="T34">
            <v>15</v>
          </cell>
          <cell r="U34">
            <v>0</v>
          </cell>
        </row>
        <row r="34"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2</v>
          </cell>
          <cell r="AE34">
            <v>0</v>
          </cell>
          <cell r="AF34">
            <v>0</v>
          </cell>
        </row>
        <row r="36">
          <cell r="V36">
            <v>60</v>
          </cell>
        </row>
      </sheetData>
      <sheetData sheetId="12">
        <row r="34">
          <cell r="B34">
            <v>30.5</v>
          </cell>
          <cell r="C34">
            <v>0</v>
          </cell>
          <cell r="D34">
            <v>16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34</v>
          </cell>
          <cell r="J34">
            <v>2</v>
          </cell>
          <cell r="K34">
            <v>6</v>
          </cell>
          <cell r="L34">
            <v>0</v>
          </cell>
          <cell r="M34">
            <v>0</v>
          </cell>
          <cell r="N34">
            <v>1</v>
          </cell>
          <cell r="O34">
            <v>1</v>
          </cell>
          <cell r="P34">
            <v>16</v>
          </cell>
          <cell r="Q34">
            <v>0</v>
          </cell>
          <cell r="R34">
            <v>0</v>
          </cell>
          <cell r="S34">
            <v>0</v>
          </cell>
          <cell r="T34">
            <v>26</v>
          </cell>
          <cell r="U34">
            <v>0</v>
          </cell>
        </row>
        <row r="34"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1</v>
          </cell>
          <cell r="AE34">
            <v>0</v>
          </cell>
          <cell r="AF34">
            <v>0</v>
          </cell>
        </row>
      </sheetData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AJ82"/>
  <sheetViews>
    <sheetView tabSelected="1" workbookViewId="0">
      <pane xSplit="1" ySplit="4" topLeftCell="B29" activePane="bottomRight" state="frozen"/>
      <selection/>
      <selection pane="topRight"/>
      <selection pane="bottomLeft"/>
      <selection pane="bottomRight" activeCell="AJ54" sqref="AJ54"/>
    </sheetView>
  </sheetViews>
  <sheetFormatPr defaultColWidth="5.125" defaultRowHeight="23" customHeight="1"/>
  <cols>
    <col min="1" max="1" width="2.25" style="1" customWidth="1"/>
    <col min="2" max="2" width="5.125" style="1" customWidth="1"/>
    <col min="3" max="3" width="3.25" style="1" customWidth="1"/>
    <col min="4" max="4" width="5.125" style="1" customWidth="1"/>
    <col min="5" max="6" width="3.25" style="1" customWidth="1"/>
    <col min="7" max="7" width="2.625" style="1" customWidth="1"/>
    <col min="8" max="8" width="4.875" style="1" customWidth="1"/>
    <col min="9" max="9" width="5.125" style="1" customWidth="1"/>
    <col min="10" max="10" width="4.625" style="1" customWidth="1"/>
    <col min="11" max="11" width="5.125" style="1" customWidth="1"/>
    <col min="12" max="12" width="3.625" style="1" customWidth="1"/>
    <col min="13" max="13" width="4.625" style="1" customWidth="1"/>
    <col min="14" max="14" width="3.875" style="1" customWidth="1"/>
    <col min="15" max="15" width="3.25" style="1" customWidth="1"/>
    <col min="16" max="16" width="4.25" style="1" customWidth="1"/>
    <col min="17" max="17" width="3.25" style="1" customWidth="1"/>
    <col min="18" max="20" width="5.125" style="1" customWidth="1"/>
    <col min="21" max="21" width="3.625" style="1" customWidth="1"/>
    <col min="22" max="22" width="7.375" style="1" customWidth="1"/>
    <col min="23" max="23" width="9.625" style="1" customWidth="1"/>
    <col min="24" max="24" width="7.125" style="1" customWidth="1"/>
    <col min="25" max="25" width="8.125" style="92" customWidth="1"/>
    <col min="26" max="26" width="6.625" style="1" customWidth="1"/>
    <col min="27" max="27" width="9.375" style="1" customWidth="1"/>
    <col min="28" max="28" width="6.5" style="1" customWidth="1"/>
    <col min="29" max="29" width="4.25" style="1" customWidth="1"/>
    <col min="30" max="30" width="4.75" style="1" customWidth="1"/>
    <col min="31" max="31" width="8.5" style="1" customWidth="1"/>
    <col min="32" max="32" width="4.875" style="1" customWidth="1"/>
    <col min="33" max="33" width="17" style="1" customWidth="1"/>
    <col min="34" max="34" width="9.25" style="93" hidden="1" customWidth="1"/>
    <col min="35" max="35" width="8.625" style="1" customWidth="1"/>
    <col min="36" max="16379" width="5.125" style="1" customWidth="1"/>
    <col min="16380" max="16384" width="5.125" style="1"/>
  </cols>
  <sheetData>
    <row r="1" ht="28" customHeight="1" spans="1:34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31"/>
      <c r="AH1" s="142"/>
    </row>
    <row r="2" ht="8" customHeight="1" spans="1:34">
      <c r="A2" s="95"/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31"/>
      <c r="AH2" s="142"/>
    </row>
    <row r="3" s="1" customFormat="1" ht="15" customHeight="1" spans="1:34">
      <c r="A3" s="96" t="s">
        <v>1</v>
      </c>
      <c r="B3" s="97" t="s">
        <v>2</v>
      </c>
      <c r="C3" s="7"/>
      <c r="D3" s="6" t="s">
        <v>3</v>
      </c>
      <c r="E3" s="7"/>
      <c r="F3" s="6" t="s">
        <v>4</v>
      </c>
      <c r="G3" s="7"/>
      <c r="H3" s="8" t="s">
        <v>5</v>
      </c>
      <c r="I3" s="8" t="s">
        <v>6</v>
      </c>
      <c r="J3" s="33" t="s">
        <v>7</v>
      </c>
      <c r="K3" s="5" t="s">
        <v>8</v>
      </c>
      <c r="L3" s="5" t="s">
        <v>9</v>
      </c>
      <c r="M3" s="5" t="s">
        <v>10</v>
      </c>
      <c r="N3" s="8" t="s">
        <v>11</v>
      </c>
      <c r="O3" s="111" t="s">
        <v>12</v>
      </c>
      <c r="P3" s="112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33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63" t="s">
        <v>23</v>
      </c>
      <c r="AA3" s="5" t="s">
        <v>24</v>
      </c>
      <c r="AB3" s="8" t="s">
        <v>25</v>
      </c>
      <c r="AC3" s="5" t="s">
        <v>26</v>
      </c>
      <c r="AD3" s="5" t="s">
        <v>27</v>
      </c>
      <c r="AE3" s="120" t="s">
        <v>28</v>
      </c>
      <c r="AF3" s="8" t="s">
        <v>29</v>
      </c>
      <c r="AG3" s="31"/>
      <c r="AH3" s="143" t="s">
        <v>30</v>
      </c>
    </row>
    <row r="4" s="1" customFormat="1" ht="15" customHeight="1" spans="1:34">
      <c r="A4" s="98"/>
      <c r="B4" s="7" t="s">
        <v>31</v>
      </c>
      <c r="C4" s="10" t="s">
        <v>32</v>
      </c>
      <c r="D4" s="10" t="s">
        <v>31</v>
      </c>
      <c r="E4" s="10" t="s">
        <v>32</v>
      </c>
      <c r="F4" s="10" t="s">
        <v>31</v>
      </c>
      <c r="G4" s="10" t="s">
        <v>32</v>
      </c>
      <c r="H4" s="11"/>
      <c r="I4" s="11"/>
      <c r="J4" s="113"/>
      <c r="K4" s="35"/>
      <c r="L4" s="35"/>
      <c r="M4" s="35"/>
      <c r="N4" s="11"/>
      <c r="O4" s="114"/>
      <c r="P4" s="115"/>
      <c r="Q4" s="35"/>
      <c r="R4" s="35"/>
      <c r="S4" s="35"/>
      <c r="T4" s="9"/>
      <c r="U4" s="37"/>
      <c r="V4" s="35"/>
      <c r="W4" s="35"/>
      <c r="X4" s="35"/>
      <c r="Y4" s="35"/>
      <c r="Z4" s="64"/>
      <c r="AA4" s="35"/>
      <c r="AB4" s="11"/>
      <c r="AC4" s="35"/>
      <c r="AD4" s="35"/>
      <c r="AE4" s="121"/>
      <c r="AF4" s="11"/>
      <c r="AG4" s="31"/>
      <c r="AH4" s="143"/>
    </row>
    <row r="5" ht="15" customHeight="1" spans="1:34">
      <c r="A5" s="12" t="s">
        <v>33</v>
      </c>
      <c r="B5" s="13">
        <f>[2]李晓红!B$34</f>
        <v>16.5</v>
      </c>
      <c r="C5" s="13">
        <f>[2]李晓红!C$34</f>
        <v>0</v>
      </c>
      <c r="D5" s="13">
        <f>[2]李晓红!D$34</f>
        <v>0</v>
      </c>
      <c r="E5" s="13">
        <f>[2]李晓红!E$34</f>
        <v>0</v>
      </c>
      <c r="F5" s="13">
        <f>[2]李晓红!F$34</f>
        <v>0</v>
      </c>
      <c r="G5" s="13">
        <f>[2]李晓红!G$34</f>
        <v>0</v>
      </c>
      <c r="H5" s="13">
        <f>[2]李晓红!H$34</f>
        <v>0</v>
      </c>
      <c r="I5" s="13">
        <f>[2]李晓红!I$34</f>
        <v>0</v>
      </c>
      <c r="J5" s="13">
        <f>[2]李晓红!J$34</f>
        <v>0</v>
      </c>
      <c r="K5" s="13">
        <f>[2]李晓红!K$34</f>
        <v>0</v>
      </c>
      <c r="L5" s="13">
        <f>[2]李晓红!L$34</f>
        <v>0</v>
      </c>
      <c r="M5" s="13">
        <f>[2]李晓红!M$34</f>
        <v>0</v>
      </c>
      <c r="N5" s="13">
        <f>[2]李晓红!N$34</f>
        <v>0</v>
      </c>
      <c r="O5" s="13">
        <f>[2]李晓红!O$34</f>
        <v>0</v>
      </c>
      <c r="P5" s="13">
        <f>[2]李晓红!P$34</f>
        <v>0</v>
      </c>
      <c r="Q5" s="13">
        <f>[2]李晓红!Q$34</f>
        <v>0</v>
      </c>
      <c r="R5" s="13">
        <f>[2]李晓红!R$34</f>
        <v>0</v>
      </c>
      <c r="S5" s="13">
        <f>[2]李晓红!S$34</f>
        <v>0</v>
      </c>
      <c r="T5" s="13">
        <f>[2]李晓红!T$34</f>
        <v>7</v>
      </c>
      <c r="U5" s="13">
        <f>[2]李晓红!U$34</f>
        <v>0</v>
      </c>
      <c r="V5" s="8">
        <f>SUM(B6:T6)</f>
        <v>3535</v>
      </c>
      <c r="W5" s="8">
        <f>SUM(B6:M6,B8:M8)+R6+S6</f>
        <v>2772</v>
      </c>
      <c r="X5" s="8">
        <f>W5-168</f>
        <v>2604</v>
      </c>
      <c r="Y5" s="122">
        <f>IF(V5&lt;15000,X5*0.3,IF(V5&lt;20000,X5*0.35,IF(V5&lt;25000,X5*0.37,IF(V5&lt;30000,X5*0.39,X5*0.41))))</f>
        <v>781.2</v>
      </c>
      <c r="Z5" s="123">
        <f>[2]李晓红!$V$36</f>
        <v>200</v>
      </c>
      <c r="AA5" s="63">
        <f>N9+O9+P9+Y5+Z5+Q9+T9</f>
        <v>1401.2</v>
      </c>
      <c r="AB5" s="8">
        <v>0</v>
      </c>
      <c r="AC5" s="124">
        <v>0</v>
      </c>
      <c r="AD5" s="124">
        <v>0</v>
      </c>
      <c r="AE5" s="125">
        <f>AA5-AB5-AC5-AD5</f>
        <v>1401.2</v>
      </c>
      <c r="AF5" s="69"/>
      <c r="AG5" s="31"/>
      <c r="AH5" s="144" t="e">
        <f>#REF!-AE5</f>
        <v>#REF!</v>
      </c>
    </row>
    <row r="6" ht="15" customHeight="1" spans="1:34">
      <c r="A6" s="14"/>
      <c r="B6" s="15">
        <f>B5*168</f>
        <v>2772</v>
      </c>
      <c r="C6" s="15">
        <f>C5*128</f>
        <v>0</v>
      </c>
      <c r="D6" s="15">
        <f>D5*228</f>
        <v>0</v>
      </c>
      <c r="E6" s="15">
        <f>E5*178</f>
        <v>0</v>
      </c>
      <c r="F6" s="15">
        <f>F5*78</f>
        <v>0</v>
      </c>
      <c r="G6" s="15">
        <f>G5*68</f>
        <v>0</v>
      </c>
      <c r="H6" s="15">
        <f>H5*338</f>
        <v>0</v>
      </c>
      <c r="I6" s="15">
        <f>I5*50</f>
        <v>0</v>
      </c>
      <c r="J6" s="15">
        <f>J5*48</f>
        <v>0</v>
      </c>
      <c r="K6" s="15">
        <f>K5*95</f>
        <v>0</v>
      </c>
      <c r="L6" s="15">
        <f>L5*140</f>
        <v>0</v>
      </c>
      <c r="M6" s="15">
        <f>M5*572</f>
        <v>0</v>
      </c>
      <c r="N6" s="15">
        <f>N5*160</f>
        <v>0</v>
      </c>
      <c r="O6" s="15">
        <f>O5*120</f>
        <v>0</v>
      </c>
      <c r="P6" s="15">
        <f>P5*50</f>
        <v>0</v>
      </c>
      <c r="Q6" s="15">
        <f>Q5*160</f>
        <v>0</v>
      </c>
      <c r="R6" s="15">
        <f>R5*130</f>
        <v>0</v>
      </c>
      <c r="S6" s="15">
        <f>S5*205</f>
        <v>0</v>
      </c>
      <c r="T6" s="15">
        <f>T5*109</f>
        <v>763</v>
      </c>
      <c r="U6" s="15">
        <f>U5*150</f>
        <v>0</v>
      </c>
      <c r="V6" s="118"/>
      <c r="W6" s="118"/>
      <c r="X6" s="118"/>
      <c r="Y6" s="126"/>
      <c r="Z6" s="127"/>
      <c r="AA6" s="128"/>
      <c r="AB6" s="118"/>
      <c r="AC6" s="53"/>
      <c r="AD6" s="53"/>
      <c r="AE6" s="129"/>
      <c r="AF6" s="74"/>
      <c r="AG6" s="31"/>
      <c r="AH6" s="145"/>
    </row>
    <row r="7" ht="15" customHeight="1" spans="1:34">
      <c r="A7" s="14"/>
      <c r="B7" s="99">
        <f>[2]李晓红!X$34</f>
        <v>0</v>
      </c>
      <c r="C7" s="100"/>
      <c r="D7" s="99">
        <f>[2]李晓红!Y$34</f>
        <v>0</v>
      </c>
      <c r="E7" s="100"/>
      <c r="F7" s="99">
        <f>[2]李晓红!Z$34</f>
        <v>0</v>
      </c>
      <c r="G7" s="100"/>
      <c r="H7" s="101">
        <f>[2]李晓红!AA$34</f>
        <v>0</v>
      </c>
      <c r="I7" s="101">
        <f>[2]李晓红!AB$34</f>
        <v>0</v>
      </c>
      <c r="J7" s="101">
        <f>[2]李晓红!AC$34</f>
        <v>0</v>
      </c>
      <c r="K7" s="101">
        <f>[2]李晓红!AD$34</f>
        <v>0</v>
      </c>
      <c r="L7" s="101">
        <f>[2]李晓红!AE$34</f>
        <v>0</v>
      </c>
      <c r="M7" s="101">
        <f>[2]李晓红!AF$34</f>
        <v>0</v>
      </c>
      <c r="N7" s="13"/>
      <c r="O7" s="13"/>
      <c r="P7" s="13"/>
      <c r="Q7" s="13"/>
      <c r="R7" s="13"/>
      <c r="S7" s="13"/>
      <c r="U7" s="26"/>
      <c r="V7" s="118"/>
      <c r="W7" s="118"/>
      <c r="X7" s="118"/>
      <c r="Y7" s="126"/>
      <c r="Z7" s="127"/>
      <c r="AA7" s="128"/>
      <c r="AB7" s="118"/>
      <c r="AC7" s="53"/>
      <c r="AD7" s="53"/>
      <c r="AE7" s="129"/>
      <c r="AF7" s="74"/>
      <c r="AG7" s="31"/>
      <c r="AH7" s="145"/>
    </row>
    <row r="8" ht="15" customHeight="1" spans="1:34">
      <c r="A8" s="14"/>
      <c r="B8" s="102">
        <f>B7*159</f>
        <v>0</v>
      </c>
      <c r="C8" s="103"/>
      <c r="D8" s="102">
        <f>D7*210</f>
        <v>0</v>
      </c>
      <c r="E8" s="103"/>
      <c r="F8" s="102">
        <f>F7*71</f>
        <v>0</v>
      </c>
      <c r="G8" s="103"/>
      <c r="H8" s="15">
        <f>H7*311.5</f>
        <v>0</v>
      </c>
      <c r="I8" s="15">
        <f t="shared" ref="I8:I13" si="0">I7*50</f>
        <v>0</v>
      </c>
      <c r="J8" s="15">
        <f>J772</f>
        <v>0</v>
      </c>
      <c r="K8" s="15">
        <f>K7*86</f>
        <v>0</v>
      </c>
      <c r="L8" s="15">
        <f>L7*129</f>
        <v>0</v>
      </c>
      <c r="M8" s="15">
        <f>M7531</f>
        <v>0</v>
      </c>
      <c r="N8" s="15"/>
      <c r="O8" s="15"/>
      <c r="P8" s="15"/>
      <c r="Q8" s="15"/>
      <c r="R8" s="15"/>
      <c r="S8" s="15"/>
      <c r="T8" s="15"/>
      <c r="U8" s="20"/>
      <c r="V8" s="118"/>
      <c r="W8" s="118"/>
      <c r="X8" s="118"/>
      <c r="Y8" s="126"/>
      <c r="Z8" s="127"/>
      <c r="AA8" s="128"/>
      <c r="AB8" s="118"/>
      <c r="AC8" s="53"/>
      <c r="AD8" s="53"/>
      <c r="AE8" s="129"/>
      <c r="AF8" s="74"/>
      <c r="AG8" s="31"/>
      <c r="AH8" s="145"/>
    </row>
    <row r="9" ht="15" customHeight="1" spans="1:34">
      <c r="A9" s="16"/>
      <c r="B9" s="104" t="s">
        <v>34</v>
      </c>
      <c r="C9" s="105"/>
      <c r="D9" s="105"/>
      <c r="E9" s="105"/>
      <c r="F9" s="105"/>
      <c r="G9" s="105"/>
      <c r="H9" s="106"/>
      <c r="I9" s="105"/>
      <c r="J9" s="105"/>
      <c r="K9" s="39"/>
      <c r="L9" s="39"/>
      <c r="M9" s="40"/>
      <c r="N9" s="116">
        <f>N5*53</f>
        <v>0</v>
      </c>
      <c r="O9" s="116">
        <f>O5*48</f>
        <v>0</v>
      </c>
      <c r="P9" s="106">
        <f>P5*15</f>
        <v>0</v>
      </c>
      <c r="Q9" s="106">
        <f>Q5*65</f>
        <v>0</v>
      </c>
      <c r="R9" s="106"/>
      <c r="S9" s="106"/>
      <c r="T9" s="41">
        <f>T5*60</f>
        <v>420</v>
      </c>
      <c r="U9" s="106"/>
      <c r="V9" s="11"/>
      <c r="W9" s="11"/>
      <c r="X9" s="11"/>
      <c r="Y9" s="130"/>
      <c r="Z9" s="131"/>
      <c r="AA9" s="64"/>
      <c r="AB9" s="11"/>
      <c r="AC9" s="132"/>
      <c r="AD9" s="132"/>
      <c r="AE9" s="133"/>
      <c r="AF9" s="79"/>
      <c r="AG9" s="31"/>
      <c r="AH9" s="146"/>
    </row>
    <row r="10" ht="15" customHeight="1" spans="1:34">
      <c r="A10" s="12" t="s">
        <v>35</v>
      </c>
      <c r="B10" s="13">
        <f>[2]陈华平!B$34</f>
        <v>32</v>
      </c>
      <c r="C10" s="13">
        <f>[2]陈华平!C$34</f>
        <v>0</v>
      </c>
      <c r="D10" s="13">
        <f>[2]陈华平!D$34</f>
        <v>3</v>
      </c>
      <c r="E10" s="13">
        <f>[2]陈华平!E$34</f>
        <v>0</v>
      </c>
      <c r="F10" s="13">
        <f>[2]陈华平!F$34</f>
        <v>0</v>
      </c>
      <c r="G10" s="13">
        <f>[2]陈华平!G$34</f>
        <v>0</v>
      </c>
      <c r="H10" s="13">
        <f>[2]陈华平!H$34</f>
        <v>0</v>
      </c>
      <c r="I10" s="13">
        <f>[2]陈华平!I$34</f>
        <v>18</v>
      </c>
      <c r="J10" s="13">
        <f>[2]陈华平!J$34</f>
        <v>2</v>
      </c>
      <c r="K10" s="13">
        <f>[2]陈华平!K$34</f>
        <v>6</v>
      </c>
      <c r="L10" s="13">
        <f>[2]陈华平!L$34</f>
        <v>0</v>
      </c>
      <c r="M10" s="13">
        <f>[2]陈华平!M$34</f>
        <v>0</v>
      </c>
      <c r="N10" s="13">
        <f>[2]陈华平!N$34</f>
        <v>0</v>
      </c>
      <c r="O10" s="13">
        <f>[2]陈华平!O$34</f>
        <v>1</v>
      </c>
      <c r="P10" s="13">
        <f>[2]陈华平!P$34</f>
        <v>19</v>
      </c>
      <c r="Q10" s="13">
        <f>[2]陈华平!Q$34</f>
        <v>0</v>
      </c>
      <c r="R10" s="13">
        <f>[2]陈华平!R$34</f>
        <v>5</v>
      </c>
      <c r="S10" s="13">
        <f>[2]陈华平!S$34</f>
        <v>0</v>
      </c>
      <c r="T10" s="13">
        <f>[2]陈华平!T$34</f>
        <v>15</v>
      </c>
      <c r="U10" s="13">
        <f>[2]陈华平!U$34</f>
        <v>0</v>
      </c>
      <c r="V10" s="8">
        <f>SUM(B11:T11,B13:M13)</f>
        <v>11067</v>
      </c>
      <c r="W10" s="8">
        <f>SUM(B11:M11,B13:M13)+R11+S11</f>
        <v>8362</v>
      </c>
      <c r="X10" s="8">
        <f>W10-168</f>
        <v>8194</v>
      </c>
      <c r="Y10" s="122">
        <f>IF(V10&lt;15000,X10*0.3,IF(V10&lt;20000,X10*0.35,IF(V10&lt;25000,X10*0.37,IF(V10&lt;30000,X10*0.39,X10*0.41))))</f>
        <v>2458.2</v>
      </c>
      <c r="Z10" s="63">
        <f>[2]陈华平!$V$36</f>
        <v>140</v>
      </c>
      <c r="AA10" s="63">
        <f>N14+O14+P14+Y10+Z10+Q14+T14</f>
        <v>3831.2</v>
      </c>
      <c r="AB10" s="8">
        <v>320.22</v>
      </c>
      <c r="AC10" s="124">
        <v>150</v>
      </c>
      <c r="AD10" s="134">
        <v>0</v>
      </c>
      <c r="AE10" s="125">
        <f>AA10-AB10-AC10-AD10</f>
        <v>3360.98</v>
      </c>
      <c r="AF10" s="69"/>
      <c r="AG10" s="31"/>
      <c r="AH10" s="144" t="e">
        <f>#REF!-AE10</f>
        <v>#REF!</v>
      </c>
    </row>
    <row r="11" ht="15" customHeight="1" spans="1:34">
      <c r="A11" s="14"/>
      <c r="B11" s="15">
        <f>B10*168</f>
        <v>5376</v>
      </c>
      <c r="C11" s="15">
        <f>C10*128</f>
        <v>0</v>
      </c>
      <c r="D11" s="15">
        <f>D10*228</f>
        <v>684</v>
      </c>
      <c r="E11" s="15">
        <f>E10*178</f>
        <v>0</v>
      </c>
      <c r="F11" s="15">
        <f>F10*78</f>
        <v>0</v>
      </c>
      <c r="G11" s="15">
        <f>G10*68</f>
        <v>0</v>
      </c>
      <c r="H11" s="20">
        <f>H10*338</f>
        <v>0</v>
      </c>
      <c r="I11" s="15">
        <f t="shared" si="0"/>
        <v>900</v>
      </c>
      <c r="J11" s="15">
        <f>J10*48</f>
        <v>96</v>
      </c>
      <c r="K11" s="42">
        <f>K10*95</f>
        <v>570</v>
      </c>
      <c r="L11" s="42">
        <f>L10*140</f>
        <v>0</v>
      </c>
      <c r="M11" s="38">
        <f>M10*572</f>
        <v>0</v>
      </c>
      <c r="N11" s="15">
        <f>N10*160</f>
        <v>0</v>
      </c>
      <c r="O11" s="15">
        <f>O10*120</f>
        <v>120</v>
      </c>
      <c r="P11" s="20">
        <f>P10*50</f>
        <v>950</v>
      </c>
      <c r="Q11" s="20">
        <f>Q10*160</f>
        <v>0</v>
      </c>
      <c r="R11" s="20">
        <f>R10*130</f>
        <v>650</v>
      </c>
      <c r="S11" s="20">
        <f>S10*205</f>
        <v>0</v>
      </c>
      <c r="T11" s="38">
        <f>T10*109</f>
        <v>1635</v>
      </c>
      <c r="U11" s="38">
        <f>U10*150</f>
        <v>0</v>
      </c>
      <c r="V11" s="118"/>
      <c r="W11" s="118"/>
      <c r="X11" s="118"/>
      <c r="Y11" s="126"/>
      <c r="Z11" s="128"/>
      <c r="AA11" s="128"/>
      <c r="AB11" s="118"/>
      <c r="AC11" s="53"/>
      <c r="AD11" s="135"/>
      <c r="AE11" s="129"/>
      <c r="AF11" s="74"/>
      <c r="AG11" s="31"/>
      <c r="AH11" s="145"/>
    </row>
    <row r="12" ht="15" customHeight="1" spans="1:34">
      <c r="A12" s="14"/>
      <c r="B12" s="99">
        <f>[2]陈华平!X$34</f>
        <v>0</v>
      </c>
      <c r="C12" s="100"/>
      <c r="D12" s="99">
        <f>[2]陈华平!Y$34</f>
        <v>0</v>
      </c>
      <c r="E12" s="100"/>
      <c r="F12" s="99">
        <f>[2]陈华平!$Z$34</f>
        <v>0</v>
      </c>
      <c r="G12" s="100"/>
      <c r="H12" s="26">
        <f>[2]陈华平!AA$34</f>
        <v>0</v>
      </c>
      <c r="I12" s="26">
        <f>[2]陈华平!AB$34</f>
        <v>0</v>
      </c>
      <c r="J12" s="26">
        <f>[2]陈华平!AC$34</f>
        <v>0</v>
      </c>
      <c r="K12" s="26">
        <f>[2]陈华平!AD$34</f>
        <v>1</v>
      </c>
      <c r="L12" s="26">
        <f>[2]陈华平!AE$34</f>
        <v>0</v>
      </c>
      <c r="M12" s="26">
        <f>[2]陈华平!AF$34</f>
        <v>0</v>
      </c>
      <c r="N12" s="13"/>
      <c r="O12" s="13"/>
      <c r="P12" s="26"/>
      <c r="Q12" s="26"/>
      <c r="R12" s="26"/>
      <c r="S12" s="26"/>
      <c r="T12" s="26"/>
      <c r="U12" s="26"/>
      <c r="V12" s="118"/>
      <c r="W12" s="118"/>
      <c r="X12" s="118"/>
      <c r="Y12" s="126"/>
      <c r="Z12" s="128"/>
      <c r="AA12" s="128"/>
      <c r="AB12" s="118"/>
      <c r="AC12" s="53"/>
      <c r="AD12" s="135"/>
      <c r="AE12" s="129"/>
      <c r="AF12" s="74"/>
      <c r="AG12" s="31"/>
      <c r="AH12" s="145"/>
    </row>
    <row r="13" ht="15" customHeight="1" spans="1:34">
      <c r="A13" s="14"/>
      <c r="B13" s="102">
        <f>B12*159</f>
        <v>0</v>
      </c>
      <c r="C13" s="103"/>
      <c r="D13" s="102">
        <f>D12*210</f>
        <v>0</v>
      </c>
      <c r="E13" s="103"/>
      <c r="F13" s="102">
        <f>F12*71</f>
        <v>0</v>
      </c>
      <c r="G13" s="103"/>
      <c r="H13" s="15">
        <f>H12*311.5</f>
        <v>0</v>
      </c>
      <c r="I13" s="15">
        <f t="shared" si="0"/>
        <v>0</v>
      </c>
      <c r="J13" s="15">
        <f>J777</f>
        <v>0</v>
      </c>
      <c r="K13" s="15">
        <f>K12*86</f>
        <v>86</v>
      </c>
      <c r="L13" s="15">
        <f>L12*129</f>
        <v>0</v>
      </c>
      <c r="M13" s="15">
        <f>M7536</f>
        <v>0</v>
      </c>
      <c r="N13" s="15"/>
      <c r="O13" s="15"/>
      <c r="P13" s="20"/>
      <c r="Q13" s="20"/>
      <c r="R13" s="20"/>
      <c r="S13" s="20"/>
      <c r="T13" s="20"/>
      <c r="U13" s="20"/>
      <c r="V13" s="118"/>
      <c r="W13" s="118"/>
      <c r="X13" s="118"/>
      <c r="Y13" s="126"/>
      <c r="Z13" s="128"/>
      <c r="AA13" s="128"/>
      <c r="AB13" s="118"/>
      <c r="AC13" s="53"/>
      <c r="AD13" s="135"/>
      <c r="AE13" s="129"/>
      <c r="AF13" s="74"/>
      <c r="AG13" s="31"/>
      <c r="AH13" s="145"/>
    </row>
    <row r="14" ht="15" customHeight="1" spans="1:34">
      <c r="A14" s="16"/>
      <c r="B14" s="104" t="s">
        <v>34</v>
      </c>
      <c r="C14" s="105"/>
      <c r="D14" s="105"/>
      <c r="E14" s="105"/>
      <c r="F14" s="105"/>
      <c r="G14" s="105"/>
      <c r="H14" s="106"/>
      <c r="I14" s="105"/>
      <c r="J14" s="117"/>
      <c r="K14" s="44"/>
      <c r="L14" s="39"/>
      <c r="M14" s="40"/>
      <c r="N14" s="116">
        <f>N10*53</f>
        <v>0</v>
      </c>
      <c r="O14" s="116">
        <f>O10*48</f>
        <v>48</v>
      </c>
      <c r="P14" s="106">
        <f>P10*15</f>
        <v>285</v>
      </c>
      <c r="Q14" s="106">
        <f>Q10*65</f>
        <v>0</v>
      </c>
      <c r="R14" s="106"/>
      <c r="S14" s="106"/>
      <c r="T14" s="19">
        <f>T10*60</f>
        <v>900</v>
      </c>
      <c r="U14" s="106"/>
      <c r="V14" s="11"/>
      <c r="W14" s="11"/>
      <c r="X14" s="11"/>
      <c r="Y14" s="130"/>
      <c r="Z14" s="64"/>
      <c r="AA14" s="64"/>
      <c r="AB14" s="11"/>
      <c r="AC14" s="132"/>
      <c r="AD14" s="136"/>
      <c r="AE14" s="133"/>
      <c r="AF14" s="79"/>
      <c r="AG14" s="31"/>
      <c r="AH14" s="146"/>
    </row>
    <row r="15" ht="15" customHeight="1" spans="1:34">
      <c r="A15" s="12" t="s">
        <v>36</v>
      </c>
      <c r="B15" s="13">
        <f>[2]肖新姣!B$34</f>
        <v>44</v>
      </c>
      <c r="C15" s="13">
        <f>[2]肖新姣!C$34</f>
        <v>0</v>
      </c>
      <c r="D15" s="13">
        <f>[2]肖新姣!D$34</f>
        <v>33.5</v>
      </c>
      <c r="E15" s="13">
        <f>[2]肖新姣!E$34</f>
        <v>0</v>
      </c>
      <c r="F15" s="13">
        <f>[2]肖新姣!F$34</f>
        <v>0</v>
      </c>
      <c r="G15" s="13">
        <f>[2]肖新姣!G$34</f>
        <v>0</v>
      </c>
      <c r="H15" s="13">
        <f>[2]肖新姣!H$34</f>
        <v>0</v>
      </c>
      <c r="I15" s="13">
        <f>[2]肖新姣!I$34</f>
        <v>76</v>
      </c>
      <c r="J15" s="13">
        <f>[2]肖新姣!J$34</f>
        <v>4</v>
      </c>
      <c r="K15" s="13">
        <f>[2]肖新姣!K$34</f>
        <v>5</v>
      </c>
      <c r="L15" s="13">
        <f>[2]肖新姣!L$34</f>
        <v>0</v>
      </c>
      <c r="M15" s="13">
        <f>[2]肖新姣!M$34</f>
        <v>1</v>
      </c>
      <c r="N15" s="13">
        <f>[2]肖新姣!N$34</f>
        <v>0</v>
      </c>
      <c r="O15" s="13">
        <f>[2]肖新姣!O$34</f>
        <v>0</v>
      </c>
      <c r="P15" s="13">
        <f>[2]肖新姣!P$34</f>
        <v>14</v>
      </c>
      <c r="Q15" s="13">
        <f>[2]肖新姣!Q$34</f>
        <v>0</v>
      </c>
      <c r="R15" s="13">
        <f>[2]肖新姣!R$34</f>
        <v>2</v>
      </c>
      <c r="S15" s="13">
        <f>[2]肖新姣!S$34</f>
        <v>1</v>
      </c>
      <c r="T15" s="13">
        <f>[2]肖新姣!T$34</f>
        <v>19</v>
      </c>
      <c r="U15" s="13">
        <f>[2]肖新姣!U$34</f>
        <v>0</v>
      </c>
      <c r="V15" s="8">
        <f>SUM(B16:T16,B18:M18)</f>
        <v>23305</v>
      </c>
      <c r="W15" s="8">
        <f>SUM(B16:M16,B18:M18)+R16+S16</f>
        <v>20534</v>
      </c>
      <c r="X15" s="8">
        <f>W15-168</f>
        <v>20366</v>
      </c>
      <c r="Y15" s="122">
        <f>IF(V15&lt;15000,X15*0.3,IF(V15&lt;20000,X15*0.35,IF(V15&lt;25000,X15*0.37,IF(V15&lt;30000,X15*0.39,X15*0.41))))</f>
        <v>7535.42</v>
      </c>
      <c r="Z15" s="63">
        <f>[2]肖新姣!$V$36</f>
        <v>100</v>
      </c>
      <c r="AA15" s="63">
        <f>N19+O19+P19+Y15+Z15+Q19+T19</f>
        <v>8985.42</v>
      </c>
      <c r="AB15" s="8">
        <v>320.22</v>
      </c>
      <c r="AC15" s="124">
        <v>150</v>
      </c>
      <c r="AD15" s="137">
        <v>75.4</v>
      </c>
      <c r="AE15" s="125">
        <f>AA15-AB15-AC15-AD15</f>
        <v>8439.8</v>
      </c>
      <c r="AF15" s="69"/>
      <c r="AG15" s="31"/>
      <c r="AH15" s="144" t="e">
        <f>#REF!-AE15</f>
        <v>#REF!</v>
      </c>
    </row>
    <row r="16" ht="15" customHeight="1" spans="1:34">
      <c r="A16" s="14"/>
      <c r="B16" s="15">
        <f>B15*168</f>
        <v>7392</v>
      </c>
      <c r="C16" s="15">
        <f>C15*128</f>
        <v>0</v>
      </c>
      <c r="D16" s="15">
        <f>D15*228</f>
        <v>7638</v>
      </c>
      <c r="E16" s="15">
        <f>E15*168</f>
        <v>0</v>
      </c>
      <c r="F16" s="15">
        <f>F15*78</f>
        <v>0</v>
      </c>
      <c r="G16" s="15">
        <f>G15*68</f>
        <v>0</v>
      </c>
      <c r="H16" s="20">
        <f>H15*338</f>
        <v>0</v>
      </c>
      <c r="I16" s="15">
        <f>I15*50</f>
        <v>3800</v>
      </c>
      <c r="J16" s="15">
        <f>J15*48</f>
        <v>192</v>
      </c>
      <c r="K16" s="42">
        <f>K15*95</f>
        <v>475</v>
      </c>
      <c r="L16" s="42">
        <f>L15*140</f>
        <v>0</v>
      </c>
      <c r="M16" s="38">
        <f>M15*572</f>
        <v>572</v>
      </c>
      <c r="N16" s="15">
        <f>N15*160</f>
        <v>0</v>
      </c>
      <c r="O16" s="15">
        <f>O15*120</f>
        <v>0</v>
      </c>
      <c r="P16" s="20">
        <f>P15*50</f>
        <v>700</v>
      </c>
      <c r="Q16" s="20">
        <f>Q15*140</f>
        <v>0</v>
      </c>
      <c r="R16" s="20">
        <f>R15*130</f>
        <v>260</v>
      </c>
      <c r="S16" s="20">
        <f>S15*205</f>
        <v>205</v>
      </c>
      <c r="T16" s="38">
        <f>T15*109</f>
        <v>2071</v>
      </c>
      <c r="U16" s="38">
        <f>U15*150</f>
        <v>0</v>
      </c>
      <c r="V16" s="118"/>
      <c r="W16" s="118"/>
      <c r="X16" s="118"/>
      <c r="Y16" s="126"/>
      <c r="Z16" s="128"/>
      <c r="AA16" s="128"/>
      <c r="AB16" s="118"/>
      <c r="AC16" s="53"/>
      <c r="AD16" s="138"/>
      <c r="AE16" s="129"/>
      <c r="AF16" s="74"/>
      <c r="AG16" s="31"/>
      <c r="AH16" s="145"/>
    </row>
    <row r="17" ht="15" customHeight="1" spans="1:34">
      <c r="A17" s="14"/>
      <c r="B17" s="13">
        <f>[2]肖新姣!X$34</f>
        <v>0</v>
      </c>
      <c r="C17" s="13"/>
      <c r="D17" s="13">
        <f>[2]肖新姣!$Y$34</f>
        <v>0</v>
      </c>
      <c r="E17" s="13"/>
      <c r="F17" s="13">
        <f>[2]肖新姣!$Z$34</f>
        <v>0</v>
      </c>
      <c r="G17" s="13"/>
      <c r="H17" s="26">
        <f>[2]肖新姣!AA$34</f>
        <v>0</v>
      </c>
      <c r="I17" s="26">
        <f>[2]肖新姣!AB$34</f>
        <v>0</v>
      </c>
      <c r="J17" s="26">
        <f>[2]肖新姣!AC$34</f>
        <v>0</v>
      </c>
      <c r="K17" s="26">
        <f>[2]肖新姣!AD$34</f>
        <v>0</v>
      </c>
      <c r="L17" s="26">
        <f>[2]肖新姣!AE$34</f>
        <v>0</v>
      </c>
      <c r="M17" s="26">
        <f>[2]肖新姣!AF$34</f>
        <v>0</v>
      </c>
      <c r="N17" s="13"/>
      <c r="O17" s="13"/>
      <c r="P17" s="26"/>
      <c r="Q17" s="26"/>
      <c r="R17" s="26"/>
      <c r="S17" s="26"/>
      <c r="T17" s="119"/>
      <c r="U17" s="119"/>
      <c r="V17" s="118"/>
      <c r="W17" s="118"/>
      <c r="X17" s="118"/>
      <c r="Y17" s="126"/>
      <c r="Z17" s="128"/>
      <c r="AA17" s="128"/>
      <c r="AB17" s="118"/>
      <c r="AC17" s="53"/>
      <c r="AD17" s="138"/>
      <c r="AE17" s="129"/>
      <c r="AF17" s="74"/>
      <c r="AG17" s="31"/>
      <c r="AH17" s="145"/>
    </row>
    <row r="18" ht="15" customHeight="1" spans="1:34">
      <c r="A18" s="14"/>
      <c r="B18" s="102">
        <f>B17*159</f>
        <v>0</v>
      </c>
      <c r="C18" s="103"/>
      <c r="D18" s="102">
        <f>D17*210</f>
        <v>0</v>
      </c>
      <c r="E18" s="103"/>
      <c r="F18" s="102">
        <f>F17*71</f>
        <v>0</v>
      </c>
      <c r="G18" s="103"/>
      <c r="H18" s="15">
        <f>H17*311.5</f>
        <v>0</v>
      </c>
      <c r="I18" s="15">
        <f t="shared" ref="I18:I23" si="1">I17*50</f>
        <v>0</v>
      </c>
      <c r="J18" s="15">
        <f>J782</f>
        <v>0</v>
      </c>
      <c r="K18" s="15">
        <f>K17*86</f>
        <v>0</v>
      </c>
      <c r="L18" s="15">
        <f>L17*129</f>
        <v>0</v>
      </c>
      <c r="M18" s="15">
        <f>M7541</f>
        <v>0</v>
      </c>
      <c r="N18" s="15"/>
      <c r="O18" s="15"/>
      <c r="P18" s="20"/>
      <c r="Q18" s="20"/>
      <c r="R18" s="20"/>
      <c r="S18" s="20"/>
      <c r="T18" s="38"/>
      <c r="U18" s="38"/>
      <c r="V18" s="118"/>
      <c r="W18" s="118"/>
      <c r="X18" s="118"/>
      <c r="Y18" s="126"/>
      <c r="Z18" s="128"/>
      <c r="AA18" s="128"/>
      <c r="AB18" s="118"/>
      <c r="AC18" s="53"/>
      <c r="AD18" s="138"/>
      <c r="AE18" s="129"/>
      <c r="AF18" s="74"/>
      <c r="AG18" s="31"/>
      <c r="AH18" s="145"/>
    </row>
    <row r="19" ht="15" customHeight="1" spans="1:34">
      <c r="A19" s="16"/>
      <c r="B19" s="17" t="s">
        <v>34</v>
      </c>
      <c r="C19" s="18"/>
      <c r="D19" s="18"/>
      <c r="E19" s="18"/>
      <c r="F19" s="18"/>
      <c r="G19" s="18"/>
      <c r="H19" s="106"/>
      <c r="I19" s="105"/>
      <c r="J19" s="117"/>
      <c r="K19" s="44"/>
      <c r="L19" s="39"/>
      <c r="M19" s="40"/>
      <c r="N19" s="41">
        <f>N15*53</f>
        <v>0</v>
      </c>
      <c r="O19" s="41">
        <f>O15*48</f>
        <v>0</v>
      </c>
      <c r="P19" s="19">
        <f>P15*15</f>
        <v>210</v>
      </c>
      <c r="Q19" s="19">
        <f>Q15*65</f>
        <v>0</v>
      </c>
      <c r="R19" s="19"/>
      <c r="S19" s="19"/>
      <c r="T19" s="19">
        <f>T15*60</f>
        <v>1140</v>
      </c>
      <c r="U19" s="19"/>
      <c r="V19" s="11"/>
      <c r="W19" s="11"/>
      <c r="X19" s="11"/>
      <c r="Y19" s="130"/>
      <c r="Z19" s="64"/>
      <c r="AA19" s="64"/>
      <c r="AB19" s="11"/>
      <c r="AC19" s="132"/>
      <c r="AD19" s="139"/>
      <c r="AE19" s="133"/>
      <c r="AF19" s="79"/>
      <c r="AG19" s="31"/>
      <c r="AH19" s="146"/>
    </row>
    <row r="20" ht="15" customHeight="1" spans="1:34">
      <c r="A20" s="12" t="s">
        <v>37</v>
      </c>
      <c r="B20" s="13">
        <f>[2]王立伟!B$34</f>
        <v>50.5</v>
      </c>
      <c r="C20" s="13">
        <f>[2]王立伟!C$34</f>
        <v>0</v>
      </c>
      <c r="D20" s="13">
        <f>[2]王立伟!D$34</f>
        <v>7</v>
      </c>
      <c r="E20" s="13">
        <f>[2]王立伟!E$34</f>
        <v>0</v>
      </c>
      <c r="F20" s="13">
        <f>[2]王立伟!F$34</f>
        <v>0</v>
      </c>
      <c r="G20" s="13">
        <f>[2]王立伟!G$34</f>
        <v>0</v>
      </c>
      <c r="H20" s="13">
        <f>[2]王立伟!H$34</f>
        <v>1</v>
      </c>
      <c r="I20" s="13">
        <f>[2]王立伟!I$34</f>
        <v>38</v>
      </c>
      <c r="J20" s="13">
        <f>[2]王立伟!J$34</f>
        <v>3</v>
      </c>
      <c r="K20" s="13">
        <f>[2]王立伟!K$34</f>
        <v>10</v>
      </c>
      <c r="L20" s="13">
        <f>[2]王立伟!L$34</f>
        <v>0</v>
      </c>
      <c r="M20" s="13">
        <f>[2]王立伟!M$34</f>
        <v>0</v>
      </c>
      <c r="N20" s="13">
        <f>[2]王立伟!N$34</f>
        <v>1</v>
      </c>
      <c r="O20" s="13">
        <f>[2]王立伟!O$34</f>
        <v>3</v>
      </c>
      <c r="P20" s="13">
        <f>[2]王立伟!P$34</f>
        <v>7</v>
      </c>
      <c r="Q20" s="13">
        <f>[2]王立伟!Q$34</f>
        <v>0</v>
      </c>
      <c r="R20" s="13">
        <f>[2]王立伟!R$34</f>
        <v>1</v>
      </c>
      <c r="S20" s="13">
        <f>[2]王立伟!S$34</f>
        <v>0</v>
      </c>
      <c r="T20" s="13">
        <f>[2]王立伟!T$34</f>
        <v>29</v>
      </c>
      <c r="U20" s="13">
        <f>[2]王立伟!U$34</f>
        <v>0</v>
      </c>
      <c r="V20" s="8">
        <f>SUM(B21:T21,B23:M23)</f>
        <v>17902.5</v>
      </c>
      <c r="W20" s="8">
        <f>SUM(B21:M21,B23:M23)+R21+S21</f>
        <v>13871.5</v>
      </c>
      <c r="X20" s="8">
        <f>W20-168</f>
        <v>13703.5</v>
      </c>
      <c r="Y20" s="122">
        <f>IF(V20&lt;15000,X20*0.3,IF(V20&lt;20000,X20*0.35,IF(V20&lt;25000,X20*0.37,IF(V20&lt;30000,X20*0.39,X20*0.41))))</f>
        <v>4796.225</v>
      </c>
      <c r="Z20" s="63">
        <f>[2]王立伟!$V$36</f>
        <v>0</v>
      </c>
      <c r="AA20" s="63">
        <f>N24+O24+P24+Y20+Z20+Q24+T24</f>
        <v>6838.225</v>
      </c>
      <c r="AB20" s="8">
        <v>320.22</v>
      </c>
      <c r="AC20" s="124">
        <v>150</v>
      </c>
      <c r="AD20" s="137">
        <v>0</v>
      </c>
      <c r="AE20" s="125">
        <f>AA20-AB20-AC20-AD20</f>
        <v>6368.005</v>
      </c>
      <c r="AF20" s="69"/>
      <c r="AG20" s="31"/>
      <c r="AH20" s="144" t="e">
        <f>#REF!-AE20</f>
        <v>#REF!</v>
      </c>
    </row>
    <row r="21" ht="15" customHeight="1" spans="1:34">
      <c r="A21" s="14"/>
      <c r="B21" s="15">
        <f>B20*168</f>
        <v>8484</v>
      </c>
      <c r="C21" s="15">
        <f>C20*128</f>
        <v>0</v>
      </c>
      <c r="D21" s="15">
        <f>D20*228</f>
        <v>1596</v>
      </c>
      <c r="E21" s="15">
        <f>E20*168</f>
        <v>0</v>
      </c>
      <c r="F21" s="15">
        <f>F20*78</f>
        <v>0</v>
      </c>
      <c r="G21" s="15">
        <f>G20*68</f>
        <v>0</v>
      </c>
      <c r="H21" s="20">
        <f>H20*338</f>
        <v>338</v>
      </c>
      <c r="I21" s="15">
        <f t="shared" si="1"/>
        <v>1900</v>
      </c>
      <c r="J21" s="15">
        <f>J20*48</f>
        <v>144</v>
      </c>
      <c r="K21" s="42">
        <f>K20*95</f>
        <v>950</v>
      </c>
      <c r="L21" s="42">
        <f>L20*140</f>
        <v>0</v>
      </c>
      <c r="M21" s="38">
        <f>M20*572</f>
        <v>0</v>
      </c>
      <c r="N21" s="15">
        <f>N20*160</f>
        <v>160</v>
      </c>
      <c r="O21" s="15">
        <f>O20*120</f>
        <v>360</v>
      </c>
      <c r="P21" s="20">
        <f>P20*50</f>
        <v>350</v>
      </c>
      <c r="Q21" s="20">
        <f>Q20*140</f>
        <v>0</v>
      </c>
      <c r="R21" s="20">
        <f>R20*130</f>
        <v>130</v>
      </c>
      <c r="S21" s="20">
        <f>S20*205</f>
        <v>0</v>
      </c>
      <c r="T21" s="15">
        <f>T20*109</f>
        <v>3161</v>
      </c>
      <c r="U21" s="38">
        <f>U20*150</f>
        <v>0</v>
      </c>
      <c r="V21" s="118"/>
      <c r="W21" s="118"/>
      <c r="X21" s="118"/>
      <c r="Y21" s="126"/>
      <c r="Z21" s="128"/>
      <c r="AA21" s="128"/>
      <c r="AB21" s="118"/>
      <c r="AC21" s="53"/>
      <c r="AD21" s="138"/>
      <c r="AE21" s="129"/>
      <c r="AF21" s="74"/>
      <c r="AG21" s="31"/>
      <c r="AH21" s="145"/>
    </row>
    <row r="22" ht="15" customHeight="1" spans="1:34">
      <c r="A22" s="14"/>
      <c r="B22" s="13">
        <f>[2]王立伟!$X$34</f>
        <v>0.5</v>
      </c>
      <c r="C22" s="13"/>
      <c r="D22" s="13">
        <f>[2]王立伟!$Y$34</f>
        <v>0</v>
      </c>
      <c r="E22" s="13"/>
      <c r="F22" s="13">
        <f>[2]王立伟!$Z$34</f>
        <v>0</v>
      </c>
      <c r="G22" s="13"/>
      <c r="H22" s="26">
        <f>[2]王立伟!AA$34</f>
        <v>0</v>
      </c>
      <c r="I22" s="26">
        <f>[2]王立伟!AB$34</f>
        <v>5</v>
      </c>
      <c r="J22" s="26">
        <f>[2]王立伟!AC$34</f>
        <v>0</v>
      </c>
      <c r="K22" s="26">
        <f>[2]王立伟!AD$34</f>
        <v>0</v>
      </c>
      <c r="L22" s="26">
        <f>[2]王立伟!AE$34</f>
        <v>0</v>
      </c>
      <c r="M22" s="26">
        <f>[2]王立伟!AF$34</f>
        <v>0</v>
      </c>
      <c r="N22" s="13"/>
      <c r="O22" s="13"/>
      <c r="P22" s="26"/>
      <c r="Q22" s="26"/>
      <c r="R22" s="26"/>
      <c r="S22" s="26"/>
      <c r="T22" s="119"/>
      <c r="U22" s="119"/>
      <c r="V22" s="118"/>
      <c r="W22" s="118"/>
      <c r="X22" s="118"/>
      <c r="Y22" s="126"/>
      <c r="Z22" s="128"/>
      <c r="AA22" s="128"/>
      <c r="AB22" s="118"/>
      <c r="AC22" s="53"/>
      <c r="AD22" s="138"/>
      <c r="AE22" s="129"/>
      <c r="AF22" s="74"/>
      <c r="AG22" s="31"/>
      <c r="AH22" s="145"/>
    </row>
    <row r="23" ht="15" customHeight="1" spans="1:34">
      <c r="A23" s="14"/>
      <c r="B23" s="102">
        <f>B22*159</f>
        <v>79.5</v>
      </c>
      <c r="C23" s="103"/>
      <c r="D23" s="102">
        <f>D22*210</f>
        <v>0</v>
      </c>
      <c r="E23" s="103"/>
      <c r="F23" s="102">
        <f>F22*71</f>
        <v>0</v>
      </c>
      <c r="G23" s="103"/>
      <c r="H23" s="15">
        <f>H22*311.5</f>
        <v>0</v>
      </c>
      <c r="I23" s="15">
        <f t="shared" si="1"/>
        <v>250</v>
      </c>
      <c r="J23" s="15">
        <f>J787</f>
        <v>0</v>
      </c>
      <c r="K23" s="15">
        <f>K22*86</f>
        <v>0</v>
      </c>
      <c r="L23" s="15">
        <f>L22*129</f>
        <v>0</v>
      </c>
      <c r="M23" s="15">
        <f>M7546</f>
        <v>0</v>
      </c>
      <c r="N23" s="15"/>
      <c r="O23" s="15"/>
      <c r="P23" s="20"/>
      <c r="Q23" s="20"/>
      <c r="R23" s="20"/>
      <c r="S23" s="20"/>
      <c r="T23" s="38"/>
      <c r="U23" s="38"/>
      <c r="V23" s="118"/>
      <c r="W23" s="118"/>
      <c r="X23" s="118"/>
      <c r="Y23" s="126"/>
      <c r="Z23" s="128"/>
      <c r="AA23" s="128"/>
      <c r="AB23" s="118"/>
      <c r="AC23" s="53"/>
      <c r="AD23" s="138"/>
      <c r="AE23" s="129"/>
      <c r="AF23" s="74"/>
      <c r="AG23" s="31"/>
      <c r="AH23" s="145"/>
    </row>
    <row r="24" ht="15" customHeight="1" spans="1:34">
      <c r="A24" s="16"/>
      <c r="B24" s="17" t="s">
        <v>34</v>
      </c>
      <c r="C24" s="18"/>
      <c r="D24" s="18"/>
      <c r="E24" s="18"/>
      <c r="F24" s="18"/>
      <c r="G24" s="21"/>
      <c r="H24" s="19"/>
      <c r="I24" s="21"/>
      <c r="J24" s="21"/>
      <c r="K24" s="41"/>
      <c r="L24" s="41"/>
      <c r="M24" s="19"/>
      <c r="N24" s="41">
        <f>N20*53</f>
        <v>53</v>
      </c>
      <c r="O24" s="41">
        <f>O20*48</f>
        <v>144</v>
      </c>
      <c r="P24" s="19">
        <f>P20*15</f>
        <v>105</v>
      </c>
      <c r="Q24" s="19">
        <f>Q20*65</f>
        <v>0</v>
      </c>
      <c r="R24" s="19"/>
      <c r="S24" s="19"/>
      <c r="T24" s="19">
        <f>T20*60</f>
        <v>1740</v>
      </c>
      <c r="U24" s="19"/>
      <c r="V24" s="11"/>
      <c r="W24" s="11"/>
      <c r="X24" s="11"/>
      <c r="Y24" s="130"/>
      <c r="Z24" s="64"/>
      <c r="AA24" s="64"/>
      <c r="AB24" s="11"/>
      <c r="AC24" s="132"/>
      <c r="AD24" s="139"/>
      <c r="AE24" s="133"/>
      <c r="AF24" s="79"/>
      <c r="AG24" s="31"/>
      <c r="AH24" s="146"/>
    </row>
    <row r="25" ht="15" customHeight="1" spans="1:34">
      <c r="A25" s="12" t="s">
        <v>38</v>
      </c>
      <c r="B25" s="10">
        <f>[2]程和君!B$34</f>
        <v>33.5</v>
      </c>
      <c r="C25" s="10">
        <f>[2]程和君!C$34</f>
        <v>0</v>
      </c>
      <c r="D25" s="10">
        <f>[2]程和君!D$34</f>
        <v>13</v>
      </c>
      <c r="E25" s="10">
        <f>[2]程和君!E$34</f>
        <v>0</v>
      </c>
      <c r="F25" s="10">
        <f>[2]程和君!F$34</f>
        <v>0</v>
      </c>
      <c r="G25" s="10">
        <f>[2]程和君!G$34</f>
        <v>0</v>
      </c>
      <c r="H25" s="10">
        <f>[2]程和君!H$34</f>
        <v>0</v>
      </c>
      <c r="I25" s="10">
        <f>[2]程和君!I$34</f>
        <v>52</v>
      </c>
      <c r="J25" s="10">
        <f>[2]程和君!J$34</f>
        <v>1</v>
      </c>
      <c r="K25" s="10">
        <f>[2]程和君!K$34</f>
        <v>32</v>
      </c>
      <c r="L25" s="10">
        <f>[2]程和君!L$34</f>
        <v>0</v>
      </c>
      <c r="M25" s="10">
        <f>[2]程和君!M$34</f>
        <v>0</v>
      </c>
      <c r="N25" s="10">
        <f>[2]程和君!N$34</f>
        <v>0</v>
      </c>
      <c r="O25" s="10">
        <f>[2]程和君!O$34</f>
        <v>0</v>
      </c>
      <c r="P25" s="10">
        <f>[2]程和君!P$34</f>
        <v>8</v>
      </c>
      <c r="Q25" s="10">
        <f>[2]程和君!Q$34</f>
        <v>0</v>
      </c>
      <c r="R25" s="10">
        <f>[2]程和君!R$34</f>
        <v>2</v>
      </c>
      <c r="S25" s="10">
        <f>[2]程和君!S$34</f>
        <v>0</v>
      </c>
      <c r="T25" s="10">
        <f>[2]程和君!T$34</f>
        <v>23</v>
      </c>
      <c r="U25" s="10">
        <f>[2]程和君!U$34</f>
        <v>0</v>
      </c>
      <c r="V25" s="8">
        <f>SUM(B26:T26,B28:M28)</f>
        <v>17698.5</v>
      </c>
      <c r="W25" s="8">
        <f>SUM(B26:M26,B28:M28)+R26+S26</f>
        <v>14791.5</v>
      </c>
      <c r="X25" s="8">
        <f>W25-168</f>
        <v>14623.5</v>
      </c>
      <c r="Y25" s="122">
        <f>IF(V25&lt;15000,X25*0.3,IF(V25&lt;20000,X25*0.35,IF(V25&lt;25000,X25*0.37,IF(V25&lt;30000,X25*0.39,X25*0.41))))</f>
        <v>5118.225</v>
      </c>
      <c r="Z25" s="123">
        <f>[2]程和君!$V$36</f>
        <v>200</v>
      </c>
      <c r="AA25" s="63">
        <f>N29+O29+P29+Y25+Z25+Q29+T29</f>
        <v>6818.225</v>
      </c>
      <c r="AB25" s="8">
        <v>320.22</v>
      </c>
      <c r="AC25" s="124">
        <v>150</v>
      </c>
      <c r="AD25" s="137">
        <v>75.4</v>
      </c>
      <c r="AE25" s="125">
        <f>AA25-AB25-AC25-AD25</f>
        <v>6272.605</v>
      </c>
      <c r="AF25" s="69"/>
      <c r="AG25" s="31"/>
      <c r="AH25" s="144" t="e">
        <f>#REF!-AE25</f>
        <v>#REF!</v>
      </c>
    </row>
    <row r="26" ht="15" customHeight="1" spans="1:34">
      <c r="A26" s="14"/>
      <c r="B26" s="15">
        <f>B25*168</f>
        <v>5628</v>
      </c>
      <c r="C26" s="15">
        <f>C25*128</f>
        <v>0</v>
      </c>
      <c r="D26" s="15">
        <f>D25*228</f>
        <v>2964</v>
      </c>
      <c r="E26" s="15">
        <f>E25*168</f>
        <v>0</v>
      </c>
      <c r="F26" s="15">
        <f>F25*78</f>
        <v>0</v>
      </c>
      <c r="G26" s="15">
        <f>G25*68</f>
        <v>0</v>
      </c>
      <c r="H26" s="20">
        <f>H25*338</f>
        <v>0</v>
      </c>
      <c r="I26" s="15">
        <f>I25*50</f>
        <v>2600</v>
      </c>
      <c r="J26" s="15">
        <f>J25*48</f>
        <v>48</v>
      </c>
      <c r="K26" s="42">
        <f>K25*95</f>
        <v>3040</v>
      </c>
      <c r="L26" s="42">
        <f>L25*140</f>
        <v>0</v>
      </c>
      <c r="M26" s="38">
        <f>M25*572</f>
        <v>0</v>
      </c>
      <c r="N26" s="15">
        <f>N25*160</f>
        <v>0</v>
      </c>
      <c r="O26" s="15">
        <f>O25*120</f>
        <v>0</v>
      </c>
      <c r="P26" s="20">
        <f>P25*50</f>
        <v>400</v>
      </c>
      <c r="Q26" s="20">
        <f>Q25*140</f>
        <v>0</v>
      </c>
      <c r="R26" s="20">
        <f>R25*130</f>
        <v>260</v>
      </c>
      <c r="S26" s="20">
        <f>S25*205</f>
        <v>0</v>
      </c>
      <c r="T26" s="15">
        <f>T25*109</f>
        <v>2507</v>
      </c>
      <c r="U26" s="38">
        <f>U25*150</f>
        <v>0</v>
      </c>
      <c r="V26" s="118"/>
      <c r="W26" s="118"/>
      <c r="X26" s="118"/>
      <c r="Y26" s="126"/>
      <c r="Z26" s="127"/>
      <c r="AA26" s="128"/>
      <c r="AB26" s="118"/>
      <c r="AC26" s="53"/>
      <c r="AD26" s="138"/>
      <c r="AE26" s="129"/>
      <c r="AF26" s="74"/>
      <c r="AG26" s="31"/>
      <c r="AH26" s="145"/>
    </row>
    <row r="27" ht="15" customHeight="1" spans="1:34">
      <c r="A27" s="14"/>
      <c r="B27" s="99">
        <f>[2]程和君!$X$34</f>
        <v>0.5</v>
      </c>
      <c r="C27" s="100"/>
      <c r="D27" s="99">
        <f>[2]程和君!$Y$34</f>
        <v>0</v>
      </c>
      <c r="E27" s="100"/>
      <c r="F27" s="99">
        <f>[2]程和君!$Z$34</f>
        <v>0</v>
      </c>
      <c r="G27" s="100"/>
      <c r="H27" s="26">
        <f>[2]程和君!AA$34</f>
        <v>0</v>
      </c>
      <c r="I27" s="26">
        <f>[2]程和君!AB$34</f>
        <v>0</v>
      </c>
      <c r="J27" s="26">
        <f>[2]程和君!AC$34</f>
        <v>0</v>
      </c>
      <c r="K27" s="26">
        <f>[2]程和君!AD$34</f>
        <v>2</v>
      </c>
      <c r="L27" s="26">
        <f>[2]程和君!AE$34</f>
        <v>0</v>
      </c>
      <c r="M27" s="26">
        <f>[2]程和君!AF$34</f>
        <v>0</v>
      </c>
      <c r="N27" s="13"/>
      <c r="O27" s="13"/>
      <c r="P27" s="26"/>
      <c r="Q27" s="26"/>
      <c r="R27" s="26"/>
      <c r="S27" s="26"/>
      <c r="T27" s="119"/>
      <c r="U27" s="119"/>
      <c r="V27" s="118"/>
      <c r="W27" s="118"/>
      <c r="X27" s="118"/>
      <c r="Y27" s="126"/>
      <c r="Z27" s="127"/>
      <c r="AA27" s="128"/>
      <c r="AB27" s="118"/>
      <c r="AC27" s="53"/>
      <c r="AD27" s="138"/>
      <c r="AE27" s="129"/>
      <c r="AF27" s="74"/>
      <c r="AG27" s="31"/>
      <c r="AH27" s="145"/>
    </row>
    <row r="28" ht="15" customHeight="1" spans="1:34">
      <c r="A28" s="14"/>
      <c r="B28" s="102">
        <f>B27*159</f>
        <v>79.5</v>
      </c>
      <c r="C28" s="103"/>
      <c r="D28" s="102">
        <f>D27*210</f>
        <v>0</v>
      </c>
      <c r="E28" s="103"/>
      <c r="F28" s="102">
        <f>F27*71</f>
        <v>0</v>
      </c>
      <c r="G28" s="103"/>
      <c r="H28" s="15">
        <f>H27*311.5</f>
        <v>0</v>
      </c>
      <c r="I28" s="15">
        <f t="shared" ref="I28:I33" si="2">I27*50</f>
        <v>0</v>
      </c>
      <c r="J28" s="15">
        <f>J792</f>
        <v>0</v>
      </c>
      <c r="K28" s="15">
        <f>K27*86</f>
        <v>172</v>
      </c>
      <c r="L28" s="15">
        <f>L27*129</f>
        <v>0</v>
      </c>
      <c r="M28" s="15">
        <f>M7551</f>
        <v>0</v>
      </c>
      <c r="N28" s="15"/>
      <c r="O28" s="15"/>
      <c r="P28" s="20"/>
      <c r="Q28" s="20"/>
      <c r="R28" s="20"/>
      <c r="S28" s="20"/>
      <c r="T28" s="38"/>
      <c r="U28" s="38"/>
      <c r="V28" s="118"/>
      <c r="W28" s="118"/>
      <c r="X28" s="118"/>
      <c r="Y28" s="126"/>
      <c r="Z28" s="127"/>
      <c r="AA28" s="128"/>
      <c r="AB28" s="118"/>
      <c r="AC28" s="53"/>
      <c r="AD28" s="138"/>
      <c r="AE28" s="129"/>
      <c r="AF28" s="74"/>
      <c r="AG28" s="31"/>
      <c r="AH28" s="145"/>
    </row>
    <row r="29" ht="15" customHeight="1" spans="1:34">
      <c r="A29" s="16"/>
      <c r="B29" s="21" t="s">
        <v>34</v>
      </c>
      <c r="C29" s="21"/>
      <c r="D29" s="21"/>
      <c r="E29" s="21"/>
      <c r="F29" s="21"/>
      <c r="G29" s="21"/>
      <c r="H29" s="19"/>
      <c r="I29" s="21"/>
      <c r="J29" s="21"/>
      <c r="K29" s="41"/>
      <c r="L29" s="41"/>
      <c r="M29" s="19"/>
      <c r="N29" s="41">
        <f>N25*53</f>
        <v>0</v>
      </c>
      <c r="O29" s="41">
        <f>O25*48</f>
        <v>0</v>
      </c>
      <c r="P29" s="19">
        <f>P25*15</f>
        <v>120</v>
      </c>
      <c r="Q29" s="19">
        <f>Q25*65</f>
        <v>0</v>
      </c>
      <c r="R29" s="19"/>
      <c r="S29" s="19"/>
      <c r="T29" s="19">
        <f t="shared" ref="R29:T29" si="3">T25*60</f>
        <v>1380</v>
      </c>
      <c r="U29" s="19"/>
      <c r="V29" s="11"/>
      <c r="W29" s="11"/>
      <c r="X29" s="11"/>
      <c r="Y29" s="130"/>
      <c r="Z29" s="131"/>
      <c r="AA29" s="64"/>
      <c r="AB29" s="11"/>
      <c r="AC29" s="132"/>
      <c r="AD29" s="139"/>
      <c r="AE29" s="133"/>
      <c r="AF29" s="79"/>
      <c r="AG29" s="31"/>
      <c r="AH29" s="146"/>
    </row>
    <row r="30" ht="15" customHeight="1" spans="1:34">
      <c r="A30" s="12" t="s">
        <v>39</v>
      </c>
      <c r="B30" s="13">
        <f>[2]袁勇君!B$34</f>
        <v>58</v>
      </c>
      <c r="C30" s="13">
        <f>[2]袁勇君!C$34</f>
        <v>0</v>
      </c>
      <c r="D30" s="13">
        <f>[2]袁勇君!D$34</f>
        <v>7.5</v>
      </c>
      <c r="E30" s="13">
        <f>[2]袁勇君!E$34</f>
        <v>0</v>
      </c>
      <c r="F30" s="13">
        <f>[2]袁勇君!F$34</f>
        <v>0</v>
      </c>
      <c r="G30" s="13">
        <f>[2]袁勇君!G$34</f>
        <v>0</v>
      </c>
      <c r="H30" s="13">
        <f>[2]袁勇君!H$34</f>
        <v>5</v>
      </c>
      <c r="I30" s="13">
        <f>[2]袁勇君!I$34</f>
        <v>105</v>
      </c>
      <c r="J30" s="13">
        <f>[2]袁勇君!J$34</f>
        <v>1</v>
      </c>
      <c r="K30" s="13">
        <f>[2]袁勇君!K$34</f>
        <v>23</v>
      </c>
      <c r="L30" s="13">
        <f>[2]袁勇君!L$34</f>
        <v>1</v>
      </c>
      <c r="M30" s="13">
        <f>[2]袁勇君!M$34</f>
        <v>0</v>
      </c>
      <c r="N30" s="13">
        <f>[2]袁勇君!N$34</f>
        <v>0</v>
      </c>
      <c r="O30" s="13">
        <f>[2]袁勇君!O$34</f>
        <v>0</v>
      </c>
      <c r="P30" s="13">
        <f>[2]袁勇君!P$34</f>
        <v>19</v>
      </c>
      <c r="Q30" s="13">
        <f>[2]袁勇君!Q$34</f>
        <v>0</v>
      </c>
      <c r="R30" s="13">
        <f>[2]袁勇君!R$34</f>
        <v>1</v>
      </c>
      <c r="S30" s="13">
        <f>[2]袁勇君!S$34</f>
        <v>1</v>
      </c>
      <c r="T30" s="13">
        <f>[2]袁勇君!T$34</f>
        <v>7</v>
      </c>
      <c r="U30" s="13">
        <f>[2]袁勇君!U$34</f>
        <v>0</v>
      </c>
      <c r="V30" s="8">
        <f>SUM(B31:T31,B33:M33)</f>
        <v>22987</v>
      </c>
      <c r="W30" s="8">
        <f>SUM(B31:M31,B33:M33)+R31+S31</f>
        <v>21274</v>
      </c>
      <c r="X30" s="8">
        <f>W30-168</f>
        <v>21106</v>
      </c>
      <c r="Y30" s="122">
        <f>IF(V30&lt;15000,X30*0.3,IF(V30&lt;20000,X30*0.35,IF(V30&lt;25000,X30*0.37,IF(V30&lt;30000,X30*0.39,X30*0.41))))</f>
        <v>7809.22</v>
      </c>
      <c r="Z30" s="123">
        <f>[2]袁勇君!$V$36</f>
        <v>440</v>
      </c>
      <c r="AA30" s="63">
        <f>N34+O34+P34+Y30+Z30+Q34+T34</f>
        <v>8954.22</v>
      </c>
      <c r="AB30" s="8">
        <v>320.22</v>
      </c>
      <c r="AC30" s="124">
        <v>150</v>
      </c>
      <c r="AD30" s="137">
        <v>0</v>
      </c>
      <c r="AE30" s="125">
        <f>AA30-AB30-AC30-AD30</f>
        <v>8484</v>
      </c>
      <c r="AF30" s="69"/>
      <c r="AG30" s="31"/>
      <c r="AH30" s="144" t="e">
        <f>#REF!-AE30</f>
        <v>#REF!</v>
      </c>
    </row>
    <row r="31" ht="15" customHeight="1" spans="1:34">
      <c r="A31" s="14"/>
      <c r="B31" s="15">
        <f>B30*168</f>
        <v>9744</v>
      </c>
      <c r="C31" s="15">
        <f>C30*128</f>
        <v>0</v>
      </c>
      <c r="D31" s="15">
        <f>D30*228</f>
        <v>1710</v>
      </c>
      <c r="E31" s="15">
        <f>E30*168</f>
        <v>0</v>
      </c>
      <c r="F31" s="15">
        <f>F30*78</f>
        <v>0</v>
      </c>
      <c r="G31" s="15">
        <f>G30*68</f>
        <v>0</v>
      </c>
      <c r="H31" s="20">
        <f>H30*338</f>
        <v>1690</v>
      </c>
      <c r="I31" s="15">
        <f t="shared" si="2"/>
        <v>5250</v>
      </c>
      <c r="J31" s="15">
        <f>J30*48</f>
        <v>48</v>
      </c>
      <c r="K31" s="42">
        <f>K30*95</f>
        <v>2185</v>
      </c>
      <c r="L31" s="42">
        <f>L30*140</f>
        <v>140</v>
      </c>
      <c r="M31" s="38">
        <f>M30*572</f>
        <v>0</v>
      </c>
      <c r="N31" s="15">
        <f>N30*160</f>
        <v>0</v>
      </c>
      <c r="O31" s="15">
        <f>O30*120</f>
        <v>0</v>
      </c>
      <c r="P31" s="20">
        <f>P30*50</f>
        <v>950</v>
      </c>
      <c r="Q31" s="20">
        <f>Q30*160</f>
        <v>0</v>
      </c>
      <c r="R31" s="20">
        <f>R30*130</f>
        <v>130</v>
      </c>
      <c r="S31" s="20">
        <f>S30*205</f>
        <v>205</v>
      </c>
      <c r="T31" s="15">
        <f>T30*109</f>
        <v>763</v>
      </c>
      <c r="U31" s="38">
        <f>U30*150</f>
        <v>0</v>
      </c>
      <c r="V31" s="118"/>
      <c r="W31" s="118"/>
      <c r="X31" s="118"/>
      <c r="Y31" s="126"/>
      <c r="Z31" s="127"/>
      <c r="AA31" s="128"/>
      <c r="AB31" s="118"/>
      <c r="AC31" s="53"/>
      <c r="AD31" s="138"/>
      <c r="AE31" s="129"/>
      <c r="AF31" s="74"/>
      <c r="AG31" s="31"/>
      <c r="AH31" s="145"/>
    </row>
    <row r="32" ht="15" customHeight="1" spans="1:34">
      <c r="A32" s="14"/>
      <c r="B32" s="13">
        <f>[2]袁勇君!$X$34</f>
        <v>0</v>
      </c>
      <c r="C32" s="13"/>
      <c r="D32" s="13">
        <f>[2]袁勇君!$Y$34</f>
        <v>0</v>
      </c>
      <c r="E32" s="13"/>
      <c r="F32" s="13">
        <f>[2]袁勇君!$Z$35</f>
        <v>0</v>
      </c>
      <c r="G32" s="13"/>
      <c r="H32" s="26">
        <f>[2]袁勇君!AA$34</f>
        <v>0</v>
      </c>
      <c r="I32" s="26">
        <f>[2]袁勇君!AB$34</f>
        <v>0</v>
      </c>
      <c r="J32" s="26">
        <f>[2]袁勇君!AC$34</f>
        <v>0</v>
      </c>
      <c r="K32" s="26">
        <f>[2]袁勇君!AD$34</f>
        <v>2</v>
      </c>
      <c r="L32" s="26">
        <f>[2]袁勇君!AE$34</f>
        <v>0</v>
      </c>
      <c r="M32" s="26">
        <f>[2]袁勇君!AF$34</f>
        <v>0</v>
      </c>
      <c r="N32" s="13"/>
      <c r="O32" s="13"/>
      <c r="P32" s="26"/>
      <c r="Q32" s="26"/>
      <c r="R32" s="26"/>
      <c r="S32" s="26"/>
      <c r="T32" s="119"/>
      <c r="U32" s="119"/>
      <c r="V32" s="118"/>
      <c r="W32" s="118"/>
      <c r="X32" s="118"/>
      <c r="Y32" s="126"/>
      <c r="Z32" s="127"/>
      <c r="AA32" s="128"/>
      <c r="AB32" s="118"/>
      <c r="AC32" s="53"/>
      <c r="AD32" s="138"/>
      <c r="AE32" s="129"/>
      <c r="AF32" s="74"/>
      <c r="AG32" s="31"/>
      <c r="AH32" s="145"/>
    </row>
    <row r="33" ht="15" customHeight="1" spans="1:34">
      <c r="A33" s="14"/>
      <c r="B33" s="102">
        <f>B32*159</f>
        <v>0</v>
      </c>
      <c r="C33" s="103"/>
      <c r="D33" s="102">
        <f>D32*210</f>
        <v>0</v>
      </c>
      <c r="E33" s="103"/>
      <c r="F33" s="102">
        <f>F32*71</f>
        <v>0</v>
      </c>
      <c r="G33" s="103"/>
      <c r="H33" s="15">
        <f>H32*311.5</f>
        <v>0</v>
      </c>
      <c r="I33" s="15">
        <f t="shared" si="2"/>
        <v>0</v>
      </c>
      <c r="J33" s="15">
        <f>J797</f>
        <v>0</v>
      </c>
      <c r="K33" s="15">
        <f>K32*86</f>
        <v>172</v>
      </c>
      <c r="L33" s="15">
        <f>L32*129</f>
        <v>0</v>
      </c>
      <c r="M33" s="15">
        <f>M7556</f>
        <v>0</v>
      </c>
      <c r="N33" s="15"/>
      <c r="O33" s="15"/>
      <c r="P33" s="20"/>
      <c r="Q33" s="20"/>
      <c r="R33" s="20"/>
      <c r="S33" s="20"/>
      <c r="T33" s="38"/>
      <c r="U33" s="38"/>
      <c r="V33" s="118"/>
      <c r="W33" s="118"/>
      <c r="X33" s="118"/>
      <c r="Y33" s="126"/>
      <c r="Z33" s="127"/>
      <c r="AA33" s="128"/>
      <c r="AB33" s="118"/>
      <c r="AC33" s="53"/>
      <c r="AD33" s="138"/>
      <c r="AE33" s="129"/>
      <c r="AF33" s="74"/>
      <c r="AG33" s="31"/>
      <c r="AH33" s="145"/>
    </row>
    <row r="34" ht="15" customHeight="1" spans="1:36">
      <c r="A34" s="16"/>
      <c r="B34" s="17" t="s">
        <v>40</v>
      </c>
      <c r="C34" s="18"/>
      <c r="D34" s="18"/>
      <c r="E34" s="18"/>
      <c r="F34" s="18"/>
      <c r="G34" s="18"/>
      <c r="H34" s="19"/>
      <c r="I34" s="18"/>
      <c r="J34" s="21"/>
      <c r="K34" s="45"/>
      <c r="L34" s="46"/>
      <c r="M34" s="47"/>
      <c r="N34" s="41">
        <f>N30*53</f>
        <v>0</v>
      </c>
      <c r="O34" s="41">
        <f>O30*48</f>
        <v>0</v>
      </c>
      <c r="P34" s="19">
        <f>P30*15</f>
        <v>285</v>
      </c>
      <c r="Q34" s="19">
        <f>Q30*65</f>
        <v>0</v>
      </c>
      <c r="R34" s="19"/>
      <c r="S34" s="19"/>
      <c r="T34" s="19">
        <f>T30*60</f>
        <v>420</v>
      </c>
      <c r="U34" s="19"/>
      <c r="V34" s="11"/>
      <c r="W34" s="11"/>
      <c r="X34" s="11"/>
      <c r="Y34" s="130"/>
      <c r="Z34" s="131"/>
      <c r="AA34" s="64"/>
      <c r="AB34" s="11"/>
      <c r="AC34" s="132"/>
      <c r="AD34" s="139"/>
      <c r="AE34" s="133"/>
      <c r="AF34" s="79"/>
      <c r="AG34" s="31"/>
      <c r="AH34" s="146"/>
      <c r="AJ34" s="91"/>
    </row>
    <row r="35" ht="15" customHeight="1" spans="1:34">
      <c r="A35" s="12" t="s">
        <v>41</v>
      </c>
      <c r="B35" s="13">
        <f>[2]柳常青!B$34</f>
        <v>38.5</v>
      </c>
      <c r="C35" s="13">
        <f>[2]柳常青!C$34</f>
        <v>0</v>
      </c>
      <c r="D35" s="13">
        <f>[2]柳常青!D$34</f>
        <v>21.5</v>
      </c>
      <c r="E35" s="13">
        <f>[2]柳常青!E$34</f>
        <v>0</v>
      </c>
      <c r="F35" s="13">
        <f>[2]柳常青!F$34</f>
        <v>0</v>
      </c>
      <c r="G35" s="13">
        <f>[2]柳常青!G$34</f>
        <v>0</v>
      </c>
      <c r="H35" s="13">
        <f>[2]柳常青!H$34</f>
        <v>0</v>
      </c>
      <c r="I35" s="13">
        <f>[2]柳常青!I$34</f>
        <v>65</v>
      </c>
      <c r="J35" s="13">
        <f>[2]柳常青!J$34</f>
        <v>0</v>
      </c>
      <c r="K35" s="13">
        <f>[2]柳常青!K$34</f>
        <v>15</v>
      </c>
      <c r="L35" s="13">
        <f>[2]柳常青!L$34</f>
        <v>0</v>
      </c>
      <c r="M35" s="13">
        <f>[2]柳常青!M$34</f>
        <v>0</v>
      </c>
      <c r="N35" s="13">
        <f>[2]柳常青!N$34</f>
        <v>0</v>
      </c>
      <c r="O35" s="13">
        <f>[2]柳常青!O$34</f>
        <v>1</v>
      </c>
      <c r="P35" s="13">
        <f>[2]柳常青!P$34</f>
        <v>7</v>
      </c>
      <c r="Q35" s="13">
        <f>[2]柳常青!Q$34</f>
        <v>0</v>
      </c>
      <c r="R35" s="13">
        <f>[2]柳常青!R$34</f>
        <v>3</v>
      </c>
      <c r="S35" s="13">
        <f>[2]柳常青!S$34</f>
        <v>0</v>
      </c>
      <c r="T35" s="13">
        <f>[2]柳常青!T$34</f>
        <v>22</v>
      </c>
      <c r="U35" s="13">
        <f>[2]柳常青!U$34</f>
        <v>0</v>
      </c>
      <c r="V35" s="8">
        <f>SUM(B36:T36,B38:M38)</f>
        <v>19389</v>
      </c>
      <c r="W35" s="8">
        <f>SUM(B36:M36,B38:M38)+R36+S36</f>
        <v>16521</v>
      </c>
      <c r="X35" s="8">
        <f>W35-168</f>
        <v>16353</v>
      </c>
      <c r="Y35" s="122">
        <f>IF(V35&lt;15000,X35*0.3,IF(V35&lt;20000,X35*0.35,IF(V35&lt;25000,X35*0.37,IF(V35&lt;30000,X35*0.39,X35*0.41))))</f>
        <v>5723.55</v>
      </c>
      <c r="Z35" s="123">
        <f>[2]柳常青!$V$36</f>
        <v>0</v>
      </c>
      <c r="AA35" s="63">
        <f>N39+O39+P39+Y35+Z35+Q39+T39</f>
        <v>7196.55</v>
      </c>
      <c r="AB35" s="8">
        <v>320.22</v>
      </c>
      <c r="AC35" s="124">
        <v>150</v>
      </c>
      <c r="AD35" s="137">
        <v>0</v>
      </c>
      <c r="AE35" s="125">
        <f>AA35-AB35-AC35-AD35</f>
        <v>6726.33</v>
      </c>
      <c r="AF35" s="69"/>
      <c r="AG35" s="31"/>
      <c r="AH35" s="144" t="e">
        <f>#REF!-AE35</f>
        <v>#REF!</v>
      </c>
    </row>
    <row r="36" ht="15" customHeight="1" spans="1:34">
      <c r="A36" s="14"/>
      <c r="B36" s="15">
        <f>B35*168</f>
        <v>6468</v>
      </c>
      <c r="C36" s="15">
        <f>C35*128</f>
        <v>0</v>
      </c>
      <c r="D36" s="15">
        <f>D35*228</f>
        <v>4902</v>
      </c>
      <c r="E36" s="15">
        <f>E35*168</f>
        <v>0</v>
      </c>
      <c r="F36" s="15">
        <f>F35*78</f>
        <v>0</v>
      </c>
      <c r="G36" s="15">
        <f>G35*68</f>
        <v>0</v>
      </c>
      <c r="H36" s="20">
        <f>H35*338</f>
        <v>0</v>
      </c>
      <c r="I36" s="15">
        <f>I35*50</f>
        <v>3250</v>
      </c>
      <c r="J36" s="15">
        <f>J35*48</f>
        <v>0</v>
      </c>
      <c r="K36" s="42">
        <f>K35*95</f>
        <v>1425</v>
      </c>
      <c r="L36" s="42">
        <f>L35*140</f>
        <v>0</v>
      </c>
      <c r="M36" s="38">
        <f>M35*572</f>
        <v>0</v>
      </c>
      <c r="N36" s="15">
        <f>N35*160</f>
        <v>0</v>
      </c>
      <c r="O36" s="15">
        <f>O35*120</f>
        <v>120</v>
      </c>
      <c r="P36" s="20">
        <f>P35*50</f>
        <v>350</v>
      </c>
      <c r="Q36" s="20">
        <f>Q35*140</f>
        <v>0</v>
      </c>
      <c r="R36" s="20">
        <f>R35*130</f>
        <v>390</v>
      </c>
      <c r="S36" s="20">
        <f>S35*205</f>
        <v>0</v>
      </c>
      <c r="T36" s="15">
        <f>T35*109</f>
        <v>2398</v>
      </c>
      <c r="U36" s="38">
        <f>U35*150</f>
        <v>0</v>
      </c>
      <c r="V36" s="118"/>
      <c r="W36" s="118"/>
      <c r="X36" s="118"/>
      <c r="Y36" s="126"/>
      <c r="Z36" s="127"/>
      <c r="AA36" s="128"/>
      <c r="AB36" s="118"/>
      <c r="AC36" s="53"/>
      <c r="AD36" s="138"/>
      <c r="AE36" s="129"/>
      <c r="AF36" s="74"/>
      <c r="AG36" s="31"/>
      <c r="AH36" s="145"/>
    </row>
    <row r="37" ht="15" customHeight="1" spans="1:34">
      <c r="A37" s="14"/>
      <c r="B37" s="13">
        <f>[2]柳常青!$X$34</f>
        <v>0</v>
      </c>
      <c r="C37" s="13"/>
      <c r="D37" s="13">
        <f>[2]柳常青!$Y$34</f>
        <v>0</v>
      </c>
      <c r="E37" s="13"/>
      <c r="F37" s="13">
        <f>[2]柳常青!$Z$34</f>
        <v>0</v>
      </c>
      <c r="G37" s="13"/>
      <c r="H37" s="26">
        <f>[2]柳常青!AA$34</f>
        <v>0</v>
      </c>
      <c r="I37" s="26">
        <f>[2]柳常青!AB$34</f>
        <v>0</v>
      </c>
      <c r="J37" s="26">
        <f>[2]柳常青!AC$34</f>
        <v>0</v>
      </c>
      <c r="K37" s="26">
        <f>[2]柳常青!AD$34</f>
        <v>1</v>
      </c>
      <c r="L37" s="26">
        <f>[2]柳常青!AE$34</f>
        <v>0</v>
      </c>
      <c r="M37" s="26">
        <f>[2]柳常青!AF$34</f>
        <v>0</v>
      </c>
      <c r="N37" s="13"/>
      <c r="O37" s="13"/>
      <c r="P37" s="26"/>
      <c r="Q37" s="26"/>
      <c r="R37" s="26"/>
      <c r="S37" s="26"/>
      <c r="T37" s="119"/>
      <c r="U37" s="119"/>
      <c r="V37" s="118"/>
      <c r="W37" s="118"/>
      <c r="X37" s="118"/>
      <c r="Y37" s="126"/>
      <c r="Z37" s="127"/>
      <c r="AA37" s="128"/>
      <c r="AB37" s="118"/>
      <c r="AC37" s="53"/>
      <c r="AD37" s="138"/>
      <c r="AE37" s="129"/>
      <c r="AF37" s="74"/>
      <c r="AG37" s="31"/>
      <c r="AH37" s="145"/>
    </row>
    <row r="38" ht="15" customHeight="1" spans="1:34">
      <c r="A38" s="14"/>
      <c r="B38" s="102">
        <f>B37*159</f>
        <v>0</v>
      </c>
      <c r="C38" s="103"/>
      <c r="D38" s="102">
        <f>D37*210</f>
        <v>0</v>
      </c>
      <c r="E38" s="103"/>
      <c r="F38" s="102">
        <f>F37*71</f>
        <v>0</v>
      </c>
      <c r="G38" s="103"/>
      <c r="H38" s="15">
        <f>H37*311.5</f>
        <v>0</v>
      </c>
      <c r="I38" s="15">
        <f>I37*50</f>
        <v>0</v>
      </c>
      <c r="J38" s="15">
        <f>J802</f>
        <v>0</v>
      </c>
      <c r="K38" s="15">
        <f>K37*86</f>
        <v>86</v>
      </c>
      <c r="L38" s="15">
        <f>L37*129</f>
        <v>0</v>
      </c>
      <c r="M38" s="15">
        <f>M7561</f>
        <v>0</v>
      </c>
      <c r="N38" s="15"/>
      <c r="O38" s="15"/>
      <c r="P38" s="20"/>
      <c r="Q38" s="20"/>
      <c r="R38" s="20"/>
      <c r="S38" s="20"/>
      <c r="T38" s="38"/>
      <c r="U38" s="38"/>
      <c r="V38" s="118"/>
      <c r="W38" s="118"/>
      <c r="X38" s="118"/>
      <c r="Y38" s="126"/>
      <c r="Z38" s="127"/>
      <c r="AA38" s="128"/>
      <c r="AB38" s="118"/>
      <c r="AC38" s="53"/>
      <c r="AD38" s="138"/>
      <c r="AE38" s="129"/>
      <c r="AF38" s="74"/>
      <c r="AG38" s="31"/>
      <c r="AH38" s="145"/>
    </row>
    <row r="39" ht="15" customHeight="1" spans="1:34">
      <c r="A39" s="16"/>
      <c r="B39" s="17" t="s">
        <v>40</v>
      </c>
      <c r="C39" s="18"/>
      <c r="D39" s="18"/>
      <c r="E39" s="18"/>
      <c r="F39" s="18"/>
      <c r="G39" s="18"/>
      <c r="H39" s="19"/>
      <c r="I39" s="18"/>
      <c r="J39" s="43"/>
      <c r="K39" s="48"/>
      <c r="L39" s="49"/>
      <c r="M39" s="50"/>
      <c r="N39" s="41">
        <f>N35*53</f>
        <v>0</v>
      </c>
      <c r="O39" s="41">
        <f>O35*48</f>
        <v>48</v>
      </c>
      <c r="P39" s="19">
        <f>P35*15</f>
        <v>105</v>
      </c>
      <c r="Q39" s="19">
        <f>Q35*65</f>
        <v>0</v>
      </c>
      <c r="R39" s="19"/>
      <c r="S39" s="19"/>
      <c r="T39" s="19">
        <f>T35*60</f>
        <v>1320</v>
      </c>
      <c r="U39" s="19"/>
      <c r="V39" s="11"/>
      <c r="W39" s="11"/>
      <c r="X39" s="11"/>
      <c r="Y39" s="130"/>
      <c r="Z39" s="131"/>
      <c r="AA39" s="64"/>
      <c r="AB39" s="11"/>
      <c r="AC39" s="132"/>
      <c r="AD39" s="139"/>
      <c r="AE39" s="133"/>
      <c r="AF39" s="79"/>
      <c r="AG39" s="31"/>
      <c r="AH39" s="146"/>
    </row>
    <row r="40" s="1" customFormat="1" ht="20" customHeight="1" spans="1:34">
      <c r="A40" s="22"/>
      <c r="B40" s="23"/>
      <c r="C40" s="23"/>
      <c r="D40" s="23"/>
      <c r="E40" s="23"/>
      <c r="F40" s="23"/>
      <c r="G40" s="23"/>
      <c r="H40" s="22"/>
      <c r="I40" s="23"/>
      <c r="J40" s="23"/>
      <c r="K40" s="51"/>
      <c r="L40" s="51"/>
      <c r="M40" s="2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140"/>
      <c r="Z40" s="141" t="s">
        <v>42</v>
      </c>
      <c r="AA40" s="141"/>
      <c r="AB40" s="141"/>
      <c r="AC40" s="141"/>
      <c r="AD40" s="141"/>
      <c r="AE40" s="141"/>
      <c r="AF40" s="141"/>
      <c r="AG40" s="31"/>
      <c r="AH40" s="147"/>
    </row>
    <row r="41" ht="30" customHeight="1" spans="1:34">
      <c r="A41" s="24" t="s">
        <v>0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31"/>
      <c r="AH41" s="142"/>
    </row>
    <row r="42" ht="18" customHeight="1" spans="1:34">
      <c r="A42" s="5" t="s">
        <v>1</v>
      </c>
      <c r="B42" s="97" t="s">
        <v>2</v>
      </c>
      <c r="C42" s="7"/>
      <c r="D42" s="6" t="s">
        <v>3</v>
      </c>
      <c r="E42" s="7"/>
      <c r="F42" s="6" t="s">
        <v>4</v>
      </c>
      <c r="G42" s="7"/>
      <c r="H42" s="8" t="s">
        <v>5</v>
      </c>
      <c r="I42" s="8" t="s">
        <v>6</v>
      </c>
      <c r="J42" s="33" t="s">
        <v>7</v>
      </c>
      <c r="K42" s="5" t="s">
        <v>8</v>
      </c>
      <c r="L42" s="5" t="s">
        <v>9</v>
      </c>
      <c r="M42" s="5" t="s">
        <v>10</v>
      </c>
      <c r="N42" s="8" t="s">
        <v>11</v>
      </c>
      <c r="O42" s="111" t="s">
        <v>12</v>
      </c>
      <c r="P42" s="112" t="s">
        <v>13</v>
      </c>
      <c r="Q42" s="5" t="s">
        <v>14</v>
      </c>
      <c r="R42" s="5" t="s">
        <v>15</v>
      </c>
      <c r="S42" s="5" t="s">
        <v>16</v>
      </c>
      <c r="T42" s="5" t="s">
        <v>17</v>
      </c>
      <c r="U42" s="33" t="s">
        <v>18</v>
      </c>
      <c r="V42" s="5" t="s">
        <v>19</v>
      </c>
      <c r="W42" s="5" t="s">
        <v>20</v>
      </c>
      <c r="X42" s="5" t="s">
        <v>21</v>
      </c>
      <c r="Y42" s="5" t="s">
        <v>22</v>
      </c>
      <c r="Z42" s="63" t="s">
        <v>23</v>
      </c>
      <c r="AA42" s="5" t="s">
        <v>24</v>
      </c>
      <c r="AB42" s="8" t="s">
        <v>25</v>
      </c>
      <c r="AC42" s="5" t="s">
        <v>26</v>
      </c>
      <c r="AD42" s="5" t="s">
        <v>27</v>
      </c>
      <c r="AE42" s="120" t="s">
        <v>28</v>
      </c>
      <c r="AF42" s="8" t="s">
        <v>29</v>
      </c>
      <c r="AG42" s="31"/>
      <c r="AH42" s="143" t="s">
        <v>30</v>
      </c>
    </row>
    <row r="43" ht="18" customHeight="1" spans="1:34">
      <c r="A43" s="35"/>
      <c r="B43" s="7" t="s">
        <v>31</v>
      </c>
      <c r="C43" s="10" t="s">
        <v>32</v>
      </c>
      <c r="D43" s="10" t="s">
        <v>31</v>
      </c>
      <c r="E43" s="10" t="s">
        <v>32</v>
      </c>
      <c r="F43" s="10" t="s">
        <v>31</v>
      </c>
      <c r="G43" s="10" t="s">
        <v>32</v>
      </c>
      <c r="H43" s="11"/>
      <c r="I43" s="11"/>
      <c r="J43" s="113"/>
      <c r="K43" s="35"/>
      <c r="L43" s="35"/>
      <c r="M43" s="35"/>
      <c r="N43" s="11"/>
      <c r="O43" s="114"/>
      <c r="P43" s="115"/>
      <c r="Q43" s="35"/>
      <c r="R43" s="35"/>
      <c r="S43" s="35"/>
      <c r="T43" s="9"/>
      <c r="U43" s="37"/>
      <c r="V43" s="35"/>
      <c r="W43" s="35"/>
      <c r="X43" s="35"/>
      <c r="Y43" s="35"/>
      <c r="Z43" s="64"/>
      <c r="AA43" s="35"/>
      <c r="AB43" s="11"/>
      <c r="AC43" s="35"/>
      <c r="AD43" s="35"/>
      <c r="AE43" s="121"/>
      <c r="AF43" s="11"/>
      <c r="AG43" s="31"/>
      <c r="AH43" s="143"/>
    </row>
    <row r="44" ht="16.5" customHeight="1" spans="1:34">
      <c r="A44" s="12" t="s">
        <v>43</v>
      </c>
      <c r="B44" s="13">
        <f>[2]吴建兵!B$34</f>
        <v>46</v>
      </c>
      <c r="C44" s="13">
        <f>[2]吴建兵!C$34</f>
        <v>0</v>
      </c>
      <c r="D44" s="13">
        <f>[2]吴建兵!D$34</f>
        <v>1</v>
      </c>
      <c r="E44" s="13">
        <f>[2]吴建兵!E$34</f>
        <v>0</v>
      </c>
      <c r="F44" s="13">
        <f>[2]吴建兵!F$34</f>
        <v>0</v>
      </c>
      <c r="G44" s="13">
        <f>[2]吴建兵!G$34</f>
        <v>0</v>
      </c>
      <c r="H44" s="13">
        <f>[2]吴建兵!H$34</f>
        <v>0</v>
      </c>
      <c r="I44" s="13">
        <f>[2]吴建兵!I$34</f>
        <v>71</v>
      </c>
      <c r="J44" s="13">
        <f>[2]吴建兵!J$34</f>
        <v>3</v>
      </c>
      <c r="K44" s="13">
        <f>[2]吴建兵!K$34</f>
        <v>15</v>
      </c>
      <c r="L44" s="13">
        <f>[2]吴建兵!L$34</f>
        <v>0</v>
      </c>
      <c r="M44" s="13">
        <f>[2]吴建兵!M$34</f>
        <v>0</v>
      </c>
      <c r="N44" s="13">
        <f>[2]吴建兵!N$34</f>
        <v>0</v>
      </c>
      <c r="O44" s="13">
        <f>[2]吴建兵!O$34</f>
        <v>2</v>
      </c>
      <c r="P44" s="13">
        <f>[2]吴建兵!P$34</f>
        <v>5</v>
      </c>
      <c r="Q44" s="13">
        <f>[2]吴建兵!Q$34</f>
        <v>0</v>
      </c>
      <c r="R44" s="13">
        <f>[2]吴建兵!R$34</f>
        <v>2</v>
      </c>
      <c r="S44" s="13">
        <f>[2]吴建兵!S$34</f>
        <v>0</v>
      </c>
      <c r="T44" s="13">
        <f>[2]吴建兵!T$34</f>
        <v>15</v>
      </c>
      <c r="U44" s="13">
        <f>[2]吴建兵!U$34</f>
        <v>0</v>
      </c>
      <c r="V44" s="8">
        <f>SUM(B45:T45,B47:M47)</f>
        <v>15864</v>
      </c>
      <c r="W44" s="8">
        <f>SUM(B45:M45,B47:M47)+R45+S45</f>
        <v>13739</v>
      </c>
      <c r="X44" s="8">
        <f>W44-168</f>
        <v>13571</v>
      </c>
      <c r="Y44" s="122">
        <f>IF(V44&lt;15000,X44*0.3,IF(V44&lt;20000,X44*0.35,IF(V44&lt;25000,X44*0.37,IF(V44&lt;30000,X44*0.39,X44*0.41))))</f>
        <v>4749.85</v>
      </c>
      <c r="Z44" s="123">
        <f>[2]吴建兵!$V$36</f>
        <v>40</v>
      </c>
      <c r="AA44" s="63">
        <f>N48+O48+P48+Y44+Z44+Q48+T48</f>
        <v>5860.85</v>
      </c>
      <c r="AB44" s="8">
        <v>0</v>
      </c>
      <c r="AC44" s="5">
        <v>0</v>
      </c>
      <c r="AD44" s="124">
        <v>0</v>
      </c>
      <c r="AE44" s="125">
        <f>AA44-AB44-AC44-AD44</f>
        <v>5860.85</v>
      </c>
      <c r="AF44" s="69"/>
      <c r="AG44" s="31"/>
      <c r="AH44" s="144" t="e">
        <f>#REF!-AE44</f>
        <v>#REF!</v>
      </c>
    </row>
    <row r="45" ht="16.5" customHeight="1" spans="1:34">
      <c r="A45" s="14"/>
      <c r="B45" s="15">
        <f>B44*168</f>
        <v>7728</v>
      </c>
      <c r="C45" s="15">
        <f>C44*128</f>
        <v>0</v>
      </c>
      <c r="D45" s="15">
        <f>D44*228</f>
        <v>228</v>
      </c>
      <c r="E45" s="15">
        <f>E44*168</f>
        <v>0</v>
      </c>
      <c r="F45" s="15">
        <f>F44*78</f>
        <v>0</v>
      </c>
      <c r="G45" s="15">
        <f>G44*68</f>
        <v>0</v>
      </c>
      <c r="H45" s="20">
        <f>H44*338</f>
        <v>0</v>
      </c>
      <c r="I45" s="15">
        <f>I44*50</f>
        <v>3550</v>
      </c>
      <c r="J45" s="15">
        <f>J44*48</f>
        <v>144</v>
      </c>
      <c r="K45" s="42">
        <f>K44*95</f>
        <v>1425</v>
      </c>
      <c r="L45" s="42">
        <f>L44*140</f>
        <v>0</v>
      </c>
      <c r="M45" s="38">
        <f>M44*572</f>
        <v>0</v>
      </c>
      <c r="N45" s="15">
        <f>N44*160</f>
        <v>0</v>
      </c>
      <c r="O45" s="15">
        <f>O44*120</f>
        <v>240</v>
      </c>
      <c r="P45" s="20">
        <f>P44*50</f>
        <v>250</v>
      </c>
      <c r="Q45" s="20">
        <f>Q44*160</f>
        <v>0</v>
      </c>
      <c r="R45" s="20">
        <f>R44*130</f>
        <v>260</v>
      </c>
      <c r="S45" s="20">
        <f>S44*205</f>
        <v>0</v>
      </c>
      <c r="T45" s="15">
        <f>T44*109</f>
        <v>1635</v>
      </c>
      <c r="U45" s="38">
        <f>U44*150</f>
        <v>0</v>
      </c>
      <c r="V45" s="118"/>
      <c r="W45" s="118"/>
      <c r="X45" s="118"/>
      <c r="Y45" s="126"/>
      <c r="Z45" s="127"/>
      <c r="AA45" s="128"/>
      <c r="AB45" s="118"/>
      <c r="AC45" s="9"/>
      <c r="AD45" s="53"/>
      <c r="AE45" s="129"/>
      <c r="AF45" s="74"/>
      <c r="AG45" s="31"/>
      <c r="AH45" s="145"/>
    </row>
    <row r="46" ht="16.5" customHeight="1" spans="1:34">
      <c r="A46" s="14"/>
      <c r="B46" s="99">
        <f>[2]吴建兵!$X$34</f>
        <v>2</v>
      </c>
      <c r="C46" s="107"/>
      <c r="D46" s="107">
        <f>[2]吴建兵!$Y$34</f>
        <v>0</v>
      </c>
      <c r="E46" s="107"/>
      <c r="F46" s="107">
        <f>[2]吴建兵!$Z$34</f>
        <v>0</v>
      </c>
      <c r="G46" s="107"/>
      <c r="H46" s="26">
        <f>[2]吴建兵!AA$34</f>
        <v>0</v>
      </c>
      <c r="I46" s="26">
        <f>[2]吴建兵!AB$34</f>
        <v>0</v>
      </c>
      <c r="J46" s="26">
        <f>[2]吴建兵!AC$34</f>
        <v>0</v>
      </c>
      <c r="K46" s="26">
        <f>[2]吴建兵!AD$34</f>
        <v>1</v>
      </c>
      <c r="L46" s="26">
        <f>[2]吴建兵!AE$34</f>
        <v>0</v>
      </c>
      <c r="M46" s="26">
        <f>[2]吴建兵!AF$34</f>
        <v>0</v>
      </c>
      <c r="N46" s="13"/>
      <c r="O46" s="13"/>
      <c r="P46" s="26"/>
      <c r="Q46" s="26"/>
      <c r="R46" s="26"/>
      <c r="S46" s="26"/>
      <c r="T46" s="119"/>
      <c r="U46" s="119"/>
      <c r="V46" s="118"/>
      <c r="W46" s="118"/>
      <c r="X46" s="118"/>
      <c r="Y46" s="126"/>
      <c r="Z46" s="127"/>
      <c r="AA46" s="128"/>
      <c r="AB46" s="118"/>
      <c r="AC46" s="9"/>
      <c r="AD46" s="53"/>
      <c r="AE46" s="129"/>
      <c r="AF46" s="74"/>
      <c r="AG46" s="31"/>
      <c r="AH46" s="145"/>
    </row>
    <row r="47" ht="16.5" customHeight="1" spans="1:34">
      <c r="A47" s="14"/>
      <c r="B47" s="102">
        <f>B46*159</f>
        <v>318</v>
      </c>
      <c r="C47" s="103"/>
      <c r="D47" s="102">
        <f>D46*210</f>
        <v>0</v>
      </c>
      <c r="E47" s="103"/>
      <c r="F47" s="102">
        <f>F46*71</f>
        <v>0</v>
      </c>
      <c r="G47" s="103"/>
      <c r="H47" s="15">
        <f>H46*311.5</f>
        <v>0</v>
      </c>
      <c r="I47" s="15">
        <f t="shared" ref="I47:I52" si="4">I46*50</f>
        <v>0</v>
      </c>
      <c r="J47" s="15">
        <f>J811</f>
        <v>0</v>
      </c>
      <c r="K47" s="15">
        <f>K46*86</f>
        <v>86</v>
      </c>
      <c r="L47" s="15">
        <f>L46*129</f>
        <v>0</v>
      </c>
      <c r="M47" s="15">
        <f>M7570</f>
        <v>0</v>
      </c>
      <c r="N47" s="15"/>
      <c r="O47" s="15"/>
      <c r="P47" s="20"/>
      <c r="Q47" s="20"/>
      <c r="R47" s="20"/>
      <c r="S47" s="20"/>
      <c r="T47" s="38"/>
      <c r="U47" s="38"/>
      <c r="V47" s="118"/>
      <c r="W47" s="118"/>
      <c r="X47" s="118"/>
      <c r="Y47" s="126"/>
      <c r="Z47" s="127"/>
      <c r="AA47" s="128"/>
      <c r="AB47" s="118"/>
      <c r="AC47" s="9"/>
      <c r="AD47" s="53"/>
      <c r="AE47" s="129"/>
      <c r="AF47" s="74"/>
      <c r="AG47" s="31"/>
      <c r="AH47" s="145"/>
    </row>
    <row r="48" ht="16.5" customHeight="1" spans="1:34">
      <c r="A48" s="16"/>
      <c r="B48" s="17" t="s">
        <v>34</v>
      </c>
      <c r="C48" s="18"/>
      <c r="D48" s="18"/>
      <c r="E48" s="18"/>
      <c r="F48" s="18"/>
      <c r="G48" s="18"/>
      <c r="H48" s="19"/>
      <c r="I48" s="18"/>
      <c r="J48" s="43"/>
      <c r="K48" s="44"/>
      <c r="L48" s="39"/>
      <c r="M48" s="40"/>
      <c r="N48" s="41">
        <f>N44*53</f>
        <v>0</v>
      </c>
      <c r="O48" s="41">
        <f>O44*48</f>
        <v>96</v>
      </c>
      <c r="P48" s="19">
        <f>P44*15</f>
        <v>75</v>
      </c>
      <c r="Q48" s="19">
        <f>Q44*65</f>
        <v>0</v>
      </c>
      <c r="R48" s="19"/>
      <c r="S48" s="19"/>
      <c r="T48" s="19">
        <f t="shared" ref="R48:T48" si="5">T44*60</f>
        <v>900</v>
      </c>
      <c r="U48" s="19"/>
      <c r="V48" s="11"/>
      <c r="W48" s="11"/>
      <c r="X48" s="11"/>
      <c r="Y48" s="130"/>
      <c r="Z48" s="131"/>
      <c r="AA48" s="64"/>
      <c r="AB48" s="11"/>
      <c r="AC48" s="35"/>
      <c r="AD48" s="132"/>
      <c r="AE48" s="133"/>
      <c r="AF48" s="79"/>
      <c r="AG48" s="31"/>
      <c r="AH48" s="146"/>
    </row>
    <row r="49" ht="16.5" customHeight="1" spans="1:34">
      <c r="A49" s="12" t="s">
        <v>44</v>
      </c>
      <c r="B49" s="10">
        <f>[2]刘晓玲!B$34</f>
        <v>46.5</v>
      </c>
      <c r="C49" s="10">
        <f>[2]刘晓玲!C$34</f>
        <v>0</v>
      </c>
      <c r="D49" s="10">
        <f>[2]刘晓玲!D$34</f>
        <v>20.5</v>
      </c>
      <c r="E49" s="10">
        <f>[2]刘晓玲!E$34</f>
        <v>0</v>
      </c>
      <c r="F49" s="10">
        <f>[2]刘晓玲!F$34</f>
        <v>0</v>
      </c>
      <c r="G49" s="10">
        <f>[2]刘晓玲!G$34</f>
        <v>0</v>
      </c>
      <c r="H49" s="10">
        <f>[2]刘晓玲!H$34</f>
        <v>1</v>
      </c>
      <c r="I49" s="10">
        <f>[2]刘晓玲!I$34</f>
        <v>56</v>
      </c>
      <c r="J49" s="10">
        <f>[2]刘晓玲!J$34</f>
        <v>0</v>
      </c>
      <c r="K49" s="10">
        <f>[2]刘晓玲!K$34</f>
        <v>6</v>
      </c>
      <c r="L49" s="10">
        <f>[2]刘晓玲!L$34</f>
        <v>0</v>
      </c>
      <c r="M49" s="10">
        <f>[2]刘晓玲!M$34</f>
        <v>0</v>
      </c>
      <c r="N49" s="10">
        <f>[2]刘晓玲!N$34</f>
        <v>1</v>
      </c>
      <c r="O49" s="10">
        <f>[2]刘晓玲!O$34</f>
        <v>0</v>
      </c>
      <c r="P49" s="10">
        <f>[2]刘晓玲!P$34</f>
        <v>10</v>
      </c>
      <c r="Q49" s="10">
        <f>[2]刘晓玲!Q$34</f>
        <v>0</v>
      </c>
      <c r="R49" s="10">
        <f>[2]刘晓玲!R$34</f>
        <v>3</v>
      </c>
      <c r="S49" s="10">
        <f>[2]刘晓玲!S$34</f>
        <v>1</v>
      </c>
      <c r="T49" s="10">
        <f>[2]刘晓玲!T$34</f>
        <v>36</v>
      </c>
      <c r="U49" s="10">
        <f>[2]刘晓玲!U$34</f>
        <v>0</v>
      </c>
      <c r="V49" s="8">
        <f>SUM(B50:T50,B52:M52)</f>
        <v>22310</v>
      </c>
      <c r="W49" s="8">
        <f>SUM(B50:M50,B52:M52)+R50+S50</f>
        <v>17726</v>
      </c>
      <c r="X49" s="8">
        <f>W49-168</f>
        <v>17558</v>
      </c>
      <c r="Y49" s="122">
        <f>IF(V49&lt;15000,X49*0.3,IF(V49&lt;20000,X49*0.35,IF(V49&lt;25000,X49*0.37,IF(V49&lt;30000,X49*0.39,X49*0.41))))</f>
        <v>6496.46</v>
      </c>
      <c r="Z49" s="123">
        <f>[2]刘晓玲!$V$36</f>
        <v>80</v>
      </c>
      <c r="AA49" s="63">
        <f>N53+O53+P53+Y49+Z49+Q53+T53</f>
        <v>8939.46</v>
      </c>
      <c r="AB49" s="8">
        <v>320.22</v>
      </c>
      <c r="AC49" s="5">
        <v>150</v>
      </c>
      <c r="AD49" s="137">
        <v>75.4</v>
      </c>
      <c r="AE49" s="125">
        <f>AA49-AB49-AC49-AD49</f>
        <v>8393.84</v>
      </c>
      <c r="AF49" s="69"/>
      <c r="AG49" s="31"/>
      <c r="AH49" s="144" t="e">
        <f>#REF!-AE49</f>
        <v>#REF!</v>
      </c>
    </row>
    <row r="50" ht="16.5" customHeight="1" spans="1:34">
      <c r="A50" s="14"/>
      <c r="B50" s="15">
        <f>B49*168</f>
        <v>7812</v>
      </c>
      <c r="C50" s="15">
        <f>C49*128</f>
        <v>0</v>
      </c>
      <c r="D50" s="15">
        <f>D49*228</f>
        <v>4674</v>
      </c>
      <c r="E50" s="15">
        <f>E49*168</f>
        <v>0</v>
      </c>
      <c r="F50" s="15">
        <f>F49*78</f>
        <v>0</v>
      </c>
      <c r="G50" s="15">
        <f>G49*68</f>
        <v>0</v>
      </c>
      <c r="H50" s="20">
        <f>H49*338</f>
        <v>338</v>
      </c>
      <c r="I50" s="15">
        <f t="shared" si="4"/>
        <v>2800</v>
      </c>
      <c r="J50" s="15">
        <f>J49*48</f>
        <v>0</v>
      </c>
      <c r="K50" s="42">
        <f>K49*95</f>
        <v>570</v>
      </c>
      <c r="L50" s="42">
        <f>L49*140</f>
        <v>0</v>
      </c>
      <c r="M50" s="38">
        <f>M49*572</f>
        <v>0</v>
      </c>
      <c r="N50" s="15">
        <f>N49*160</f>
        <v>160</v>
      </c>
      <c r="O50" s="15">
        <f>O49*120</f>
        <v>0</v>
      </c>
      <c r="P50" s="20">
        <f>P49*50</f>
        <v>500</v>
      </c>
      <c r="Q50" s="20">
        <f>Q49*140</f>
        <v>0</v>
      </c>
      <c r="R50" s="20">
        <f>R49*130</f>
        <v>390</v>
      </c>
      <c r="S50" s="20">
        <f>S49*205</f>
        <v>205</v>
      </c>
      <c r="T50" s="15">
        <f>T49*109</f>
        <v>3924</v>
      </c>
      <c r="U50" s="38">
        <f>U49*150</f>
        <v>0</v>
      </c>
      <c r="V50" s="118"/>
      <c r="W50" s="118"/>
      <c r="X50" s="118"/>
      <c r="Y50" s="126"/>
      <c r="Z50" s="127"/>
      <c r="AA50" s="128"/>
      <c r="AB50" s="118"/>
      <c r="AC50" s="9"/>
      <c r="AD50" s="138"/>
      <c r="AE50" s="129"/>
      <c r="AF50" s="74"/>
      <c r="AG50" s="31"/>
      <c r="AH50" s="145"/>
    </row>
    <row r="51" ht="16.5" customHeight="1" spans="1:34">
      <c r="A51" s="14"/>
      <c r="B51" s="99">
        <f>[2]刘晓玲!$X$34</f>
        <v>3</v>
      </c>
      <c r="C51" s="100"/>
      <c r="D51" s="99">
        <f>[2]刘晓玲!$Y$34</f>
        <v>1</v>
      </c>
      <c r="E51" s="100"/>
      <c r="F51" s="99">
        <f>[2]刘晓玲!$Z$34</f>
        <v>0</v>
      </c>
      <c r="G51" s="100"/>
      <c r="H51" s="26">
        <f>[2]刘晓玲!AA$34</f>
        <v>0</v>
      </c>
      <c r="I51" s="26">
        <f>[2]刘晓玲!AB$34</f>
        <v>5</v>
      </c>
      <c r="J51" s="26">
        <f>[2]刘晓玲!AC$34</f>
        <v>0</v>
      </c>
      <c r="K51" s="26">
        <f>[2]刘晓玲!AD$34</f>
        <v>0</v>
      </c>
      <c r="L51" s="26">
        <f>[2]刘晓玲!AE$34</f>
        <v>0</v>
      </c>
      <c r="M51" s="26">
        <f>[2]刘晓玲!AF$34</f>
        <v>0</v>
      </c>
      <c r="N51" s="13"/>
      <c r="O51" s="13"/>
      <c r="P51" s="26"/>
      <c r="Q51" s="26"/>
      <c r="R51" s="26"/>
      <c r="S51" s="26"/>
      <c r="T51" s="119"/>
      <c r="U51" s="119"/>
      <c r="V51" s="118"/>
      <c r="W51" s="118"/>
      <c r="X51" s="118"/>
      <c r="Y51" s="126"/>
      <c r="Z51" s="127"/>
      <c r="AA51" s="128"/>
      <c r="AB51" s="118"/>
      <c r="AC51" s="9"/>
      <c r="AD51" s="138"/>
      <c r="AE51" s="129"/>
      <c r="AF51" s="74"/>
      <c r="AG51" s="31"/>
      <c r="AH51" s="145"/>
    </row>
    <row r="52" ht="16.5" customHeight="1" spans="1:34">
      <c r="A52" s="14"/>
      <c r="B52" s="102">
        <f>B51*159</f>
        <v>477</v>
      </c>
      <c r="C52" s="103"/>
      <c r="D52" s="102">
        <f>D51*210</f>
        <v>210</v>
      </c>
      <c r="E52" s="103"/>
      <c r="F52" s="102">
        <f>F51*71</f>
        <v>0</v>
      </c>
      <c r="G52" s="103"/>
      <c r="H52" s="15">
        <f>H51*311.5</f>
        <v>0</v>
      </c>
      <c r="I52" s="15">
        <f t="shared" si="4"/>
        <v>250</v>
      </c>
      <c r="J52" s="15">
        <f>J816</f>
        <v>0</v>
      </c>
      <c r="K52" s="15">
        <f>K51*86</f>
        <v>0</v>
      </c>
      <c r="L52" s="15">
        <f>L51*129</f>
        <v>0</v>
      </c>
      <c r="M52" s="15">
        <f>M7575</f>
        <v>0</v>
      </c>
      <c r="N52" s="15"/>
      <c r="O52" s="15"/>
      <c r="P52" s="20"/>
      <c r="Q52" s="20"/>
      <c r="R52" s="20"/>
      <c r="S52" s="20"/>
      <c r="T52" s="38"/>
      <c r="U52" s="38"/>
      <c r="V52" s="118"/>
      <c r="W52" s="118"/>
      <c r="X52" s="118"/>
      <c r="Y52" s="126"/>
      <c r="Z52" s="127"/>
      <c r="AA52" s="128"/>
      <c r="AB52" s="118"/>
      <c r="AC52" s="9"/>
      <c r="AD52" s="138"/>
      <c r="AE52" s="129"/>
      <c r="AF52" s="74"/>
      <c r="AG52" s="31"/>
      <c r="AH52" s="145"/>
    </row>
    <row r="53" ht="16.5" customHeight="1" spans="1:34">
      <c r="A53" s="16"/>
      <c r="B53" s="17" t="s">
        <v>34</v>
      </c>
      <c r="C53" s="21"/>
      <c r="D53" s="21"/>
      <c r="E53" s="21"/>
      <c r="F53" s="21"/>
      <c r="G53" s="21"/>
      <c r="H53" s="19"/>
      <c r="I53" s="21"/>
      <c r="J53" s="21"/>
      <c r="K53" s="41"/>
      <c r="L53" s="41"/>
      <c r="M53" s="19"/>
      <c r="N53" s="41">
        <f>N49*53</f>
        <v>53</v>
      </c>
      <c r="O53" s="41">
        <f>O49*48</f>
        <v>0</v>
      </c>
      <c r="P53" s="19">
        <f>P49*15</f>
        <v>150</v>
      </c>
      <c r="Q53" s="19">
        <f>Q49*65</f>
        <v>0</v>
      </c>
      <c r="R53" s="19"/>
      <c r="S53" s="19"/>
      <c r="T53" s="19">
        <f>T49*60</f>
        <v>2160</v>
      </c>
      <c r="U53" s="19"/>
      <c r="V53" s="11"/>
      <c r="W53" s="11"/>
      <c r="X53" s="11"/>
      <c r="Y53" s="130"/>
      <c r="Z53" s="131"/>
      <c r="AA53" s="64"/>
      <c r="AB53" s="11"/>
      <c r="AC53" s="35"/>
      <c r="AD53" s="139"/>
      <c r="AE53" s="133"/>
      <c r="AF53" s="79"/>
      <c r="AG53" s="31"/>
      <c r="AH53" s="146"/>
    </row>
    <row r="54" ht="16.5" customHeight="1" spans="1:34">
      <c r="A54" s="12" t="s">
        <v>45</v>
      </c>
      <c r="B54" s="10">
        <f>[2]李拥华!B$34</f>
        <v>27</v>
      </c>
      <c r="C54" s="10">
        <f>[2]李拥华!C$34</f>
        <v>0</v>
      </c>
      <c r="D54" s="10">
        <f>[2]李拥华!D$34</f>
        <v>10.5</v>
      </c>
      <c r="E54" s="10">
        <f>[2]李拥华!E$34</f>
        <v>0</v>
      </c>
      <c r="F54" s="10">
        <f>[2]李拥华!F$34</f>
        <v>0</v>
      </c>
      <c r="G54" s="10">
        <f>[2]李拥华!G$34</f>
        <v>0</v>
      </c>
      <c r="H54" s="10">
        <f>[2]李拥华!H$34</f>
        <v>0</v>
      </c>
      <c r="I54" s="10">
        <f>[2]李拥华!I$34</f>
        <v>78</v>
      </c>
      <c r="J54" s="10">
        <f>[2]李拥华!J$34</f>
        <v>4</v>
      </c>
      <c r="K54" s="10">
        <f>[2]李拥华!K$34</f>
        <v>9</v>
      </c>
      <c r="L54" s="10">
        <f>[2]李拥华!L$34</f>
        <v>0</v>
      </c>
      <c r="M54" s="10">
        <f>[2]李拥华!M$34</f>
        <v>0</v>
      </c>
      <c r="N54" s="10">
        <f>[2]李拥华!N$34</f>
        <v>0</v>
      </c>
      <c r="O54" s="10">
        <f>[2]李拥华!O$34</f>
        <v>0</v>
      </c>
      <c r="P54" s="10">
        <f>[2]李拥华!P$34</f>
        <v>4</v>
      </c>
      <c r="Q54" s="10">
        <f>[2]李拥华!Q$34</f>
        <v>0</v>
      </c>
      <c r="R54" s="10">
        <f>[2]李拥华!R$34</f>
        <v>3</v>
      </c>
      <c r="S54" s="10">
        <f>[2]李拥华!S$34</f>
        <v>0</v>
      </c>
      <c r="T54" s="10">
        <f>[2]李拥华!T$34</f>
        <v>27</v>
      </c>
      <c r="U54" s="10">
        <f>[2]李拥华!U$34</f>
        <v>0</v>
      </c>
      <c r="V54" s="8">
        <f>SUM(B55:T55,B57:M57)</f>
        <v>15410</v>
      </c>
      <c r="W54" s="8">
        <f>SUM(B55:M55,B57:M57)+R55+S55</f>
        <v>12267</v>
      </c>
      <c r="X54" s="8">
        <f>W54-168</f>
        <v>12099</v>
      </c>
      <c r="Y54" s="122">
        <f>IF(V54&lt;15000,X54*0.3,IF(V54&lt;20000,X54*0.35,IF(V54&lt;25000,X54*0.37,IF(V54&lt;30000,X54*0.39,X54*0.41))))</f>
        <v>4234.65</v>
      </c>
      <c r="Z54" s="123">
        <f>[2]李拥华!$V$36</f>
        <v>180</v>
      </c>
      <c r="AA54" s="63">
        <f>N58+O58+P58+Y54+Z54+Q58+T58</f>
        <v>6094.65</v>
      </c>
      <c r="AB54" s="8">
        <v>417.34</v>
      </c>
      <c r="AC54" s="5">
        <v>400</v>
      </c>
      <c r="AD54" s="137">
        <v>250</v>
      </c>
      <c r="AE54" s="125">
        <f>AA54-AB54-AC54-AD54</f>
        <v>5027.31</v>
      </c>
      <c r="AF54" s="69"/>
      <c r="AG54" s="31"/>
      <c r="AH54" s="144" t="e">
        <f>#REF!-AE54</f>
        <v>#REF!</v>
      </c>
    </row>
    <row r="55" ht="16.5" customHeight="1" spans="1:34">
      <c r="A55" s="14"/>
      <c r="B55" s="15">
        <f>B54*168</f>
        <v>4536</v>
      </c>
      <c r="C55" s="15">
        <f>C54*128</f>
        <v>0</v>
      </c>
      <c r="D55" s="15">
        <f>D54*228</f>
        <v>2394</v>
      </c>
      <c r="E55" s="15">
        <f>E54*168</f>
        <v>0</v>
      </c>
      <c r="F55" s="15">
        <f>F54*78</f>
        <v>0</v>
      </c>
      <c r="G55" s="15">
        <f>G54*68</f>
        <v>0</v>
      </c>
      <c r="H55" s="20">
        <f>H54*338</f>
        <v>0</v>
      </c>
      <c r="I55" s="15">
        <f>I54*50</f>
        <v>3900</v>
      </c>
      <c r="J55" s="15">
        <f>J54*48</f>
        <v>192</v>
      </c>
      <c r="K55" s="42">
        <f>K54*95</f>
        <v>855</v>
      </c>
      <c r="L55" s="42">
        <f>L54*140</f>
        <v>0</v>
      </c>
      <c r="M55" s="38">
        <f>M54*572</f>
        <v>0</v>
      </c>
      <c r="N55" s="15">
        <f>N54*160</f>
        <v>0</v>
      </c>
      <c r="O55" s="15">
        <f>O54*120</f>
        <v>0</v>
      </c>
      <c r="P55" s="20">
        <f>P54*50</f>
        <v>200</v>
      </c>
      <c r="Q55" s="20">
        <f>Q54*160</f>
        <v>0</v>
      </c>
      <c r="R55" s="20">
        <f>R54*130</f>
        <v>390</v>
      </c>
      <c r="S55" s="20">
        <f>S54*205</f>
        <v>0</v>
      </c>
      <c r="T55" s="15">
        <f>T54*109</f>
        <v>2943</v>
      </c>
      <c r="U55" s="38">
        <f>U54*150</f>
        <v>0</v>
      </c>
      <c r="V55" s="118"/>
      <c r="W55" s="118"/>
      <c r="X55" s="118"/>
      <c r="Y55" s="126"/>
      <c r="Z55" s="127"/>
      <c r="AA55" s="128"/>
      <c r="AB55" s="118"/>
      <c r="AC55" s="9"/>
      <c r="AD55" s="138"/>
      <c r="AE55" s="129"/>
      <c r="AF55" s="74"/>
      <c r="AG55" s="31"/>
      <c r="AH55" s="145"/>
    </row>
    <row r="56" ht="16.5" customHeight="1" spans="1:34">
      <c r="A56" s="14"/>
      <c r="B56" s="99">
        <f>[2]李拥华!$X$34</f>
        <v>0</v>
      </c>
      <c r="C56" s="100"/>
      <c r="D56" s="99">
        <f>[2]李拥华!$Y$34</f>
        <v>0</v>
      </c>
      <c r="E56" s="100"/>
      <c r="F56" s="99">
        <f>[2]李拥华!$Z$34</f>
        <v>0</v>
      </c>
      <c r="G56" s="100"/>
      <c r="H56" s="26">
        <f>[2]李拥华!AA$34</f>
        <v>0</v>
      </c>
      <c r="I56" s="26">
        <f>[2]李拥华!AB$34</f>
        <v>0</v>
      </c>
      <c r="J56" s="26">
        <f>[2]李拥华!AC$34</f>
        <v>0</v>
      </c>
      <c r="K56" s="26">
        <f>[2]李拥华!AD$34</f>
        <v>0</v>
      </c>
      <c r="L56" s="26">
        <f>[2]李拥华!AE$34</f>
        <v>0</v>
      </c>
      <c r="M56" s="26">
        <f>[2]李拥华!AF$34</f>
        <v>0</v>
      </c>
      <c r="N56" s="13"/>
      <c r="O56" s="13"/>
      <c r="P56" s="26"/>
      <c r="Q56" s="26"/>
      <c r="R56" s="26"/>
      <c r="S56" s="26"/>
      <c r="T56" s="119"/>
      <c r="U56" s="119"/>
      <c r="V56" s="118"/>
      <c r="W56" s="118"/>
      <c r="X56" s="118"/>
      <c r="Y56" s="126"/>
      <c r="Z56" s="127"/>
      <c r="AA56" s="128"/>
      <c r="AB56" s="118"/>
      <c r="AC56" s="9"/>
      <c r="AD56" s="138"/>
      <c r="AE56" s="129"/>
      <c r="AF56" s="74"/>
      <c r="AG56" s="31"/>
      <c r="AH56" s="145"/>
    </row>
    <row r="57" ht="16.5" customHeight="1" spans="1:34">
      <c r="A57" s="14"/>
      <c r="B57" s="102">
        <f>B56*159</f>
        <v>0</v>
      </c>
      <c r="C57" s="103"/>
      <c r="D57" s="102">
        <f>D56*210</f>
        <v>0</v>
      </c>
      <c r="E57" s="103"/>
      <c r="F57" s="102">
        <f>F56*71</f>
        <v>0</v>
      </c>
      <c r="G57" s="103"/>
      <c r="H57" s="15">
        <f>H56*311.5</f>
        <v>0</v>
      </c>
      <c r="I57" s="15">
        <f t="shared" ref="I57:I62" si="6">I56*50</f>
        <v>0</v>
      </c>
      <c r="J57" s="15">
        <f>J821</f>
        <v>0</v>
      </c>
      <c r="K57" s="15">
        <f>K56*86</f>
        <v>0</v>
      </c>
      <c r="L57" s="15">
        <f>L56*129</f>
        <v>0</v>
      </c>
      <c r="M57" s="15">
        <f>M7580</f>
        <v>0</v>
      </c>
      <c r="N57" s="15"/>
      <c r="O57" s="15"/>
      <c r="P57" s="20"/>
      <c r="Q57" s="20"/>
      <c r="R57" s="20"/>
      <c r="S57" s="20"/>
      <c r="T57" s="38"/>
      <c r="U57" s="38"/>
      <c r="V57" s="118"/>
      <c r="W57" s="118"/>
      <c r="X57" s="118"/>
      <c r="Y57" s="126"/>
      <c r="Z57" s="127"/>
      <c r="AA57" s="128"/>
      <c r="AB57" s="118"/>
      <c r="AC57" s="9"/>
      <c r="AD57" s="138"/>
      <c r="AE57" s="129"/>
      <c r="AF57" s="74"/>
      <c r="AG57" s="31"/>
      <c r="AH57" s="145"/>
    </row>
    <row r="58" ht="16.5" customHeight="1" spans="1:34">
      <c r="A58" s="16"/>
      <c r="B58" s="17" t="s">
        <v>34</v>
      </c>
      <c r="C58" s="21"/>
      <c r="D58" s="21"/>
      <c r="E58" s="21"/>
      <c r="F58" s="21"/>
      <c r="G58" s="21"/>
      <c r="H58" s="19"/>
      <c r="I58" s="21"/>
      <c r="J58" s="21"/>
      <c r="K58" s="41"/>
      <c r="L58" s="41"/>
      <c r="M58" s="19"/>
      <c r="N58" s="41">
        <f>N54*53</f>
        <v>0</v>
      </c>
      <c r="O58" s="41">
        <f>O54*48</f>
        <v>0</v>
      </c>
      <c r="P58" s="19">
        <f>P54*15</f>
        <v>60</v>
      </c>
      <c r="Q58" s="19">
        <f>Q54*65</f>
        <v>0</v>
      </c>
      <c r="R58" s="19"/>
      <c r="S58" s="19"/>
      <c r="T58" s="19">
        <f>T54*60</f>
        <v>1620</v>
      </c>
      <c r="U58" s="19"/>
      <c r="V58" s="11"/>
      <c r="W58" s="11"/>
      <c r="X58" s="11"/>
      <c r="Y58" s="130"/>
      <c r="Z58" s="131"/>
      <c r="AA58" s="64"/>
      <c r="AB58" s="11"/>
      <c r="AC58" s="35"/>
      <c r="AD58" s="139"/>
      <c r="AE58" s="133"/>
      <c r="AF58" s="79"/>
      <c r="AG58" s="31"/>
      <c r="AH58" s="146"/>
    </row>
    <row r="59" ht="16.5" customHeight="1" spans="1:34">
      <c r="A59" s="12" t="s">
        <v>46</v>
      </c>
      <c r="B59" s="10">
        <f>[2]彭凤英!B$34</f>
        <v>38</v>
      </c>
      <c r="C59" s="10">
        <f>[2]彭凤英!C$34</f>
        <v>0</v>
      </c>
      <c r="D59" s="10">
        <f>[2]彭凤英!D$34</f>
        <v>26</v>
      </c>
      <c r="E59" s="10">
        <f>[2]彭凤英!E$34</f>
        <v>0</v>
      </c>
      <c r="F59" s="10">
        <f>[2]彭凤英!F$34</f>
        <v>0</v>
      </c>
      <c r="G59" s="10">
        <f>[2]彭凤英!G$34</f>
        <v>0</v>
      </c>
      <c r="H59" s="10">
        <f>[2]彭凤英!H$34</f>
        <v>3</v>
      </c>
      <c r="I59" s="10">
        <f>[2]彭凤英!I$34</f>
        <v>98</v>
      </c>
      <c r="J59" s="10">
        <f>[2]彭凤英!J$34</f>
        <v>1</v>
      </c>
      <c r="K59" s="10">
        <f>[2]彭凤英!K$34</f>
        <v>7</v>
      </c>
      <c r="L59" s="10">
        <f>[2]彭凤英!L$34</f>
        <v>0</v>
      </c>
      <c r="M59" s="10">
        <f>[2]彭凤英!M$34</f>
        <v>0</v>
      </c>
      <c r="N59" s="10">
        <f>[2]彭凤英!N$34</f>
        <v>0</v>
      </c>
      <c r="O59" s="10">
        <f>[2]彭凤英!O$34</f>
        <v>3</v>
      </c>
      <c r="P59" s="10">
        <f>[2]彭凤英!P$34</f>
        <v>15</v>
      </c>
      <c r="Q59" s="10">
        <f>[2]彭凤英!Q$34</f>
        <v>0</v>
      </c>
      <c r="R59" s="10">
        <f>[2]彭凤英!R$34</f>
        <v>2</v>
      </c>
      <c r="S59" s="10">
        <f>[2]彭凤英!S$34</f>
        <v>0</v>
      </c>
      <c r="T59" s="10">
        <f>[2]彭凤英!T$34</f>
        <v>9</v>
      </c>
      <c r="U59" s="10">
        <f>[2]彭凤英!U$34</f>
        <v>0</v>
      </c>
      <c r="V59" s="8">
        <f>SUM(B60:T60,B62:M62)</f>
        <v>21376</v>
      </c>
      <c r="W59" s="8">
        <f>SUM(B60:M60,B62:M62)+R60+S60</f>
        <v>19285</v>
      </c>
      <c r="X59" s="8">
        <f>W59-168</f>
        <v>19117</v>
      </c>
      <c r="Y59" s="122">
        <f>IF(V59&lt;15000,X59*0.3,IF(V59&lt;20000,X59*0.35,IF(V59&lt;25000,X59*0.37,IF(V59&lt;30000,X59*0.39,X59*0.41))))</f>
        <v>7073.29</v>
      </c>
      <c r="Z59" s="123">
        <f>[2]彭凤英!$V$36</f>
        <v>140</v>
      </c>
      <c r="AA59" s="63">
        <f>N63+O63+P63+Y59+Z59+Q63+T63</f>
        <v>8122.29</v>
      </c>
      <c r="AB59" s="8">
        <v>320.22</v>
      </c>
      <c r="AC59" s="5">
        <v>150</v>
      </c>
      <c r="AD59" s="137">
        <v>75.4</v>
      </c>
      <c r="AE59" s="125">
        <f>AA59-AB59-AC59-AD59</f>
        <v>7576.67</v>
      </c>
      <c r="AF59" s="69"/>
      <c r="AG59" s="31"/>
      <c r="AH59" s="144" t="e">
        <f>#REF!-AE59</f>
        <v>#REF!</v>
      </c>
    </row>
    <row r="60" ht="16.5" customHeight="1" spans="1:34">
      <c r="A60" s="14"/>
      <c r="B60" s="15">
        <f>B59*168</f>
        <v>6384</v>
      </c>
      <c r="C60" s="15">
        <f>C59*128</f>
        <v>0</v>
      </c>
      <c r="D60" s="15">
        <f>D59*228</f>
        <v>5928</v>
      </c>
      <c r="E60" s="15">
        <f>E59*168</f>
        <v>0</v>
      </c>
      <c r="F60" s="15">
        <f>F59*78</f>
        <v>0</v>
      </c>
      <c r="G60" s="15">
        <f>G59*68</f>
        <v>0</v>
      </c>
      <c r="H60" s="20">
        <f>H59*338</f>
        <v>1014</v>
      </c>
      <c r="I60" s="15">
        <f t="shared" si="6"/>
        <v>4900</v>
      </c>
      <c r="J60" s="15">
        <f>J59*48</f>
        <v>48</v>
      </c>
      <c r="K60" s="42">
        <f>K59*95</f>
        <v>665</v>
      </c>
      <c r="L60" s="42">
        <f>L59*140</f>
        <v>0</v>
      </c>
      <c r="M60" s="38">
        <f>M59*572</f>
        <v>0</v>
      </c>
      <c r="N60" s="15">
        <f>N59*160</f>
        <v>0</v>
      </c>
      <c r="O60" s="15">
        <f>O59*120</f>
        <v>360</v>
      </c>
      <c r="P60" s="20">
        <f>P59*50</f>
        <v>750</v>
      </c>
      <c r="Q60" s="20">
        <f>Q59*160</f>
        <v>0</v>
      </c>
      <c r="R60" s="20">
        <f>R59*130</f>
        <v>260</v>
      </c>
      <c r="S60" s="20">
        <f>S59*205</f>
        <v>0</v>
      </c>
      <c r="T60" s="15">
        <f>T59*109</f>
        <v>981</v>
      </c>
      <c r="U60" s="38">
        <f>U59*150</f>
        <v>0</v>
      </c>
      <c r="V60" s="118"/>
      <c r="W60" s="118"/>
      <c r="X60" s="118"/>
      <c r="Y60" s="126"/>
      <c r="Z60" s="127"/>
      <c r="AA60" s="128"/>
      <c r="AB60" s="118"/>
      <c r="AC60" s="9"/>
      <c r="AD60" s="138"/>
      <c r="AE60" s="129"/>
      <c r="AF60" s="74"/>
      <c r="AG60" s="31"/>
      <c r="AH60" s="145"/>
    </row>
    <row r="61" ht="16.5" customHeight="1" spans="1:34">
      <c r="A61" s="14"/>
      <c r="B61" s="99">
        <f>[2]彭凤英!$X$34</f>
        <v>0</v>
      </c>
      <c r="C61" s="100"/>
      <c r="D61" s="99">
        <f>[2]彭凤英!$Y$34</f>
        <v>0</v>
      </c>
      <c r="E61" s="100"/>
      <c r="F61" s="108">
        <f>[2]彭凤英!$Z$34</f>
        <v>0</v>
      </c>
      <c r="G61" s="109"/>
      <c r="H61" s="26">
        <f>[2]彭凤英!AA$34</f>
        <v>0</v>
      </c>
      <c r="I61" s="26">
        <f>[2]彭凤英!AB$34</f>
        <v>0</v>
      </c>
      <c r="J61" s="26">
        <f>[2]彭凤英!AC$34</f>
        <v>0</v>
      </c>
      <c r="K61" s="26">
        <f>[2]彭凤英!AD$34</f>
        <v>1</v>
      </c>
      <c r="L61" s="26">
        <f>[2]彭凤英!AE$34</f>
        <v>0</v>
      </c>
      <c r="M61" s="26">
        <f>[2]彭凤英!AF$34</f>
        <v>0</v>
      </c>
      <c r="N61" s="13"/>
      <c r="O61" s="13"/>
      <c r="P61" s="26"/>
      <c r="Q61" s="26"/>
      <c r="R61" s="26"/>
      <c r="S61" s="26"/>
      <c r="T61" s="119"/>
      <c r="U61" s="119"/>
      <c r="V61" s="118"/>
      <c r="W61" s="118"/>
      <c r="X61" s="118"/>
      <c r="Y61" s="126"/>
      <c r="Z61" s="127"/>
      <c r="AA61" s="128"/>
      <c r="AB61" s="118"/>
      <c r="AC61" s="9"/>
      <c r="AD61" s="138"/>
      <c r="AE61" s="129"/>
      <c r="AF61" s="74"/>
      <c r="AG61" s="31"/>
      <c r="AH61" s="145"/>
    </row>
    <row r="62" ht="16.5" customHeight="1" spans="1:34">
      <c r="A62" s="14"/>
      <c r="B62" s="102">
        <f>B61*159</f>
        <v>0</v>
      </c>
      <c r="C62" s="103"/>
      <c r="D62" s="102">
        <f>D61*210</f>
        <v>0</v>
      </c>
      <c r="E62" s="103"/>
      <c r="F62" s="102">
        <f>F61*71</f>
        <v>0</v>
      </c>
      <c r="G62" s="103"/>
      <c r="H62" s="15">
        <f>H61*311.5</f>
        <v>0</v>
      </c>
      <c r="I62" s="15">
        <f t="shared" si="6"/>
        <v>0</v>
      </c>
      <c r="J62" s="15">
        <f>J826</f>
        <v>0</v>
      </c>
      <c r="K62" s="15">
        <f>K61*86</f>
        <v>86</v>
      </c>
      <c r="L62" s="15">
        <f>L61*129</f>
        <v>0</v>
      </c>
      <c r="M62" s="15">
        <f>M7585</f>
        <v>0</v>
      </c>
      <c r="N62" s="15"/>
      <c r="O62" s="15"/>
      <c r="P62" s="20"/>
      <c r="Q62" s="20"/>
      <c r="R62" s="20"/>
      <c r="S62" s="20"/>
      <c r="T62" s="38"/>
      <c r="U62" s="38"/>
      <c r="V62" s="118"/>
      <c r="W62" s="118"/>
      <c r="X62" s="118"/>
      <c r="Y62" s="126"/>
      <c r="Z62" s="127"/>
      <c r="AA62" s="128"/>
      <c r="AB62" s="118"/>
      <c r="AC62" s="9"/>
      <c r="AD62" s="138"/>
      <c r="AE62" s="129"/>
      <c r="AF62" s="74"/>
      <c r="AG62" s="31"/>
      <c r="AH62" s="145"/>
    </row>
    <row r="63" ht="16.5" customHeight="1" spans="1:34">
      <c r="A63" s="16"/>
      <c r="B63" s="17" t="s">
        <v>34</v>
      </c>
      <c r="C63" s="21"/>
      <c r="D63" s="21"/>
      <c r="E63" s="21"/>
      <c r="F63" s="110"/>
      <c r="G63" s="110"/>
      <c r="H63" s="19"/>
      <c r="I63" s="21"/>
      <c r="J63" s="21"/>
      <c r="K63" s="41"/>
      <c r="L63" s="41"/>
      <c r="M63" s="19"/>
      <c r="N63" s="41">
        <f>N59*53</f>
        <v>0</v>
      </c>
      <c r="O63" s="41">
        <f>O59*48</f>
        <v>144</v>
      </c>
      <c r="P63" s="19">
        <f>P59*15</f>
        <v>225</v>
      </c>
      <c r="Q63" s="19">
        <f>Q59*65</f>
        <v>0</v>
      </c>
      <c r="R63" s="19"/>
      <c r="S63" s="19"/>
      <c r="T63" s="19">
        <f>T59*60</f>
        <v>540</v>
      </c>
      <c r="U63" s="19"/>
      <c r="V63" s="11"/>
      <c r="W63" s="11"/>
      <c r="X63" s="11"/>
      <c r="Y63" s="130"/>
      <c r="Z63" s="131"/>
      <c r="AA63" s="64"/>
      <c r="AB63" s="11"/>
      <c r="AC63" s="35"/>
      <c r="AD63" s="139"/>
      <c r="AE63" s="133"/>
      <c r="AF63" s="79"/>
      <c r="AG63" s="31"/>
      <c r="AH63" s="146"/>
    </row>
    <row r="64" ht="16.5" customHeight="1" spans="1:34">
      <c r="A64" s="12" t="s">
        <v>47</v>
      </c>
      <c r="B64" s="10">
        <f>[2]甘金华!B$34</f>
        <v>37.5</v>
      </c>
      <c r="C64" s="10">
        <f>[2]甘金华!C$34</f>
        <v>0</v>
      </c>
      <c r="D64" s="10">
        <f>[2]甘金华!D$34</f>
        <v>0</v>
      </c>
      <c r="E64" s="10">
        <f>[2]甘金华!E$34</f>
        <v>0</v>
      </c>
      <c r="F64" s="10">
        <f>[2]甘金华!F$34</f>
        <v>0</v>
      </c>
      <c r="G64" s="10">
        <f>[2]甘金华!G$34</f>
        <v>0</v>
      </c>
      <c r="H64" s="10">
        <f>[2]甘金华!H$34</f>
        <v>0</v>
      </c>
      <c r="I64" s="10">
        <f>[2]甘金华!I$34</f>
        <v>25</v>
      </c>
      <c r="J64" s="10">
        <f>[2]甘金华!J$34</f>
        <v>2</v>
      </c>
      <c r="K64" s="10">
        <f>[2]甘金华!K$34</f>
        <v>23</v>
      </c>
      <c r="L64" s="10">
        <f>[2]甘金华!L$34</f>
        <v>0</v>
      </c>
      <c r="M64" s="10">
        <f>[2]甘金华!M$34</f>
        <v>0</v>
      </c>
      <c r="N64" s="10">
        <f>[2]甘金华!N$34</f>
        <v>0</v>
      </c>
      <c r="O64" s="10">
        <f>[2]甘金华!O$34</f>
        <v>3</v>
      </c>
      <c r="P64" s="10">
        <f>[2]甘金华!P$34</f>
        <v>5</v>
      </c>
      <c r="Q64" s="10">
        <f>[2]甘金华!Q$34</f>
        <v>0</v>
      </c>
      <c r="R64" s="10">
        <f>[2]甘金华!R$34</f>
        <v>6</v>
      </c>
      <c r="S64" s="10">
        <f>[2]甘金华!S$34</f>
        <v>0</v>
      </c>
      <c r="T64" s="10">
        <f>[2]甘金华!T$34</f>
        <v>15</v>
      </c>
      <c r="U64" s="10">
        <f>[2]甘金华!U$34</f>
        <v>0</v>
      </c>
      <c r="V64" s="8">
        <f>SUM(B65:T65,B67:M67)</f>
        <v>13028</v>
      </c>
      <c r="W64" s="8">
        <f>SUM(B65:M65,B67:M67)+R65+S65</f>
        <v>10783</v>
      </c>
      <c r="X64" s="8">
        <f>W64-168</f>
        <v>10615</v>
      </c>
      <c r="Y64" s="122">
        <f>IF(V64&lt;15000,X64*0.3,IF(V64&lt;20000,X64*0.35,IF(V64&lt;25000,X64*0.37,IF(V64&lt;30000,X64*0.39,X64*0.41))))</f>
        <v>3184.5</v>
      </c>
      <c r="Z64" s="123">
        <f>[2]甘金华!$V$36</f>
        <v>60</v>
      </c>
      <c r="AA64" s="63">
        <f>N68+O68+P68+Y64+Z64+Q68+T68</f>
        <v>4363.5</v>
      </c>
      <c r="AB64" s="8">
        <v>320.22</v>
      </c>
      <c r="AC64" s="5">
        <v>150</v>
      </c>
      <c r="AD64" s="137">
        <v>0</v>
      </c>
      <c r="AE64" s="125">
        <f>AA64-AB64-AC64-AD64</f>
        <v>3893.28</v>
      </c>
      <c r="AF64" s="69"/>
      <c r="AG64" s="31"/>
      <c r="AH64" s="144" t="e">
        <f>#REF!-AE64</f>
        <v>#REF!</v>
      </c>
    </row>
    <row r="65" ht="16.5" customHeight="1" spans="1:34">
      <c r="A65" s="14"/>
      <c r="B65" s="15">
        <f>B64*168</f>
        <v>6300</v>
      </c>
      <c r="C65" s="15">
        <f>C64*128</f>
        <v>0</v>
      </c>
      <c r="D65" s="15">
        <f>D64*228</f>
        <v>0</v>
      </c>
      <c r="E65" s="15">
        <f>E64*168</f>
        <v>0</v>
      </c>
      <c r="F65" s="15">
        <f>F64*78</f>
        <v>0</v>
      </c>
      <c r="G65" s="15">
        <f>G64*68</f>
        <v>0</v>
      </c>
      <c r="H65" s="20">
        <f>H64*338</f>
        <v>0</v>
      </c>
      <c r="I65" s="15">
        <f>I64*50</f>
        <v>1250</v>
      </c>
      <c r="J65" s="15">
        <f>J64*48</f>
        <v>96</v>
      </c>
      <c r="K65" s="42">
        <f>K64*95</f>
        <v>2185</v>
      </c>
      <c r="L65" s="42">
        <f>L64*140</f>
        <v>0</v>
      </c>
      <c r="M65" s="38">
        <f>M64*572</f>
        <v>0</v>
      </c>
      <c r="N65" s="15">
        <f>N64*160</f>
        <v>0</v>
      </c>
      <c r="O65" s="15">
        <f>O64*120</f>
        <v>360</v>
      </c>
      <c r="P65" s="20">
        <f>P64*50</f>
        <v>250</v>
      </c>
      <c r="Q65" s="20">
        <f>Q64*140</f>
        <v>0</v>
      </c>
      <c r="R65" s="20">
        <f>R64*130</f>
        <v>780</v>
      </c>
      <c r="S65" s="20"/>
      <c r="T65" s="15">
        <f>T64*109</f>
        <v>1635</v>
      </c>
      <c r="U65" s="38">
        <f>U64*150</f>
        <v>0</v>
      </c>
      <c r="V65" s="118"/>
      <c r="W65" s="118"/>
      <c r="X65" s="118"/>
      <c r="Y65" s="126"/>
      <c r="Z65" s="127"/>
      <c r="AA65" s="128"/>
      <c r="AB65" s="118"/>
      <c r="AC65" s="9"/>
      <c r="AD65" s="138"/>
      <c r="AE65" s="129"/>
      <c r="AF65" s="74"/>
      <c r="AG65" s="31"/>
      <c r="AH65" s="145"/>
    </row>
    <row r="66" ht="16.5" customHeight="1" spans="1:34">
      <c r="A66" s="14"/>
      <c r="B66" s="99">
        <f>[2]甘金华!$X$34</f>
        <v>0</v>
      </c>
      <c r="C66" s="100"/>
      <c r="D66" s="99">
        <f>[2]甘金华!$Y$34</f>
        <v>0</v>
      </c>
      <c r="E66" s="100"/>
      <c r="F66" s="99">
        <f>[2]甘金华!$Z$34</f>
        <v>0</v>
      </c>
      <c r="G66" s="100"/>
      <c r="H66" s="26">
        <f>[2]甘金华!AA$34</f>
        <v>0</v>
      </c>
      <c r="I66" s="26">
        <f>[2]甘金华!AB$34</f>
        <v>0</v>
      </c>
      <c r="J66" s="26">
        <f>[2]甘金华!AC$34</f>
        <v>0</v>
      </c>
      <c r="K66" s="26">
        <f>[2]甘金华!AD$34</f>
        <v>2</v>
      </c>
      <c r="L66" s="26">
        <f>[2]甘金华!AE$34</f>
        <v>0</v>
      </c>
      <c r="M66" s="26">
        <f>[2]甘金华!AF$34</f>
        <v>0</v>
      </c>
      <c r="N66" s="13"/>
      <c r="O66" s="13"/>
      <c r="P66" s="26"/>
      <c r="Q66" s="26"/>
      <c r="R66" s="26"/>
      <c r="S66" s="26"/>
      <c r="T66" s="119"/>
      <c r="U66" s="119"/>
      <c r="V66" s="118"/>
      <c r="W66" s="118"/>
      <c r="X66" s="118"/>
      <c r="Y66" s="126"/>
      <c r="Z66" s="127"/>
      <c r="AA66" s="128"/>
      <c r="AB66" s="118"/>
      <c r="AC66" s="9"/>
      <c r="AD66" s="138"/>
      <c r="AE66" s="129"/>
      <c r="AF66" s="74"/>
      <c r="AG66" s="31"/>
      <c r="AH66" s="145"/>
    </row>
    <row r="67" ht="16.5" customHeight="1" spans="1:34">
      <c r="A67" s="14"/>
      <c r="B67" s="102">
        <f>B66*159</f>
        <v>0</v>
      </c>
      <c r="C67" s="103"/>
      <c r="D67" s="102">
        <f>D66*210</f>
        <v>0</v>
      </c>
      <c r="E67" s="103"/>
      <c r="F67" s="102">
        <f>F66*71</f>
        <v>0</v>
      </c>
      <c r="G67" s="103"/>
      <c r="H67" s="15">
        <f>H66*311.5</f>
        <v>0</v>
      </c>
      <c r="I67" s="15">
        <f t="shared" ref="I67:I72" si="7">I66*50</f>
        <v>0</v>
      </c>
      <c r="J67" s="15">
        <f>J831</f>
        <v>0</v>
      </c>
      <c r="K67" s="15">
        <f>K66*86</f>
        <v>172</v>
      </c>
      <c r="L67" s="15">
        <f>L66*129</f>
        <v>0</v>
      </c>
      <c r="M67" s="15">
        <f>M7590</f>
        <v>0</v>
      </c>
      <c r="N67" s="15"/>
      <c r="O67" s="15"/>
      <c r="P67" s="20"/>
      <c r="Q67" s="20"/>
      <c r="R67" s="20"/>
      <c r="S67" s="20"/>
      <c r="T67" s="38"/>
      <c r="U67" s="38"/>
      <c r="V67" s="118"/>
      <c r="W67" s="118"/>
      <c r="X67" s="118"/>
      <c r="Y67" s="126"/>
      <c r="Z67" s="127"/>
      <c r="AA67" s="128"/>
      <c r="AB67" s="118"/>
      <c r="AC67" s="9"/>
      <c r="AD67" s="138"/>
      <c r="AE67" s="129"/>
      <c r="AF67" s="74"/>
      <c r="AG67" s="31"/>
      <c r="AH67" s="145"/>
    </row>
    <row r="68" ht="16.5" customHeight="1" spans="1:34">
      <c r="A68" s="16"/>
      <c r="B68" s="17" t="s">
        <v>34</v>
      </c>
      <c r="C68" s="21"/>
      <c r="D68" s="21"/>
      <c r="E68" s="21"/>
      <c r="F68" s="21"/>
      <c r="G68" s="21"/>
      <c r="H68" s="19"/>
      <c r="I68" s="21"/>
      <c r="J68" s="21"/>
      <c r="K68" s="41"/>
      <c r="L68" s="41"/>
      <c r="M68" s="19"/>
      <c r="N68" s="41">
        <f>N64*53</f>
        <v>0</v>
      </c>
      <c r="O68" s="41">
        <f>O64*48</f>
        <v>144</v>
      </c>
      <c r="P68" s="19">
        <f>P64*15</f>
        <v>75</v>
      </c>
      <c r="Q68" s="19">
        <f>Q64*65</f>
        <v>0</v>
      </c>
      <c r="R68" s="19"/>
      <c r="S68" s="19"/>
      <c r="T68" s="19">
        <f t="shared" ref="R68:T68" si="8">T64*60</f>
        <v>900</v>
      </c>
      <c r="U68" s="19"/>
      <c r="V68" s="11"/>
      <c r="W68" s="11"/>
      <c r="X68" s="11"/>
      <c r="Y68" s="130"/>
      <c r="Z68" s="131"/>
      <c r="AA68" s="64"/>
      <c r="AB68" s="11"/>
      <c r="AC68" s="35"/>
      <c r="AD68" s="139"/>
      <c r="AE68" s="133"/>
      <c r="AF68" s="79"/>
      <c r="AG68" s="31"/>
      <c r="AH68" s="146"/>
    </row>
    <row r="69" ht="16.5" customHeight="1" spans="1:34">
      <c r="A69" s="12" t="s">
        <v>48</v>
      </c>
      <c r="B69" s="10">
        <f>[2]颜晓琴!B$34</f>
        <v>30.5</v>
      </c>
      <c r="C69" s="10">
        <f>[2]颜晓琴!C$34</f>
        <v>0</v>
      </c>
      <c r="D69" s="10">
        <f>[2]颜晓琴!D$34</f>
        <v>16</v>
      </c>
      <c r="E69" s="10">
        <f>[2]颜晓琴!E$34</f>
        <v>0</v>
      </c>
      <c r="F69" s="10">
        <f>[2]颜晓琴!F$34</f>
        <v>0</v>
      </c>
      <c r="G69" s="10">
        <f>[2]颜晓琴!G$34</f>
        <v>0</v>
      </c>
      <c r="H69" s="10">
        <f>[2]颜晓琴!H$34</f>
        <v>0</v>
      </c>
      <c r="I69" s="10">
        <f>[2]颜晓琴!I$34</f>
        <v>34</v>
      </c>
      <c r="J69" s="10">
        <f>[2]颜晓琴!J$34</f>
        <v>2</v>
      </c>
      <c r="K69" s="10">
        <f>[2]颜晓琴!K$34</f>
        <v>6</v>
      </c>
      <c r="L69" s="10">
        <f>[2]颜晓琴!L$34</f>
        <v>0</v>
      </c>
      <c r="M69" s="10">
        <f>[2]颜晓琴!M$34</f>
        <v>0</v>
      </c>
      <c r="N69" s="10">
        <f>[2]颜晓琴!N$34</f>
        <v>1</v>
      </c>
      <c r="O69" s="10">
        <f>[2]颜晓琴!O$34</f>
        <v>1</v>
      </c>
      <c r="P69" s="10">
        <f>[2]颜晓琴!P$34</f>
        <v>16</v>
      </c>
      <c r="Q69" s="10">
        <f>[2]颜晓琴!Q$34</f>
        <v>0</v>
      </c>
      <c r="R69" s="10">
        <f>[2]颜晓琴!R$34</f>
        <v>0</v>
      </c>
      <c r="S69" s="10">
        <f>[2]颜晓琴!S$34</f>
        <v>0</v>
      </c>
      <c r="T69" s="10">
        <f>[2]颜晓琴!T$34</f>
        <v>26</v>
      </c>
      <c r="U69" s="10">
        <f>[2]颜晓琴!U$34</f>
        <v>0</v>
      </c>
      <c r="V69" s="8">
        <f>SUM(B70:T70,B72:M72)</f>
        <v>15138</v>
      </c>
      <c r="W69" s="8">
        <f>SUM(B70:M70,B72:M72)+R70+S70</f>
        <v>11224</v>
      </c>
      <c r="X69" s="8">
        <f>W69-168</f>
        <v>11056</v>
      </c>
      <c r="Y69" s="122">
        <f>IF(V69&lt;15000,X69*0.3,IF(V69&lt;20000,X69*0.35,IF(V69&lt;25000,X69*0.37,IF(V69&lt;30000,X69*0.39,X69*0.41))))</f>
        <v>3869.6</v>
      </c>
      <c r="Z69" s="123">
        <f>[2]颜晓琴!$V$36</f>
        <v>0</v>
      </c>
      <c r="AA69" s="63">
        <f>N73+O73+P73+Y69+Z69+Q73+T73</f>
        <v>5770.6</v>
      </c>
      <c r="AB69" s="8">
        <v>320.22</v>
      </c>
      <c r="AC69" s="5">
        <v>150</v>
      </c>
      <c r="AD69" s="137">
        <v>75.4</v>
      </c>
      <c r="AE69" s="125">
        <f>AA69-AB69-AC69-AD69</f>
        <v>5224.98</v>
      </c>
      <c r="AF69" s="69"/>
      <c r="AG69" s="31"/>
      <c r="AH69" s="144" t="e">
        <f>#REF!-AE69</f>
        <v>#REF!</v>
      </c>
    </row>
    <row r="70" ht="16.5" customHeight="1" spans="1:34">
      <c r="A70" s="14"/>
      <c r="B70" s="15">
        <f>B69*168</f>
        <v>5124</v>
      </c>
      <c r="C70" s="15">
        <f>C69*128</f>
        <v>0</v>
      </c>
      <c r="D70" s="15">
        <f>D69*228</f>
        <v>3648</v>
      </c>
      <c r="E70" s="15">
        <f>E69*168</f>
        <v>0</v>
      </c>
      <c r="F70" s="15">
        <f>F69*78</f>
        <v>0</v>
      </c>
      <c r="G70" s="15">
        <f>G69*68</f>
        <v>0</v>
      </c>
      <c r="H70" s="20">
        <f>H69*338</f>
        <v>0</v>
      </c>
      <c r="I70" s="15">
        <f t="shared" si="7"/>
        <v>1700</v>
      </c>
      <c r="J70" s="15">
        <f>J69*48</f>
        <v>96</v>
      </c>
      <c r="K70" s="42">
        <f>K69*95</f>
        <v>570</v>
      </c>
      <c r="L70" s="42">
        <f>L69*140</f>
        <v>0</v>
      </c>
      <c r="M70" s="38">
        <f>M69*572</f>
        <v>0</v>
      </c>
      <c r="N70" s="15">
        <f>N69*160</f>
        <v>160</v>
      </c>
      <c r="O70" s="15">
        <f>O69*120</f>
        <v>120</v>
      </c>
      <c r="P70" s="20">
        <f>P69*50</f>
        <v>800</v>
      </c>
      <c r="Q70" s="20">
        <f>Q69*160</f>
        <v>0</v>
      </c>
      <c r="R70" s="20">
        <f>R69*130</f>
        <v>0</v>
      </c>
      <c r="S70" s="20">
        <f>S69*205</f>
        <v>0</v>
      </c>
      <c r="T70" s="15">
        <f>T69*109</f>
        <v>2834</v>
      </c>
      <c r="U70" s="38">
        <f>U69*150</f>
        <v>0</v>
      </c>
      <c r="V70" s="118"/>
      <c r="W70" s="118"/>
      <c r="X70" s="118"/>
      <c r="Y70" s="126"/>
      <c r="Z70" s="127"/>
      <c r="AA70" s="128"/>
      <c r="AB70" s="118"/>
      <c r="AC70" s="9"/>
      <c r="AD70" s="138"/>
      <c r="AE70" s="129"/>
      <c r="AF70" s="74"/>
      <c r="AG70" s="31"/>
      <c r="AH70" s="145"/>
    </row>
    <row r="71" ht="16.5" customHeight="1" spans="1:34">
      <c r="A71" s="14"/>
      <c r="B71" s="99">
        <f>[2]颜晓琴!$X$34</f>
        <v>0</v>
      </c>
      <c r="C71" s="100"/>
      <c r="D71" s="99">
        <f>[2]颜晓琴!$Y$34</f>
        <v>0</v>
      </c>
      <c r="E71" s="100"/>
      <c r="F71" s="99">
        <f>[2]颜晓琴!$Z$34</f>
        <v>0</v>
      </c>
      <c r="G71" s="100"/>
      <c r="H71" s="26">
        <f>[2]颜晓琴!AA$34</f>
        <v>0</v>
      </c>
      <c r="I71" s="26">
        <f>[2]颜晓琴!AB$34</f>
        <v>0</v>
      </c>
      <c r="J71" s="26">
        <f>[2]颜晓琴!AC$34</f>
        <v>0</v>
      </c>
      <c r="K71" s="26">
        <f>[2]颜晓琴!AD$34</f>
        <v>1</v>
      </c>
      <c r="L71" s="26">
        <f>[2]颜晓琴!AE$34</f>
        <v>0</v>
      </c>
      <c r="M71" s="26">
        <f>[2]颜晓琴!AF$34</f>
        <v>0</v>
      </c>
      <c r="N71" s="13"/>
      <c r="O71" s="13"/>
      <c r="P71" s="26"/>
      <c r="Q71" s="26"/>
      <c r="R71" s="26"/>
      <c r="S71" s="26"/>
      <c r="T71" s="119"/>
      <c r="U71" s="119"/>
      <c r="V71" s="118"/>
      <c r="W71" s="118"/>
      <c r="X71" s="118"/>
      <c r="Y71" s="126"/>
      <c r="Z71" s="127"/>
      <c r="AA71" s="128"/>
      <c r="AB71" s="118"/>
      <c r="AC71" s="9"/>
      <c r="AD71" s="138"/>
      <c r="AE71" s="129"/>
      <c r="AF71" s="74"/>
      <c r="AG71" s="31"/>
      <c r="AH71" s="145"/>
    </row>
    <row r="72" ht="16.5" customHeight="1" spans="1:34">
      <c r="A72" s="14"/>
      <c r="B72" s="102">
        <f>B71*159</f>
        <v>0</v>
      </c>
      <c r="C72" s="103"/>
      <c r="D72" s="102">
        <f>D71*210</f>
        <v>0</v>
      </c>
      <c r="E72" s="103"/>
      <c r="F72" s="102">
        <f>F71*71</f>
        <v>0</v>
      </c>
      <c r="G72" s="103"/>
      <c r="H72" s="15">
        <f>H71*311.5</f>
        <v>0</v>
      </c>
      <c r="I72" s="15">
        <f t="shared" si="7"/>
        <v>0</v>
      </c>
      <c r="J72" s="15">
        <f>J836</f>
        <v>0</v>
      </c>
      <c r="K72" s="15">
        <f>K71*86</f>
        <v>86</v>
      </c>
      <c r="L72" s="15">
        <f>L71*129</f>
        <v>0</v>
      </c>
      <c r="M72" s="15">
        <f>M7595</f>
        <v>0</v>
      </c>
      <c r="N72" s="15"/>
      <c r="O72" s="15"/>
      <c r="P72" s="20"/>
      <c r="Q72" s="20"/>
      <c r="R72" s="20"/>
      <c r="S72" s="20"/>
      <c r="T72" s="38"/>
      <c r="U72" s="38"/>
      <c r="V72" s="118"/>
      <c r="W72" s="118"/>
      <c r="X72" s="118"/>
      <c r="Y72" s="126"/>
      <c r="Z72" s="127"/>
      <c r="AA72" s="128"/>
      <c r="AB72" s="118"/>
      <c r="AC72" s="9"/>
      <c r="AD72" s="138"/>
      <c r="AE72" s="129"/>
      <c r="AF72" s="74"/>
      <c r="AG72" s="31"/>
      <c r="AH72" s="145"/>
    </row>
    <row r="73" ht="16.5" customHeight="1" spans="1:34">
      <c r="A73" s="16"/>
      <c r="B73" s="17" t="s">
        <v>34</v>
      </c>
      <c r="C73" s="21"/>
      <c r="D73" s="21"/>
      <c r="E73" s="21"/>
      <c r="F73" s="21"/>
      <c r="G73" s="21"/>
      <c r="H73" s="19"/>
      <c r="I73" s="21"/>
      <c r="J73" s="21"/>
      <c r="K73" s="41"/>
      <c r="L73" s="41"/>
      <c r="M73" s="19"/>
      <c r="N73" s="41">
        <f>N69*53</f>
        <v>53</v>
      </c>
      <c r="O73" s="41">
        <f>O69*48</f>
        <v>48</v>
      </c>
      <c r="P73" s="19">
        <f>P69*15</f>
        <v>240</v>
      </c>
      <c r="Q73" s="19">
        <f>Q69*65</f>
        <v>0</v>
      </c>
      <c r="R73" s="19"/>
      <c r="S73" s="19"/>
      <c r="T73" s="19">
        <f>T69*60</f>
        <v>1560</v>
      </c>
      <c r="U73" s="19"/>
      <c r="V73" s="11"/>
      <c r="W73" s="11"/>
      <c r="X73" s="11"/>
      <c r="Y73" s="130"/>
      <c r="Z73" s="131"/>
      <c r="AA73" s="64"/>
      <c r="AB73" s="11"/>
      <c r="AC73" s="35"/>
      <c r="AD73" s="139"/>
      <c r="AE73" s="133"/>
      <c r="AF73" s="79"/>
      <c r="AG73" s="31"/>
      <c r="AH73" s="146"/>
    </row>
    <row r="74" ht="18" hidden="1" customHeight="1" spans="1:34">
      <c r="A74" s="26" t="s">
        <v>49</v>
      </c>
      <c r="B74" s="27">
        <f>B6+B11+B16+B21+B26+B31+B36+B45+B50+B60+B55+B65+B70</f>
        <v>83748</v>
      </c>
      <c r="C74" s="27">
        <f t="shared" ref="C74:U74" si="9">C6+C11+C16+C21+C26+C31+C36+C45+C50+C60+C55+C65+C70</f>
        <v>0</v>
      </c>
      <c r="D74" s="27">
        <f t="shared" si="9"/>
        <v>36366</v>
      </c>
      <c r="E74" s="27">
        <f t="shared" si="9"/>
        <v>0</v>
      </c>
      <c r="F74" s="27">
        <f t="shared" si="9"/>
        <v>0</v>
      </c>
      <c r="G74" s="27">
        <f t="shared" si="9"/>
        <v>0</v>
      </c>
      <c r="H74" s="27">
        <f t="shared" si="9"/>
        <v>3380</v>
      </c>
      <c r="I74" s="27">
        <f t="shared" si="9"/>
        <v>35800</v>
      </c>
      <c r="J74" s="27">
        <f t="shared" si="9"/>
        <v>1104</v>
      </c>
      <c r="K74" s="27">
        <f t="shared" si="9"/>
        <v>14915</v>
      </c>
      <c r="L74" s="27">
        <f t="shared" si="9"/>
        <v>140</v>
      </c>
      <c r="M74" s="27">
        <f t="shared" si="9"/>
        <v>572</v>
      </c>
      <c r="N74" s="27">
        <f t="shared" si="9"/>
        <v>480</v>
      </c>
      <c r="O74" s="27">
        <f t="shared" si="9"/>
        <v>1680</v>
      </c>
      <c r="P74" s="27">
        <f t="shared" si="9"/>
        <v>6450</v>
      </c>
      <c r="Q74" s="27">
        <f t="shared" si="9"/>
        <v>0</v>
      </c>
      <c r="R74" s="27">
        <f t="shared" si="9"/>
        <v>3900</v>
      </c>
      <c r="S74" s="27">
        <f t="shared" si="9"/>
        <v>615</v>
      </c>
      <c r="T74" s="27">
        <f t="shared" si="9"/>
        <v>27250</v>
      </c>
      <c r="U74" s="27">
        <f t="shared" si="9"/>
        <v>0</v>
      </c>
      <c r="V74" s="62">
        <f>V5+V10+V15+V44+V49+V25+V20+V30+V35+V59+V54+V64+V69</f>
        <v>219010</v>
      </c>
      <c r="W74" s="62">
        <f t="shared" ref="V74:AF74" si="10">W5+W10+W15+W44+W49+W25+W20+W30+W35+W59+W54+W64+W69</f>
        <v>183150</v>
      </c>
      <c r="X74" s="62">
        <f t="shared" si="10"/>
        <v>180966</v>
      </c>
      <c r="Y74" s="62">
        <f t="shared" si="10"/>
        <v>63830.39</v>
      </c>
      <c r="Z74" s="62">
        <f t="shared" si="10"/>
        <v>1580</v>
      </c>
      <c r="AA74" s="62">
        <f t="shared" si="10"/>
        <v>83176.39</v>
      </c>
      <c r="AB74" s="148">
        <f t="shared" si="10"/>
        <v>3619.54</v>
      </c>
      <c r="AC74" s="62">
        <f t="shared" si="10"/>
        <v>1900</v>
      </c>
      <c r="AD74" s="62">
        <f t="shared" si="10"/>
        <v>627</v>
      </c>
      <c r="AE74" s="62">
        <f t="shared" si="10"/>
        <v>77029.85</v>
      </c>
      <c r="AF74" s="90"/>
      <c r="AG74" s="31"/>
      <c r="AH74" s="152" t="e">
        <f>AH5+AH10+AH15+AH44+AH49+AH25+AH20+AH30+AH35+AH59+AH54+AH64+#REF!+AH69</f>
        <v>#REF!</v>
      </c>
    </row>
    <row r="75" customHeight="1" spans="1:34">
      <c r="A75" s="28"/>
      <c r="B75" s="29"/>
      <c r="C75" s="29"/>
      <c r="D75" s="29"/>
      <c r="E75" s="29"/>
      <c r="F75" s="29"/>
      <c r="G75" s="29"/>
      <c r="H75" s="30"/>
      <c r="I75" s="29"/>
      <c r="J75" s="29"/>
      <c r="K75" s="30"/>
      <c r="L75" s="30"/>
      <c r="M75" s="54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28"/>
      <c r="Z75" s="149" t="s">
        <v>42</v>
      </c>
      <c r="AA75" s="149"/>
      <c r="AB75" s="149"/>
      <c r="AC75" s="149"/>
      <c r="AD75" s="149"/>
      <c r="AE75" s="149"/>
      <c r="AF75" s="149"/>
      <c r="AG75" s="31"/>
      <c r="AH75" s="142"/>
    </row>
    <row r="76" customHeight="1" spans="1:34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150"/>
      <c r="Z76" s="31"/>
      <c r="AA76" s="31"/>
      <c r="AB76" s="31"/>
      <c r="AC76" s="31"/>
      <c r="AD76" s="31"/>
      <c r="AE76" s="31"/>
      <c r="AF76" s="31"/>
      <c r="AG76" s="31"/>
      <c r="AH76" s="142"/>
    </row>
    <row r="77" ht="64" customHeight="1"/>
    <row r="78" ht="64" customHeight="1"/>
    <row r="81" s="2" customFormat="1" customHeight="1" spans="2:34">
      <c r="B81" s="32">
        <f>B5+B10+B15+B20+B25+B30+B35+B44+B49+B59+B54+B64+B69+B7+B12+B17+B22+B27+B32+B37+B46+B51+B56+B61+B66+B71</f>
        <v>504.5</v>
      </c>
      <c r="C81" s="32">
        <f>C5+C10+C15+C20+C25+C30+C35+C44+C49+C59+C54+C64+C69+C7+C12+C17+C22+C27+C32+C37</f>
        <v>0</v>
      </c>
      <c r="D81" s="32">
        <f>D5+D10+D15+D20+D25+D30+D35+D44+D49+D59+D54+D64+D69+D7+D12+D17+D22+D27+D32+D37+D46+D51+D56+D66+D71</f>
        <v>160.5</v>
      </c>
      <c r="E81" s="32">
        <f>E5+E10+E15+E20+E25+E30+E35+E44+E49+E54+E59+E64+E69</f>
        <v>0</v>
      </c>
      <c r="F81" s="32">
        <f>F5+F10+F15+F20+F25+F30+F35+F44+F49+F59+F54+F64+F69+F7+F12+F17+F22+F27+F32+F37+F46+F51+F56+F61+F66+F71</f>
        <v>0</v>
      </c>
      <c r="G81" s="32">
        <f>G5+G10+G15+G20+G25+G30+G35+G44+G49+G59+G54+G64+G69+G7+G12</f>
        <v>0</v>
      </c>
      <c r="H81" s="32">
        <f t="shared" ref="H81:M81" si="11">H5+H10+H15+H20+H25+H30+H35+H44+H49+H59+H54+H64+H69+H7+H12+H17+H22+H27+H32+H37+H46+H51+H56+H61+H66+H71</f>
        <v>10</v>
      </c>
      <c r="I81" s="32">
        <f t="shared" si="11"/>
        <v>726</v>
      </c>
      <c r="J81" s="32">
        <f t="shared" si="11"/>
        <v>23</v>
      </c>
      <c r="K81" s="32">
        <f t="shared" si="11"/>
        <v>168</v>
      </c>
      <c r="L81" s="32">
        <f t="shared" si="11"/>
        <v>1</v>
      </c>
      <c r="M81" s="32">
        <f t="shared" si="11"/>
        <v>1</v>
      </c>
      <c r="N81" s="32">
        <f>N5+N10+N15+N20+N25+N30+N35+N44+N49+N54+N59+N64+N69</f>
        <v>3</v>
      </c>
      <c r="O81" s="32">
        <f t="shared" ref="O81:T81" si="12">O5+O10+O15+O20+O25+O30+O35+O44+O49+O54+O59+O64+O69</f>
        <v>14</v>
      </c>
      <c r="P81" s="32">
        <f t="shared" si="12"/>
        <v>129</v>
      </c>
      <c r="Q81" s="2">
        <f t="shared" si="12"/>
        <v>0</v>
      </c>
      <c r="R81" s="32">
        <f t="shared" si="12"/>
        <v>30</v>
      </c>
      <c r="S81" s="32">
        <f t="shared" si="12"/>
        <v>3</v>
      </c>
      <c r="T81" s="32">
        <f t="shared" si="12"/>
        <v>250</v>
      </c>
      <c r="U81" s="2">
        <f>U5+U10+U15+U20+U25+U30+U35+U44+U49+U59+U54+U64+U69+U7+U12+U17+U22+U27+U32+U37</f>
        <v>0</v>
      </c>
      <c r="Y81" s="151"/>
      <c r="AH81" s="153"/>
    </row>
    <row r="82" customHeight="1" spans="2:2">
      <c r="B82" s="1" t="s">
        <v>50</v>
      </c>
    </row>
  </sheetData>
  <mergeCells count="299">
    <mergeCell ref="B3:C3"/>
    <mergeCell ref="D3:E3"/>
    <mergeCell ref="F3:G3"/>
    <mergeCell ref="B7:C7"/>
    <mergeCell ref="D7:E7"/>
    <mergeCell ref="F7:G7"/>
    <mergeCell ref="B8:C8"/>
    <mergeCell ref="D8:E8"/>
    <mergeCell ref="F8:G8"/>
    <mergeCell ref="B12:C12"/>
    <mergeCell ref="D12:E12"/>
    <mergeCell ref="F12:G12"/>
    <mergeCell ref="B13:C13"/>
    <mergeCell ref="D13:E13"/>
    <mergeCell ref="F13:G13"/>
    <mergeCell ref="B17:C17"/>
    <mergeCell ref="D17:E17"/>
    <mergeCell ref="F17:G17"/>
    <mergeCell ref="B18:C18"/>
    <mergeCell ref="D18:E18"/>
    <mergeCell ref="F18:G18"/>
    <mergeCell ref="B22:C22"/>
    <mergeCell ref="D22:E22"/>
    <mergeCell ref="F22:G22"/>
    <mergeCell ref="B23:C23"/>
    <mergeCell ref="D23:E23"/>
    <mergeCell ref="F23:G23"/>
    <mergeCell ref="B27:C27"/>
    <mergeCell ref="D27:E27"/>
    <mergeCell ref="F27:G27"/>
    <mergeCell ref="B28:C28"/>
    <mergeCell ref="D28:E28"/>
    <mergeCell ref="F28:G28"/>
    <mergeCell ref="B32:C32"/>
    <mergeCell ref="D32:E32"/>
    <mergeCell ref="F32:G32"/>
    <mergeCell ref="B33:C33"/>
    <mergeCell ref="D33:E33"/>
    <mergeCell ref="F33:G33"/>
    <mergeCell ref="B37:C37"/>
    <mergeCell ref="D37:E37"/>
    <mergeCell ref="F37:G37"/>
    <mergeCell ref="B38:C38"/>
    <mergeCell ref="D38:E38"/>
    <mergeCell ref="F38:G38"/>
    <mergeCell ref="Z40:AF40"/>
    <mergeCell ref="A41:AF41"/>
    <mergeCell ref="B42:C42"/>
    <mergeCell ref="D42:E42"/>
    <mergeCell ref="F42:G42"/>
    <mergeCell ref="B46:C46"/>
    <mergeCell ref="D46:E46"/>
    <mergeCell ref="F46:G46"/>
    <mergeCell ref="B47:C47"/>
    <mergeCell ref="D47:E47"/>
    <mergeCell ref="F47:G47"/>
    <mergeCell ref="B51:C51"/>
    <mergeCell ref="D51:E51"/>
    <mergeCell ref="F51:G51"/>
    <mergeCell ref="B52:C52"/>
    <mergeCell ref="D52:E52"/>
    <mergeCell ref="F52:G52"/>
    <mergeCell ref="B56:C56"/>
    <mergeCell ref="D56:E56"/>
    <mergeCell ref="F56:G56"/>
    <mergeCell ref="B57:C57"/>
    <mergeCell ref="D57:E57"/>
    <mergeCell ref="F57:G57"/>
    <mergeCell ref="B61:C61"/>
    <mergeCell ref="D61:E61"/>
    <mergeCell ref="F61:G61"/>
    <mergeCell ref="B62:C62"/>
    <mergeCell ref="D62:E62"/>
    <mergeCell ref="F62:G62"/>
    <mergeCell ref="B66:C66"/>
    <mergeCell ref="D66:E66"/>
    <mergeCell ref="F66:G66"/>
    <mergeCell ref="B67:C67"/>
    <mergeCell ref="D67:E67"/>
    <mergeCell ref="F67:G67"/>
    <mergeCell ref="B71:C71"/>
    <mergeCell ref="D71:E71"/>
    <mergeCell ref="F71:G71"/>
    <mergeCell ref="B72:C72"/>
    <mergeCell ref="D72:E72"/>
    <mergeCell ref="F72:G72"/>
    <mergeCell ref="Z75:AF75"/>
    <mergeCell ref="A3:A4"/>
    <mergeCell ref="A5:A9"/>
    <mergeCell ref="A10:A14"/>
    <mergeCell ref="A15:A19"/>
    <mergeCell ref="A20:A24"/>
    <mergeCell ref="A25:A29"/>
    <mergeCell ref="A30:A34"/>
    <mergeCell ref="A35:A39"/>
    <mergeCell ref="A42:A43"/>
    <mergeCell ref="A44:A48"/>
    <mergeCell ref="A49:A53"/>
    <mergeCell ref="A54:A58"/>
    <mergeCell ref="A59:A63"/>
    <mergeCell ref="A64:A68"/>
    <mergeCell ref="A69:A73"/>
    <mergeCell ref="H3:H4"/>
    <mergeCell ref="H42:H43"/>
    <mergeCell ref="I3:I4"/>
    <mergeCell ref="I42:I43"/>
    <mergeCell ref="J3:J4"/>
    <mergeCell ref="J42:J43"/>
    <mergeCell ref="K3:K4"/>
    <mergeCell ref="K42:K43"/>
    <mergeCell ref="L3:L4"/>
    <mergeCell ref="L42:L43"/>
    <mergeCell ref="M3:M4"/>
    <mergeCell ref="M42:M43"/>
    <mergeCell ref="N3:N4"/>
    <mergeCell ref="N42:N43"/>
    <mergeCell ref="O3:O4"/>
    <mergeCell ref="O42:O43"/>
    <mergeCell ref="P3:P4"/>
    <mergeCell ref="P42:P43"/>
    <mergeCell ref="Q3:Q4"/>
    <mergeCell ref="Q42:Q43"/>
    <mergeCell ref="R3:R4"/>
    <mergeCell ref="R42:R43"/>
    <mergeCell ref="S3:S4"/>
    <mergeCell ref="S42:S43"/>
    <mergeCell ref="T3:T4"/>
    <mergeCell ref="T42:T43"/>
    <mergeCell ref="U3:U4"/>
    <mergeCell ref="U42:U43"/>
    <mergeCell ref="V3:V4"/>
    <mergeCell ref="V5:V9"/>
    <mergeCell ref="V10:V14"/>
    <mergeCell ref="V15:V19"/>
    <mergeCell ref="V20:V24"/>
    <mergeCell ref="V25:V29"/>
    <mergeCell ref="V30:V34"/>
    <mergeCell ref="V35:V39"/>
    <mergeCell ref="V42:V43"/>
    <mergeCell ref="V44:V48"/>
    <mergeCell ref="V49:V53"/>
    <mergeCell ref="V54:V58"/>
    <mergeCell ref="V59:V63"/>
    <mergeCell ref="V64:V68"/>
    <mergeCell ref="V69:V73"/>
    <mergeCell ref="W3:W4"/>
    <mergeCell ref="W5:W9"/>
    <mergeCell ref="W10:W14"/>
    <mergeCell ref="W15:W19"/>
    <mergeCell ref="W20:W24"/>
    <mergeCell ref="W25:W29"/>
    <mergeCell ref="W30:W34"/>
    <mergeCell ref="W35:W39"/>
    <mergeCell ref="W42:W43"/>
    <mergeCell ref="W44:W48"/>
    <mergeCell ref="W49:W53"/>
    <mergeCell ref="W54:W58"/>
    <mergeCell ref="W59:W63"/>
    <mergeCell ref="W64:W68"/>
    <mergeCell ref="W69:W73"/>
    <mergeCell ref="X3:X4"/>
    <mergeCell ref="X5:X9"/>
    <mergeCell ref="X10:X14"/>
    <mergeCell ref="X15:X19"/>
    <mergeCell ref="X20:X24"/>
    <mergeCell ref="X25:X29"/>
    <mergeCell ref="X30:X34"/>
    <mergeCell ref="X35:X39"/>
    <mergeCell ref="X42:X43"/>
    <mergeCell ref="X44:X48"/>
    <mergeCell ref="X49:X53"/>
    <mergeCell ref="X54:X58"/>
    <mergeCell ref="X59:X63"/>
    <mergeCell ref="X64:X68"/>
    <mergeCell ref="X69:X73"/>
    <mergeCell ref="Y3:Y4"/>
    <mergeCell ref="Y5:Y9"/>
    <mergeCell ref="Y10:Y14"/>
    <mergeCell ref="Y15:Y19"/>
    <mergeCell ref="Y20:Y24"/>
    <mergeCell ref="Y25:Y29"/>
    <mergeCell ref="Y30:Y34"/>
    <mergeCell ref="Y35:Y39"/>
    <mergeCell ref="Y42:Y43"/>
    <mergeCell ref="Y44:Y48"/>
    <mergeCell ref="Y49:Y53"/>
    <mergeCell ref="Y54:Y58"/>
    <mergeCell ref="Y59:Y63"/>
    <mergeCell ref="Y64:Y68"/>
    <mergeCell ref="Y69:Y73"/>
    <mergeCell ref="Z3:Z4"/>
    <mergeCell ref="Z5:Z9"/>
    <mergeCell ref="Z10:Z14"/>
    <mergeCell ref="Z15:Z19"/>
    <mergeCell ref="Z20:Z24"/>
    <mergeCell ref="Z25:Z29"/>
    <mergeCell ref="Z30:Z34"/>
    <mergeCell ref="Z35:Z39"/>
    <mergeCell ref="Z42:Z43"/>
    <mergeCell ref="Z44:Z48"/>
    <mergeCell ref="Z49:Z53"/>
    <mergeCell ref="Z54:Z58"/>
    <mergeCell ref="Z59:Z63"/>
    <mergeCell ref="Z64:Z68"/>
    <mergeCell ref="Z69:Z73"/>
    <mergeCell ref="AA3:AA4"/>
    <mergeCell ref="AA5:AA9"/>
    <mergeCell ref="AA10:AA14"/>
    <mergeCell ref="AA15:AA19"/>
    <mergeCell ref="AA20:AA24"/>
    <mergeCell ref="AA25:AA29"/>
    <mergeCell ref="AA30:AA34"/>
    <mergeCell ref="AA35:AA39"/>
    <mergeCell ref="AA42:AA43"/>
    <mergeCell ref="AA44:AA48"/>
    <mergeCell ref="AA49:AA53"/>
    <mergeCell ref="AA54:AA58"/>
    <mergeCell ref="AA59:AA63"/>
    <mergeCell ref="AA64:AA68"/>
    <mergeCell ref="AA69:AA73"/>
    <mergeCell ref="AB3:AB4"/>
    <mergeCell ref="AB5:AB9"/>
    <mergeCell ref="AB10:AB14"/>
    <mergeCell ref="AB15:AB19"/>
    <mergeCell ref="AB20:AB24"/>
    <mergeCell ref="AB25:AB29"/>
    <mergeCell ref="AB30:AB34"/>
    <mergeCell ref="AB35:AB39"/>
    <mergeCell ref="AB42:AB43"/>
    <mergeCell ref="AB44:AB48"/>
    <mergeCell ref="AB49:AB53"/>
    <mergeCell ref="AB54:AB58"/>
    <mergeCell ref="AB59:AB63"/>
    <mergeCell ref="AB64:AB68"/>
    <mergeCell ref="AB69:AB73"/>
    <mergeCell ref="AC3:AC4"/>
    <mergeCell ref="AC5:AC9"/>
    <mergeCell ref="AC10:AC14"/>
    <mergeCell ref="AC15:AC19"/>
    <mergeCell ref="AC20:AC24"/>
    <mergeCell ref="AC25:AC29"/>
    <mergeCell ref="AC30:AC34"/>
    <mergeCell ref="AC35:AC39"/>
    <mergeCell ref="AC42:AC43"/>
    <mergeCell ref="AC44:AC48"/>
    <mergeCell ref="AC49:AC53"/>
    <mergeCell ref="AC54:AC58"/>
    <mergeCell ref="AC59:AC63"/>
    <mergeCell ref="AC64:AC68"/>
    <mergeCell ref="AC69:AC73"/>
    <mergeCell ref="AD3:AD4"/>
    <mergeCell ref="AD5:AD9"/>
    <mergeCell ref="AD10:AD14"/>
    <mergeCell ref="AD15:AD19"/>
    <mergeCell ref="AD20:AD24"/>
    <mergeCell ref="AD25:AD29"/>
    <mergeCell ref="AD30:AD34"/>
    <mergeCell ref="AD35:AD39"/>
    <mergeCell ref="AD42:AD43"/>
    <mergeCell ref="AD44:AD48"/>
    <mergeCell ref="AD49:AD53"/>
    <mergeCell ref="AD54:AD58"/>
    <mergeCell ref="AD59:AD63"/>
    <mergeCell ref="AD64:AD68"/>
    <mergeCell ref="AD69:AD73"/>
    <mergeCell ref="AE3:AE4"/>
    <mergeCell ref="AE5:AE9"/>
    <mergeCell ref="AE10:AE14"/>
    <mergeCell ref="AE15:AE19"/>
    <mergeCell ref="AE20:AE24"/>
    <mergeCell ref="AE25:AE29"/>
    <mergeCell ref="AE30:AE34"/>
    <mergeCell ref="AE35:AE39"/>
    <mergeCell ref="AE42:AE43"/>
    <mergeCell ref="AE44:AE48"/>
    <mergeCell ref="AE49:AE53"/>
    <mergeCell ref="AE54:AE58"/>
    <mergeCell ref="AE59:AE63"/>
    <mergeCell ref="AE64:AE68"/>
    <mergeCell ref="AE69:AE73"/>
    <mergeCell ref="AF3:AF4"/>
    <mergeCell ref="AF5:AF9"/>
    <mergeCell ref="AF42:AF43"/>
    <mergeCell ref="AH3:AH4"/>
    <mergeCell ref="AH5:AH9"/>
    <mergeCell ref="AH10:AH14"/>
    <mergeCell ref="AH15:AH19"/>
    <mergeCell ref="AH20:AH24"/>
    <mergeCell ref="AH25:AH29"/>
    <mergeCell ref="AH30:AH34"/>
    <mergeCell ref="AH35:AH39"/>
    <mergeCell ref="AH42:AH43"/>
    <mergeCell ref="AH44:AH48"/>
    <mergeCell ref="AH49:AH53"/>
    <mergeCell ref="AH54:AH58"/>
    <mergeCell ref="AH59:AH63"/>
    <mergeCell ref="AH64:AH68"/>
    <mergeCell ref="AH69:AH73"/>
    <mergeCell ref="A1:AF2"/>
  </mergeCells>
  <pageMargins left="0.156944444444444" right="0.156944444444444" top="0.314583333333333" bottom="0.236111111111111" header="0.3" footer="0.3"/>
  <pageSetup paperSize="9" scale="90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J58"/>
  <sheetViews>
    <sheetView topLeftCell="A31" workbookViewId="0">
      <selection activeCell="K55" sqref="K55"/>
    </sheetView>
  </sheetViews>
  <sheetFormatPr defaultColWidth="5.125" defaultRowHeight="23" customHeight="1"/>
  <cols>
    <col min="1" max="1" width="2.25" style="1" customWidth="1"/>
    <col min="2" max="2" width="5.125" style="1" customWidth="1"/>
    <col min="3" max="3" width="3.25" style="1" customWidth="1"/>
    <col min="4" max="4" width="5.125" style="1" customWidth="1"/>
    <col min="5" max="6" width="3.25" style="1" customWidth="1"/>
    <col min="7" max="7" width="2.625" style="1" customWidth="1"/>
    <col min="8" max="8" width="4.875" style="1" customWidth="1"/>
    <col min="9" max="9" width="5.125" style="1" customWidth="1"/>
    <col min="10" max="10" width="4.625" style="1" customWidth="1"/>
    <col min="11" max="11" width="5.125" style="1" customWidth="1"/>
    <col min="12" max="12" width="3.625" style="1" customWidth="1"/>
    <col min="13" max="13" width="3.75" style="1" customWidth="1"/>
    <col min="14" max="14" width="4.125" style="1" customWidth="1"/>
    <col min="15" max="15" width="3.625" style="1" customWidth="1"/>
    <col min="16" max="16" width="3.875" style="1" customWidth="1"/>
    <col min="17" max="17" width="3.25" style="1" customWidth="1"/>
    <col min="18" max="18" width="3.125" style="1" customWidth="1"/>
    <col min="19" max="19" width="4.25" style="1" customWidth="1"/>
    <col min="20" max="20" width="3.25" style="1" customWidth="1"/>
    <col min="21" max="21" width="5.125" style="1" hidden="1" customWidth="1"/>
    <col min="22" max="22" width="5.875" style="1" customWidth="1"/>
    <col min="23" max="23" width="6.25" style="1" customWidth="1"/>
    <col min="24" max="24" width="5.75" style="1" customWidth="1"/>
    <col min="25" max="25" width="8.125" style="1" customWidth="1"/>
    <col min="26" max="26" width="6.625" style="1" customWidth="1"/>
    <col min="27" max="27" width="9.375" style="1" customWidth="1"/>
    <col min="28" max="28" width="6.125" style="1" customWidth="1"/>
    <col min="29" max="29" width="4.25" style="1" customWidth="1"/>
    <col min="30" max="30" width="4.75" style="1" customWidth="1"/>
    <col min="31" max="31" width="8.5" style="1" customWidth="1"/>
    <col min="32" max="32" width="4.875" style="1" customWidth="1"/>
    <col min="33" max="16383" width="5.125" style="1" customWidth="1"/>
    <col min="16384" max="16384" width="5.125" style="1"/>
  </cols>
  <sheetData>
    <row r="1" s="1" customFormat="1" customHeight="1" spans="1:34">
      <c r="A1" s="3" t="s">
        <v>51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56"/>
      <c r="W1" s="3"/>
      <c r="X1" s="3"/>
      <c r="Y1" s="3"/>
      <c r="Z1" s="3"/>
      <c r="AA1" s="3"/>
      <c r="AB1" s="3"/>
      <c r="AC1" s="3"/>
      <c r="AD1" s="3"/>
      <c r="AE1" s="3"/>
      <c r="AF1" s="3"/>
      <c r="AG1" s="31"/>
      <c r="AH1" s="31"/>
    </row>
    <row r="2" s="1" customFormat="1" ht="14" customHeight="1" spans="1:34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7"/>
      <c r="W2" s="4"/>
      <c r="X2" s="4"/>
      <c r="Y2" s="4"/>
      <c r="Z2" s="4"/>
      <c r="AA2" s="4"/>
      <c r="AB2" s="4"/>
      <c r="AC2" s="4"/>
      <c r="AD2" s="4"/>
      <c r="AE2" s="4"/>
      <c r="AF2" s="4"/>
      <c r="AG2" s="31"/>
      <c r="AH2" s="31"/>
    </row>
    <row r="3" s="1" customFormat="1" ht="21" customHeight="1" spans="1:34">
      <c r="A3" s="5" t="s">
        <v>1</v>
      </c>
      <c r="B3" s="6" t="s">
        <v>2</v>
      </c>
      <c r="C3" s="7"/>
      <c r="D3" s="6" t="s">
        <v>3</v>
      </c>
      <c r="E3" s="7"/>
      <c r="F3" s="6" t="s">
        <v>4</v>
      </c>
      <c r="G3" s="7"/>
      <c r="H3" s="8" t="s">
        <v>5</v>
      </c>
      <c r="I3" s="8" t="s">
        <v>6</v>
      </c>
      <c r="J3" s="33" t="s">
        <v>7</v>
      </c>
      <c r="K3" s="5" t="s">
        <v>8</v>
      </c>
      <c r="L3" s="5" t="s">
        <v>9</v>
      </c>
      <c r="M3" s="5" t="s">
        <v>10</v>
      </c>
      <c r="N3" s="34" t="s">
        <v>52</v>
      </c>
      <c r="O3" s="33" t="s">
        <v>18</v>
      </c>
      <c r="P3" s="8" t="s">
        <v>11</v>
      </c>
      <c r="Q3" s="10" t="s">
        <v>12</v>
      </c>
      <c r="R3" s="10"/>
      <c r="S3" s="5" t="s">
        <v>13</v>
      </c>
      <c r="T3" s="5" t="s">
        <v>14</v>
      </c>
      <c r="U3" s="5" t="s">
        <v>53</v>
      </c>
      <c r="V3" s="5" t="s">
        <v>19</v>
      </c>
      <c r="W3" s="5" t="s">
        <v>20</v>
      </c>
      <c r="X3" s="5" t="s">
        <v>21</v>
      </c>
      <c r="Y3" s="5" t="s">
        <v>22</v>
      </c>
      <c r="Z3" s="63" t="s">
        <v>23</v>
      </c>
      <c r="AA3" s="5" t="s">
        <v>24</v>
      </c>
      <c r="AB3" s="8" t="s">
        <v>25</v>
      </c>
      <c r="AC3" s="5" t="s">
        <v>26</v>
      </c>
      <c r="AD3" s="5" t="s">
        <v>27</v>
      </c>
      <c r="AE3" s="5" t="s">
        <v>28</v>
      </c>
      <c r="AF3" s="8" t="s">
        <v>29</v>
      </c>
      <c r="AG3" s="31"/>
      <c r="AH3" s="31"/>
    </row>
    <row r="4" s="1" customFormat="1" ht="21" customHeight="1" spans="1:34">
      <c r="A4" s="9"/>
      <c r="B4" s="10" t="s">
        <v>31</v>
      </c>
      <c r="C4" s="10" t="s">
        <v>32</v>
      </c>
      <c r="D4" s="10" t="s">
        <v>31</v>
      </c>
      <c r="E4" s="10" t="s">
        <v>32</v>
      </c>
      <c r="F4" s="10" t="s">
        <v>31</v>
      </c>
      <c r="G4" s="10" t="s">
        <v>32</v>
      </c>
      <c r="H4" s="11"/>
      <c r="I4" s="11"/>
      <c r="J4" s="35"/>
      <c r="K4" s="35"/>
      <c r="L4" s="35"/>
      <c r="M4" s="35"/>
      <c r="N4" s="36"/>
      <c r="O4" s="37"/>
      <c r="P4" s="11"/>
      <c r="Q4" s="58" t="s">
        <v>54</v>
      </c>
      <c r="R4" s="58" t="s">
        <v>55</v>
      </c>
      <c r="S4" s="35"/>
      <c r="T4" s="35"/>
      <c r="U4" s="35"/>
      <c r="V4" s="35"/>
      <c r="W4" s="35"/>
      <c r="X4" s="35"/>
      <c r="Y4" s="35"/>
      <c r="Z4" s="64"/>
      <c r="AA4" s="35"/>
      <c r="AB4" s="11"/>
      <c r="AC4" s="35"/>
      <c r="AD4" s="35"/>
      <c r="AE4" s="35"/>
      <c r="AF4" s="11"/>
      <c r="AG4" s="31"/>
      <c r="AH4" s="31"/>
    </row>
    <row r="5" s="1" customFormat="1" ht="21" customHeight="1" spans="1:34">
      <c r="A5" s="12" t="s">
        <v>33</v>
      </c>
      <c r="B5" s="13">
        <f>[1]李晓红!$B$34</f>
        <v>14</v>
      </c>
      <c r="C5" s="13">
        <f>[1]李晓红!$C$34</f>
        <v>0</v>
      </c>
      <c r="D5" s="13">
        <f>[1]李晓红!$D$34</f>
        <v>0</v>
      </c>
      <c r="E5" s="13">
        <f>[1]李晓红!$E$34</f>
        <v>0</v>
      </c>
      <c r="F5" s="13">
        <f>[1]李晓红!$F$34</f>
        <v>0</v>
      </c>
      <c r="G5" s="13">
        <f>[1]李晓红!$G$34</f>
        <v>0</v>
      </c>
      <c r="H5" s="13">
        <f>[1]李晓红!$H$34</f>
        <v>0</v>
      </c>
      <c r="I5" s="13">
        <f>[1]李晓红!$I$34</f>
        <v>0</v>
      </c>
      <c r="J5" s="13">
        <f>[1]李晓红!$J$34</f>
        <v>0</v>
      </c>
      <c r="K5" s="13">
        <f>[1]李晓红!$K$34</f>
        <v>0</v>
      </c>
      <c r="L5" s="13">
        <f>[1]李晓红!$L$34</f>
        <v>0</v>
      </c>
      <c r="M5" s="13">
        <f>[1]李晓红!$M$34</f>
        <v>0</v>
      </c>
      <c r="N5" s="13">
        <f>[1]李晓红!$R$34</f>
        <v>0</v>
      </c>
      <c r="O5" s="13">
        <f>[1]李晓红!$S$34</f>
        <v>0</v>
      </c>
      <c r="P5" s="13">
        <f>[1]李晓红!$N$34</f>
        <v>0</v>
      </c>
      <c r="Q5" s="13">
        <f>[1]李晓红!$O$34</f>
        <v>0</v>
      </c>
      <c r="R5" s="13">
        <f>[1]李晓红!$V$34</f>
        <v>0</v>
      </c>
      <c r="S5" s="13">
        <f>[1]李晓红!$P$34</f>
        <v>0</v>
      </c>
      <c r="T5" s="13">
        <f>[1]李晓红!$Q$34</f>
        <v>0</v>
      </c>
      <c r="U5" s="13">
        <f>[1]李晓红!$U$34</f>
        <v>0</v>
      </c>
      <c r="V5" s="59">
        <f>SUM(B6:U6)</f>
        <v>2352</v>
      </c>
      <c r="W5" s="59">
        <f>SUM(B6:O6,R6)</f>
        <v>2352</v>
      </c>
      <c r="X5" s="59">
        <f>W5-168</f>
        <v>2184</v>
      </c>
      <c r="Y5" s="59">
        <f>IF(V5&lt;15000,X5*0.3,IF(V5&lt;20000,X5*0.35,IF(V5&lt;25000,X5*0.37,IF(V5&lt;30000,X5*0.39,X5*0.41))))</f>
        <v>655.2</v>
      </c>
      <c r="Z5" s="65">
        <f>[1]李晓红!$T$36</f>
        <v>0</v>
      </c>
      <c r="AA5" s="66">
        <f>P7+Q7+S7+Y5+Z5+U7+T7</f>
        <v>655.2</v>
      </c>
      <c r="AB5" s="59">
        <v>0</v>
      </c>
      <c r="AC5" s="67">
        <v>0</v>
      </c>
      <c r="AD5" s="67">
        <v>0</v>
      </c>
      <c r="AE5" s="68">
        <f>AA5-AB5-AC5-AD5</f>
        <v>655.2</v>
      </c>
      <c r="AF5" s="69"/>
      <c r="AG5" s="31"/>
      <c r="AH5" s="31"/>
    </row>
    <row r="6" s="1" customFormat="1" ht="21" customHeight="1" spans="1:34">
      <c r="A6" s="14"/>
      <c r="B6" s="15">
        <f>B5*168</f>
        <v>2352</v>
      </c>
      <c r="C6" s="15">
        <f>C5*128</f>
        <v>0</v>
      </c>
      <c r="D6" s="15">
        <f>D5*228</f>
        <v>0</v>
      </c>
      <c r="E6" s="15">
        <f>E5*168</f>
        <v>0</v>
      </c>
      <c r="F6" s="15">
        <f>F5*78</f>
        <v>0</v>
      </c>
      <c r="G6" s="15">
        <f>G5*68</f>
        <v>0</v>
      </c>
      <c r="H6" s="15">
        <f>H5*338</f>
        <v>0</v>
      </c>
      <c r="I6" s="15">
        <f>I5*50</f>
        <v>0</v>
      </c>
      <c r="J6" s="15">
        <f>J5*48</f>
        <v>0</v>
      </c>
      <c r="K6" s="15">
        <f>K5*95</f>
        <v>0</v>
      </c>
      <c r="L6" s="15">
        <f>L5*140</f>
        <v>0</v>
      </c>
      <c r="M6" s="15">
        <f>M5*572</f>
        <v>0</v>
      </c>
      <c r="N6" s="15">
        <f>N5*88</f>
        <v>0</v>
      </c>
      <c r="O6" s="38">
        <f>O5*150</f>
        <v>0</v>
      </c>
      <c r="P6" s="15">
        <f>P5*160</f>
        <v>0</v>
      </c>
      <c r="Q6" s="15">
        <f>Q5*120</f>
        <v>0</v>
      </c>
      <c r="R6" s="15">
        <f>R5*120</f>
        <v>0</v>
      </c>
      <c r="S6" s="15">
        <f>S5*50</f>
        <v>0</v>
      </c>
      <c r="T6" s="15">
        <f>T5*160</f>
        <v>0</v>
      </c>
      <c r="U6" s="15"/>
      <c r="V6" s="60"/>
      <c r="W6" s="60"/>
      <c r="X6" s="60"/>
      <c r="Y6" s="60"/>
      <c r="Z6" s="70"/>
      <c r="AA6" s="71"/>
      <c r="AB6" s="60"/>
      <c r="AC6" s="72"/>
      <c r="AD6" s="72"/>
      <c r="AE6" s="73"/>
      <c r="AF6" s="74"/>
      <c r="AG6" s="31"/>
      <c r="AH6" s="31"/>
    </row>
    <row r="7" s="1" customFormat="1" ht="21" customHeight="1" spans="1:34">
      <c r="A7" s="16"/>
      <c r="B7" s="17" t="s">
        <v>34</v>
      </c>
      <c r="C7" s="18"/>
      <c r="D7" s="18"/>
      <c r="E7" s="18"/>
      <c r="F7" s="18"/>
      <c r="G7" s="18"/>
      <c r="H7" s="19"/>
      <c r="I7" s="18"/>
      <c r="J7" s="18"/>
      <c r="K7" s="39"/>
      <c r="L7" s="39"/>
      <c r="M7" s="40"/>
      <c r="N7" s="19"/>
      <c r="O7" s="19"/>
      <c r="P7" s="41">
        <f>P5*53</f>
        <v>0</v>
      </c>
      <c r="Q7" s="41">
        <f>Q5*48</f>
        <v>0</v>
      </c>
      <c r="R7" s="41"/>
      <c r="S7" s="19">
        <f>S5*15</f>
        <v>0</v>
      </c>
      <c r="T7" s="19">
        <f>T5*65</f>
        <v>0</v>
      </c>
      <c r="U7" s="19">
        <f>U5*60</f>
        <v>0</v>
      </c>
      <c r="V7" s="61"/>
      <c r="W7" s="61"/>
      <c r="X7" s="61"/>
      <c r="Y7" s="61"/>
      <c r="Z7" s="75"/>
      <c r="AA7" s="76"/>
      <c r="AB7" s="61"/>
      <c r="AC7" s="77"/>
      <c r="AD7" s="77"/>
      <c r="AE7" s="78"/>
      <c r="AF7" s="79"/>
      <c r="AG7" s="31"/>
      <c r="AH7" s="31"/>
    </row>
    <row r="8" s="1" customFormat="1" ht="21" customHeight="1" spans="1:34">
      <c r="A8" s="12" t="s">
        <v>35</v>
      </c>
      <c r="B8" s="13">
        <f>[1]陈华平!$B$34</f>
        <v>59</v>
      </c>
      <c r="C8" s="13">
        <f>[1]陈华平!$C$34</f>
        <v>0</v>
      </c>
      <c r="D8" s="13">
        <f>[1]陈华平!$D$34</f>
        <v>6</v>
      </c>
      <c r="E8" s="13">
        <f>[1]陈华平!$E$34</f>
        <v>0</v>
      </c>
      <c r="F8" s="13">
        <f>[1]陈华平!$F$34</f>
        <v>0</v>
      </c>
      <c r="G8" s="13">
        <f>[1]陈华平!$G$34</f>
        <v>0</v>
      </c>
      <c r="H8" s="13">
        <f>[1]陈华平!$H$34</f>
        <v>1</v>
      </c>
      <c r="I8" s="13">
        <f>[1]陈华平!$I$34</f>
        <v>42</v>
      </c>
      <c r="J8" s="13">
        <f>[1]陈华平!$J$34</f>
        <v>3</v>
      </c>
      <c r="K8" s="13">
        <f>[1]陈华平!$K$34</f>
        <v>13</v>
      </c>
      <c r="L8" s="13">
        <f>[1]陈华平!$L$34</f>
        <v>0</v>
      </c>
      <c r="M8" s="13">
        <f>[1]陈华平!$M$34</f>
        <v>0</v>
      </c>
      <c r="N8" s="13">
        <f>[1]陈华平!$R$34</f>
        <v>3</v>
      </c>
      <c r="O8" s="13">
        <f>[1]陈华平!$S$34</f>
        <v>0</v>
      </c>
      <c r="P8" s="13">
        <f>[1]陈华平!$N$34</f>
        <v>1</v>
      </c>
      <c r="Q8" s="13">
        <f>[1]陈华平!$O$34</f>
        <v>2</v>
      </c>
      <c r="R8" s="13">
        <f>[1]陈华平!$V$34</f>
        <v>0</v>
      </c>
      <c r="S8" s="13">
        <f>[1]陈华平!$P$34</f>
        <v>5</v>
      </c>
      <c r="T8" s="13">
        <f>[1]陈华平!$Q$34</f>
        <v>0</v>
      </c>
      <c r="U8" s="13">
        <f>[1]陈华平!$U$34</f>
        <v>2</v>
      </c>
      <c r="V8" s="59">
        <f>SUM(B9:U9)</f>
        <v>16011</v>
      </c>
      <c r="W8" s="59">
        <f>SUM(B9:O9,R9)</f>
        <v>15361</v>
      </c>
      <c r="X8" s="59">
        <f>W8-168</f>
        <v>15193</v>
      </c>
      <c r="Y8" s="59">
        <f>IF(V8&lt;15000,X8*0.3,IF(V8&lt;20000,X8*0.35,IF(V8&lt;25000,X8*0.37,IF(V8&lt;30000,X8*0.39,X8*0.41))))</f>
        <v>5317.55</v>
      </c>
      <c r="Z8" s="66">
        <f>[1]陈华平!$T$36</f>
        <v>0</v>
      </c>
      <c r="AA8" s="66">
        <f>P10+Q10+S10+Y8+Z8+U10+T10</f>
        <v>5661.55</v>
      </c>
      <c r="AB8" s="59">
        <v>273.01</v>
      </c>
      <c r="AC8" s="67">
        <v>150</v>
      </c>
      <c r="AD8" s="80">
        <v>0</v>
      </c>
      <c r="AE8" s="68">
        <f>AA8-AB8-AC8-AD8</f>
        <v>5238.54</v>
      </c>
      <c r="AF8" s="69"/>
      <c r="AG8" s="31"/>
      <c r="AH8" s="31"/>
    </row>
    <row r="9" s="1" customFormat="1" ht="21" customHeight="1" spans="1:34">
      <c r="A9" s="14"/>
      <c r="B9" s="15">
        <f>B8*168</f>
        <v>9912</v>
      </c>
      <c r="C9" s="15">
        <f>C8*128</f>
        <v>0</v>
      </c>
      <c r="D9" s="15">
        <f>D8*228</f>
        <v>1368</v>
      </c>
      <c r="E9" s="15">
        <f>E8*168</f>
        <v>0</v>
      </c>
      <c r="F9" s="15">
        <f>F8*78</f>
        <v>0</v>
      </c>
      <c r="G9" s="15">
        <f>G8*68</f>
        <v>0</v>
      </c>
      <c r="H9" s="20">
        <f>H8*338</f>
        <v>338</v>
      </c>
      <c r="I9" s="15">
        <f>I8*50</f>
        <v>2100</v>
      </c>
      <c r="J9" s="15">
        <f>J8*48</f>
        <v>144</v>
      </c>
      <c r="K9" s="42">
        <f>K8*95</f>
        <v>1235</v>
      </c>
      <c r="L9" s="42">
        <f>L8*140</f>
        <v>0</v>
      </c>
      <c r="M9" s="38">
        <f>M8*572</f>
        <v>0</v>
      </c>
      <c r="N9" s="38">
        <f>N8*88</f>
        <v>264</v>
      </c>
      <c r="O9" s="38">
        <f>O8*150</f>
        <v>0</v>
      </c>
      <c r="P9" s="15">
        <f>P8*160</f>
        <v>160</v>
      </c>
      <c r="Q9" s="15">
        <f>Q8*120</f>
        <v>240</v>
      </c>
      <c r="R9" s="15">
        <f>R8*120</f>
        <v>0</v>
      </c>
      <c r="S9" s="20">
        <f>S8*50</f>
        <v>250</v>
      </c>
      <c r="T9" s="20">
        <f>T8*160</f>
        <v>0</v>
      </c>
      <c r="U9" s="20"/>
      <c r="V9" s="60"/>
      <c r="W9" s="60"/>
      <c r="X9" s="60"/>
      <c r="Y9" s="60"/>
      <c r="Z9" s="71"/>
      <c r="AA9" s="71"/>
      <c r="AB9" s="60"/>
      <c r="AC9" s="72"/>
      <c r="AD9" s="81"/>
      <c r="AE9" s="73"/>
      <c r="AF9" s="74"/>
      <c r="AG9" s="31"/>
      <c r="AH9" s="31"/>
    </row>
    <row r="10" s="1" customFormat="1" ht="21" customHeight="1" spans="1:34">
      <c r="A10" s="16"/>
      <c r="B10" s="17" t="s">
        <v>34</v>
      </c>
      <c r="C10" s="18"/>
      <c r="D10" s="18"/>
      <c r="E10" s="18"/>
      <c r="F10" s="18"/>
      <c r="G10" s="18"/>
      <c r="H10" s="19"/>
      <c r="I10" s="18"/>
      <c r="J10" s="43"/>
      <c r="K10" s="44"/>
      <c r="L10" s="39"/>
      <c r="M10" s="40"/>
      <c r="N10" s="19"/>
      <c r="O10" s="19"/>
      <c r="P10" s="41">
        <f>P8*53</f>
        <v>53</v>
      </c>
      <c r="Q10" s="41">
        <f>Q8*48</f>
        <v>96</v>
      </c>
      <c r="R10" s="41"/>
      <c r="S10" s="19">
        <f>S8*15</f>
        <v>75</v>
      </c>
      <c r="T10" s="19">
        <f>T8*65</f>
        <v>0</v>
      </c>
      <c r="U10" s="19">
        <f>U8*60</f>
        <v>120</v>
      </c>
      <c r="V10" s="61"/>
      <c r="W10" s="61"/>
      <c r="X10" s="61"/>
      <c r="Y10" s="61"/>
      <c r="Z10" s="76"/>
      <c r="AA10" s="76"/>
      <c r="AB10" s="61"/>
      <c r="AC10" s="77"/>
      <c r="AD10" s="82"/>
      <c r="AE10" s="78"/>
      <c r="AF10" s="79"/>
      <c r="AG10" s="31"/>
      <c r="AH10" s="31"/>
    </row>
    <row r="11" s="1" customFormat="1" ht="21" customHeight="1" spans="1:34">
      <c r="A11" s="12" t="s">
        <v>36</v>
      </c>
      <c r="B11" s="13">
        <f>[1]肖新姣!$B$34</f>
        <v>61</v>
      </c>
      <c r="C11" s="13">
        <f>[1]肖新姣!$C$34</f>
        <v>0</v>
      </c>
      <c r="D11" s="13">
        <f>[1]肖新姣!$D$34</f>
        <v>38</v>
      </c>
      <c r="E11" s="13">
        <f>[1]肖新姣!$E$34</f>
        <v>0</v>
      </c>
      <c r="F11" s="13">
        <f>[1]肖新姣!$F$34</f>
        <v>0</v>
      </c>
      <c r="G11" s="13">
        <f>[1]肖新姣!$G$34</f>
        <v>0</v>
      </c>
      <c r="H11" s="13">
        <f>[1]肖新姣!$H$34</f>
        <v>0</v>
      </c>
      <c r="I11" s="13">
        <f>[1]肖新姣!$I$34</f>
        <v>109</v>
      </c>
      <c r="J11" s="13">
        <f>[1]肖新姣!$J$34</f>
        <v>0</v>
      </c>
      <c r="K11" s="13">
        <f>[1]肖新姣!$K$34</f>
        <v>3</v>
      </c>
      <c r="L11" s="13">
        <f>[1]肖新姣!$L$34</f>
        <v>0</v>
      </c>
      <c r="M11" s="13">
        <f>[1]肖新姣!$M$34</f>
        <v>1</v>
      </c>
      <c r="N11" s="13">
        <f>[1]肖新姣!$R$34</f>
        <v>0</v>
      </c>
      <c r="O11" s="13">
        <f>[1]肖新姣!$S$34</f>
        <v>0</v>
      </c>
      <c r="P11" s="13">
        <f>[1]肖新姣!$N$34</f>
        <v>0</v>
      </c>
      <c r="Q11" s="13">
        <f>[1]肖新姣!$O$34</f>
        <v>3</v>
      </c>
      <c r="R11" s="13">
        <f>[1]肖新姣!$V$34</f>
        <v>0</v>
      </c>
      <c r="S11" s="13">
        <f>[1]肖新姣!$P$34</f>
        <v>7</v>
      </c>
      <c r="T11" s="13">
        <f>[1]肖新姣!$Q$34</f>
        <v>1</v>
      </c>
      <c r="U11" s="13">
        <f>[1]肖新姣!$U$34</f>
        <v>1</v>
      </c>
      <c r="V11" s="59">
        <f>SUM(B12:U12)</f>
        <v>26089</v>
      </c>
      <c r="W11" s="59">
        <f>SUM(B12:O12,R12)</f>
        <v>25219</v>
      </c>
      <c r="X11" s="59">
        <f>W11-168</f>
        <v>25051</v>
      </c>
      <c r="Y11" s="59">
        <f>IF(V11&lt;15000,X11*0.3,IF(V11&lt;20000,X11*0.35,IF(V11&lt;25000,X11*0.37,IF(V11&lt;30000,X11*0.39,X11*0.41))))</f>
        <v>9769.89</v>
      </c>
      <c r="Z11" s="66">
        <f>[1]肖新姣!$T$36</f>
        <v>170</v>
      </c>
      <c r="AA11" s="66">
        <f>P13+Q13+S13+Y11+Z11+U13+T13</f>
        <v>10313.89</v>
      </c>
      <c r="AB11" s="59">
        <v>273.01</v>
      </c>
      <c r="AC11" s="67">
        <v>150</v>
      </c>
      <c r="AD11" s="83">
        <v>0</v>
      </c>
      <c r="AE11" s="68">
        <f>AA11-AB11-AC11-AD11</f>
        <v>9890.88</v>
      </c>
      <c r="AF11" s="69"/>
      <c r="AG11" s="31"/>
      <c r="AH11" s="31"/>
    </row>
    <row r="12" s="1" customFormat="1" ht="21" customHeight="1" spans="1:34">
      <c r="A12" s="14"/>
      <c r="B12" s="15">
        <f>B11*168</f>
        <v>10248</v>
      </c>
      <c r="C12" s="15">
        <f>C11*128</f>
        <v>0</v>
      </c>
      <c r="D12" s="15">
        <f>D11*228</f>
        <v>8664</v>
      </c>
      <c r="E12" s="15">
        <f>E11*168</f>
        <v>0</v>
      </c>
      <c r="F12" s="15">
        <f>F11*78</f>
        <v>0</v>
      </c>
      <c r="G12" s="15">
        <f>G11*68</f>
        <v>0</v>
      </c>
      <c r="H12" s="20">
        <f>H11*338</f>
        <v>0</v>
      </c>
      <c r="I12" s="15">
        <f>I11*50</f>
        <v>5450</v>
      </c>
      <c r="J12" s="15">
        <f>J11*48</f>
        <v>0</v>
      </c>
      <c r="K12" s="42">
        <f>K11*95</f>
        <v>285</v>
      </c>
      <c r="L12" s="42">
        <f>L11*140</f>
        <v>0</v>
      </c>
      <c r="M12" s="38">
        <f>M11*572</f>
        <v>572</v>
      </c>
      <c r="N12" s="38">
        <f>N11*88</f>
        <v>0</v>
      </c>
      <c r="O12" s="38">
        <f>O11*150</f>
        <v>0</v>
      </c>
      <c r="P12" s="15">
        <f>P11*160</f>
        <v>0</v>
      </c>
      <c r="Q12" s="15">
        <f>Q11*120</f>
        <v>360</v>
      </c>
      <c r="R12" s="15">
        <f>R11*120</f>
        <v>0</v>
      </c>
      <c r="S12" s="20">
        <f>S11*50</f>
        <v>350</v>
      </c>
      <c r="T12" s="20">
        <f>T11*160</f>
        <v>160</v>
      </c>
      <c r="U12" s="20"/>
      <c r="V12" s="60"/>
      <c r="W12" s="60"/>
      <c r="X12" s="60"/>
      <c r="Y12" s="60"/>
      <c r="Z12" s="71"/>
      <c r="AA12" s="71"/>
      <c r="AB12" s="60"/>
      <c r="AC12" s="72"/>
      <c r="AD12" s="84"/>
      <c r="AE12" s="73"/>
      <c r="AF12" s="74"/>
      <c r="AG12" s="31"/>
      <c r="AH12" s="31"/>
    </row>
    <row r="13" s="1" customFormat="1" ht="21" customHeight="1" spans="1:34">
      <c r="A13" s="16"/>
      <c r="B13" s="17" t="s">
        <v>34</v>
      </c>
      <c r="C13" s="18"/>
      <c r="D13" s="18"/>
      <c r="E13" s="18"/>
      <c r="F13" s="18"/>
      <c r="G13" s="18"/>
      <c r="H13" s="19"/>
      <c r="I13" s="18"/>
      <c r="J13" s="43"/>
      <c r="K13" s="44"/>
      <c r="L13" s="39"/>
      <c r="M13" s="40"/>
      <c r="N13" s="19"/>
      <c r="O13" s="19"/>
      <c r="P13" s="41">
        <f>P11*53</f>
        <v>0</v>
      </c>
      <c r="Q13" s="41">
        <f>Q11*48</f>
        <v>144</v>
      </c>
      <c r="R13" s="41"/>
      <c r="S13" s="19">
        <f>S11*15</f>
        <v>105</v>
      </c>
      <c r="T13" s="19">
        <f>T11*65</f>
        <v>65</v>
      </c>
      <c r="U13" s="19">
        <f>U11*60</f>
        <v>60</v>
      </c>
      <c r="V13" s="61"/>
      <c r="W13" s="61"/>
      <c r="X13" s="61"/>
      <c r="Y13" s="61"/>
      <c r="Z13" s="76"/>
      <c r="AA13" s="76"/>
      <c r="AB13" s="61"/>
      <c r="AC13" s="77"/>
      <c r="AD13" s="85"/>
      <c r="AE13" s="78"/>
      <c r="AF13" s="79"/>
      <c r="AG13" s="31"/>
      <c r="AH13" s="31"/>
    </row>
    <row r="14" s="1" customFormat="1" ht="21" customHeight="1" spans="1:34">
      <c r="A14" s="12" t="s">
        <v>37</v>
      </c>
      <c r="B14" s="13">
        <f>[1]王立伟!$B$34</f>
        <v>58.5</v>
      </c>
      <c r="C14" s="13">
        <f>[1]王立伟!$C$34</f>
        <v>0</v>
      </c>
      <c r="D14" s="13">
        <f>[1]王立伟!$D$34</f>
        <v>6</v>
      </c>
      <c r="E14" s="13">
        <f>[1]王立伟!$E$34</f>
        <v>0</v>
      </c>
      <c r="F14" s="13">
        <f>[1]王立伟!$F$34</f>
        <v>0</v>
      </c>
      <c r="G14" s="13">
        <f>[1]王立伟!$G$34</f>
        <v>0</v>
      </c>
      <c r="H14" s="13">
        <f>[1]王立伟!$H$34</f>
        <v>0</v>
      </c>
      <c r="I14" s="13">
        <f>[1]王立伟!$I$34</f>
        <v>52</v>
      </c>
      <c r="J14" s="13">
        <f>[1]王立伟!$J$34</f>
        <v>1</v>
      </c>
      <c r="K14" s="13">
        <f>[1]王立伟!$K$34</f>
        <v>29</v>
      </c>
      <c r="L14" s="13">
        <f>[1]王立伟!$L$34</f>
        <v>0</v>
      </c>
      <c r="M14" s="13">
        <f>[1]王立伟!$M$34</f>
        <v>0</v>
      </c>
      <c r="N14" s="13">
        <f>[1]王立伟!$R$34</f>
        <v>3</v>
      </c>
      <c r="O14" s="13">
        <f>[1]王立伟!$S$34</f>
        <v>0</v>
      </c>
      <c r="P14" s="13">
        <f>[1]王立伟!$N$34</f>
        <v>0</v>
      </c>
      <c r="Q14" s="13">
        <f>[1]王立伟!$O$34</f>
        <v>2</v>
      </c>
      <c r="R14" s="13">
        <f>[1]王立伟!$V$34</f>
        <v>0</v>
      </c>
      <c r="S14" s="13">
        <f>[1]王立伟!$P$34</f>
        <v>3</v>
      </c>
      <c r="T14" s="13">
        <f>[1]王立伟!$Q$34</f>
        <v>1</v>
      </c>
      <c r="U14" s="13">
        <f>[1]王立伟!$U$34</f>
        <v>3</v>
      </c>
      <c r="V14" s="59">
        <f>SUM(B15:U15)</f>
        <v>17413</v>
      </c>
      <c r="W14" s="59">
        <f>SUM(B15:O15,R15)</f>
        <v>16863</v>
      </c>
      <c r="X14" s="59">
        <f>W14-168</f>
        <v>16695</v>
      </c>
      <c r="Y14" s="59">
        <f>IF(V14&lt;15000,X14*0.3,IF(V14&lt;20000,X14*0.35,IF(V14&lt;25000,X14*0.37,IF(V14&lt;30000,X14*0.39,X14*0.41))))</f>
        <v>5843.25</v>
      </c>
      <c r="Z14" s="66">
        <f>[1]王立伟!$T$36</f>
        <v>0</v>
      </c>
      <c r="AA14" s="66">
        <f>P16+Q16+S16+Y14+Z14+U16+T16</f>
        <v>6229.25</v>
      </c>
      <c r="AB14" s="59">
        <v>273.01</v>
      </c>
      <c r="AC14" s="67">
        <v>150</v>
      </c>
      <c r="AD14" s="83">
        <v>0</v>
      </c>
      <c r="AE14" s="68">
        <f>AA14-AB14-AC14-AD14</f>
        <v>5806.24</v>
      </c>
      <c r="AF14" s="69"/>
      <c r="AG14" s="31"/>
      <c r="AH14" s="31"/>
    </row>
    <row r="15" s="1" customFormat="1" ht="21" customHeight="1" spans="1:34">
      <c r="A15" s="14"/>
      <c r="B15" s="15">
        <f>B14*168</f>
        <v>9828</v>
      </c>
      <c r="C15" s="15">
        <f>C14*128</f>
        <v>0</v>
      </c>
      <c r="D15" s="15">
        <f>D14*228</f>
        <v>1368</v>
      </c>
      <c r="E15" s="15">
        <f>E14*168</f>
        <v>0</v>
      </c>
      <c r="F15" s="15">
        <f>F14*78</f>
        <v>0</v>
      </c>
      <c r="G15" s="15">
        <f>G14*68</f>
        <v>0</v>
      </c>
      <c r="H15" s="20">
        <f>H14*338</f>
        <v>0</v>
      </c>
      <c r="I15" s="15">
        <f>I14*50</f>
        <v>2600</v>
      </c>
      <c r="J15" s="15">
        <f>J14*48</f>
        <v>48</v>
      </c>
      <c r="K15" s="42">
        <f>K14*95</f>
        <v>2755</v>
      </c>
      <c r="L15" s="42">
        <f>L14*140</f>
        <v>0</v>
      </c>
      <c r="M15" s="38">
        <f>M14*572</f>
        <v>0</v>
      </c>
      <c r="N15" s="38">
        <f>N14*88</f>
        <v>264</v>
      </c>
      <c r="O15" s="38">
        <f>O14*150</f>
        <v>0</v>
      </c>
      <c r="P15" s="15">
        <f>P14*160</f>
        <v>0</v>
      </c>
      <c r="Q15" s="15">
        <f>Q14*120</f>
        <v>240</v>
      </c>
      <c r="R15" s="15">
        <f>R14*120</f>
        <v>0</v>
      </c>
      <c r="S15" s="20">
        <f>S14*50</f>
        <v>150</v>
      </c>
      <c r="T15" s="20">
        <f>T14*160</f>
        <v>160</v>
      </c>
      <c r="U15" s="20"/>
      <c r="V15" s="60"/>
      <c r="W15" s="60"/>
      <c r="X15" s="60"/>
      <c r="Y15" s="60"/>
      <c r="Z15" s="71"/>
      <c r="AA15" s="71"/>
      <c r="AB15" s="60"/>
      <c r="AC15" s="72"/>
      <c r="AD15" s="84"/>
      <c r="AE15" s="73"/>
      <c r="AF15" s="74"/>
      <c r="AG15" s="31"/>
      <c r="AH15" s="31"/>
    </row>
    <row r="16" s="1" customFormat="1" ht="21" customHeight="1" spans="1:34">
      <c r="A16" s="16"/>
      <c r="B16" s="17" t="s">
        <v>34</v>
      </c>
      <c r="C16" s="18"/>
      <c r="D16" s="18"/>
      <c r="E16" s="18"/>
      <c r="F16" s="18"/>
      <c r="G16" s="21"/>
      <c r="H16" s="19"/>
      <c r="I16" s="21"/>
      <c r="J16" s="21"/>
      <c r="K16" s="41"/>
      <c r="L16" s="41"/>
      <c r="M16" s="19"/>
      <c r="N16" s="19"/>
      <c r="O16" s="19"/>
      <c r="P16" s="41">
        <f>P14*53</f>
        <v>0</v>
      </c>
      <c r="Q16" s="41">
        <f>Q14*48</f>
        <v>96</v>
      </c>
      <c r="R16" s="41"/>
      <c r="S16" s="19">
        <f>S14*15</f>
        <v>45</v>
      </c>
      <c r="T16" s="19">
        <f>T14*65</f>
        <v>65</v>
      </c>
      <c r="U16" s="19">
        <f>U14*60</f>
        <v>180</v>
      </c>
      <c r="V16" s="61"/>
      <c r="W16" s="61"/>
      <c r="X16" s="61"/>
      <c r="Y16" s="61"/>
      <c r="Z16" s="76"/>
      <c r="AA16" s="76"/>
      <c r="AB16" s="61"/>
      <c r="AC16" s="77"/>
      <c r="AD16" s="85"/>
      <c r="AE16" s="78"/>
      <c r="AF16" s="79"/>
      <c r="AG16" s="31"/>
      <c r="AH16" s="31"/>
    </row>
    <row r="17" s="1" customFormat="1" ht="21" customHeight="1" spans="1:34">
      <c r="A17" s="12" t="s">
        <v>38</v>
      </c>
      <c r="B17" s="10">
        <f>[1]程和君!$B$34</f>
        <v>56</v>
      </c>
      <c r="C17" s="10">
        <f>[1]程和君!$C$34</f>
        <v>0</v>
      </c>
      <c r="D17" s="10">
        <f>[1]程和君!$D$34</f>
        <v>14.5</v>
      </c>
      <c r="E17" s="10">
        <f>[1]程和君!$E$34</f>
        <v>0</v>
      </c>
      <c r="F17" s="10">
        <f>[1]程和君!$F$34</f>
        <v>0</v>
      </c>
      <c r="G17" s="10">
        <f>[1]程和君!$G$34</f>
        <v>0</v>
      </c>
      <c r="H17" s="10">
        <f>[1]程和君!$H$34</f>
        <v>1</v>
      </c>
      <c r="I17" s="10">
        <f>[1]程和君!$I$34</f>
        <v>78</v>
      </c>
      <c r="J17" s="10">
        <f>[1]程和君!$J$34</f>
        <v>2</v>
      </c>
      <c r="K17" s="10">
        <f>[1]程和君!$K$34</f>
        <v>29</v>
      </c>
      <c r="L17" s="10">
        <f>[1]程和君!$L$34</f>
        <v>0</v>
      </c>
      <c r="M17" s="10">
        <f>[1]程和君!$M$34</f>
        <v>0</v>
      </c>
      <c r="N17" s="10">
        <f>[1]程和君!$R$34</f>
        <v>0</v>
      </c>
      <c r="O17" s="10">
        <f>[1]程和君!$S$34</f>
        <v>0</v>
      </c>
      <c r="P17" s="10">
        <f>[1]程和君!$N$34</f>
        <v>0</v>
      </c>
      <c r="Q17" s="10">
        <f>[1]程和君!$O$34</f>
        <v>2</v>
      </c>
      <c r="R17" s="10">
        <f>[1]程和君!$V$34</f>
        <v>0</v>
      </c>
      <c r="S17" s="10">
        <f>[1]程和君!$P$34</f>
        <v>4</v>
      </c>
      <c r="T17" s="10">
        <f>[1]程和君!$Q$34</f>
        <v>1</v>
      </c>
      <c r="U17" s="10">
        <f>[1]程和君!$U$34</f>
        <v>0</v>
      </c>
      <c r="V17" s="59">
        <f>SUM(B18:U18)</f>
        <v>20403</v>
      </c>
      <c r="W17" s="59">
        <f>SUM(B18:O18,R18)</f>
        <v>19803</v>
      </c>
      <c r="X17" s="59">
        <f>W17-168</f>
        <v>19635</v>
      </c>
      <c r="Y17" s="59">
        <f>IF(V17&lt;15000,X17*0.3,IF(V17&lt;20000,X17*0.35,IF(V17&lt;25000,X17*0.37,IF(V17&lt;30000,X17*0.39,X17*0.41))))</f>
        <v>7264.95</v>
      </c>
      <c r="Z17" s="65">
        <f>[1]程和君!$T$36</f>
        <v>15</v>
      </c>
      <c r="AA17" s="66">
        <f>P19+Q19+S19+Y17+Z17+U19+T19</f>
        <v>7500.95</v>
      </c>
      <c r="AB17" s="59">
        <v>273.01</v>
      </c>
      <c r="AC17" s="67">
        <v>150</v>
      </c>
      <c r="AD17" s="83">
        <v>0</v>
      </c>
      <c r="AE17" s="68">
        <f>AA17-AB17-AC17-AD17</f>
        <v>7077.94</v>
      </c>
      <c r="AF17" s="69"/>
      <c r="AG17" s="31"/>
      <c r="AH17" s="31"/>
    </row>
    <row r="18" s="1" customFormat="1" ht="21" customHeight="1" spans="1:34">
      <c r="A18" s="14"/>
      <c r="B18" s="15">
        <f>B17*168</f>
        <v>9408</v>
      </c>
      <c r="C18" s="15">
        <f>C17*128</f>
        <v>0</v>
      </c>
      <c r="D18" s="15">
        <f>D17*228</f>
        <v>3306</v>
      </c>
      <c r="E18" s="15">
        <f>E17*168</f>
        <v>0</v>
      </c>
      <c r="F18" s="15">
        <f>F17*78</f>
        <v>0</v>
      </c>
      <c r="G18" s="15">
        <f>G17*68</f>
        <v>0</v>
      </c>
      <c r="H18" s="20">
        <f>H17*338</f>
        <v>338</v>
      </c>
      <c r="I18" s="15">
        <f>I17*50</f>
        <v>3900</v>
      </c>
      <c r="J18" s="15">
        <f>J17*48</f>
        <v>96</v>
      </c>
      <c r="K18" s="42">
        <f>K17*95</f>
        <v>2755</v>
      </c>
      <c r="L18" s="42">
        <f>L17*140</f>
        <v>0</v>
      </c>
      <c r="M18" s="38">
        <f>M17*572</f>
        <v>0</v>
      </c>
      <c r="N18" s="38">
        <f>N17*88</f>
        <v>0</v>
      </c>
      <c r="O18" s="38">
        <f>O17*150</f>
        <v>0</v>
      </c>
      <c r="P18" s="15">
        <f>P17*160</f>
        <v>0</v>
      </c>
      <c r="Q18" s="15">
        <f>Q17*120</f>
        <v>240</v>
      </c>
      <c r="R18" s="15">
        <f>R17*120</f>
        <v>0</v>
      </c>
      <c r="S18" s="20">
        <f>S17*50</f>
        <v>200</v>
      </c>
      <c r="T18" s="20">
        <f>T17*160</f>
        <v>160</v>
      </c>
      <c r="U18" s="20"/>
      <c r="V18" s="60"/>
      <c r="W18" s="60"/>
      <c r="X18" s="60"/>
      <c r="Y18" s="60"/>
      <c r="Z18" s="70"/>
      <c r="AA18" s="71"/>
      <c r="AB18" s="60"/>
      <c r="AC18" s="72"/>
      <c r="AD18" s="84"/>
      <c r="AE18" s="73"/>
      <c r="AF18" s="74"/>
      <c r="AG18" s="31"/>
      <c r="AH18" s="31"/>
    </row>
    <row r="19" s="1" customFormat="1" ht="21" customHeight="1" spans="1:34">
      <c r="A19" s="16"/>
      <c r="B19" s="21" t="s">
        <v>34</v>
      </c>
      <c r="C19" s="21"/>
      <c r="D19" s="21"/>
      <c r="E19" s="21"/>
      <c r="F19" s="21"/>
      <c r="G19" s="21"/>
      <c r="H19" s="19"/>
      <c r="I19" s="21"/>
      <c r="J19" s="21"/>
      <c r="K19" s="41"/>
      <c r="L19" s="41"/>
      <c r="M19" s="19"/>
      <c r="N19" s="19"/>
      <c r="O19" s="19"/>
      <c r="P19" s="41">
        <f>P17*53</f>
        <v>0</v>
      </c>
      <c r="Q19" s="41">
        <f>Q17*48</f>
        <v>96</v>
      </c>
      <c r="R19" s="41"/>
      <c r="S19" s="19">
        <f>S17*15</f>
        <v>60</v>
      </c>
      <c r="T19" s="19">
        <f>T17*65</f>
        <v>65</v>
      </c>
      <c r="U19" s="19">
        <f>U17*60</f>
        <v>0</v>
      </c>
      <c r="V19" s="61"/>
      <c r="W19" s="61"/>
      <c r="X19" s="61"/>
      <c r="Y19" s="61"/>
      <c r="Z19" s="75"/>
      <c r="AA19" s="76"/>
      <c r="AB19" s="61"/>
      <c r="AC19" s="77"/>
      <c r="AD19" s="85"/>
      <c r="AE19" s="78"/>
      <c r="AF19" s="79"/>
      <c r="AG19" s="31"/>
      <c r="AH19" s="31"/>
    </row>
    <row r="20" s="1" customFormat="1" ht="21" customHeight="1" spans="1:34">
      <c r="A20" s="12" t="s">
        <v>39</v>
      </c>
      <c r="B20" s="13">
        <f>[1]袁勇君!$B$34</f>
        <v>68.5</v>
      </c>
      <c r="C20" s="13">
        <f>[1]袁勇君!$C$34</f>
        <v>0</v>
      </c>
      <c r="D20" s="13">
        <f>[1]袁勇君!$D$34</f>
        <v>8</v>
      </c>
      <c r="E20" s="13">
        <f>[1]袁勇君!$E$34</f>
        <v>0</v>
      </c>
      <c r="F20" s="13">
        <f>[1]袁勇君!$F$34</f>
        <v>0</v>
      </c>
      <c r="G20" s="13">
        <f>[1]袁勇君!$G$34</f>
        <v>0</v>
      </c>
      <c r="H20" s="13">
        <f>[1]袁勇君!$H$34</f>
        <v>3</v>
      </c>
      <c r="I20" s="13">
        <f>[1]袁勇君!$I$34</f>
        <v>160</v>
      </c>
      <c r="J20" s="13">
        <f>[1]袁勇君!$J$34</f>
        <v>1</v>
      </c>
      <c r="K20" s="13">
        <f>[1]袁勇君!$K$34</f>
        <v>17</v>
      </c>
      <c r="L20" s="13">
        <f>[1]袁勇君!$L$34</f>
        <v>0</v>
      </c>
      <c r="M20" s="13">
        <f>[1]袁勇君!$M$34</f>
        <v>0</v>
      </c>
      <c r="N20" s="13">
        <f>[1]袁勇君!$R$34</f>
        <v>2</v>
      </c>
      <c r="O20" s="13">
        <f>[1]袁勇君!$S$34</f>
        <v>0</v>
      </c>
      <c r="P20" s="13">
        <f>[1]袁勇君!$N$34</f>
        <v>0</v>
      </c>
      <c r="Q20" s="13">
        <f>[1]袁勇君!$O$34</f>
        <v>0</v>
      </c>
      <c r="R20" s="13">
        <f>[1]袁勇君!$V$34</f>
        <v>0</v>
      </c>
      <c r="S20" s="13">
        <f>[1]袁勇君!$P$34</f>
        <v>30</v>
      </c>
      <c r="T20" s="13">
        <f>[1]袁勇君!$Q$34</f>
        <v>0</v>
      </c>
      <c r="U20" s="13">
        <f>[1]袁勇君!$U$34</f>
        <v>2</v>
      </c>
      <c r="V20" s="59">
        <f>SUM(B21:U21)</f>
        <v>25685</v>
      </c>
      <c r="W20" s="59">
        <f>SUM(B21:O21,R21)</f>
        <v>24185</v>
      </c>
      <c r="X20" s="59">
        <f>W20-168</f>
        <v>24017</v>
      </c>
      <c r="Y20" s="59">
        <f>IF(V20&lt;15000,X20*0.3,IF(V20&lt;20000,X20*0.35,IF(V20&lt;25000,X20*0.37,IF(V20&lt;30000,X20*0.39,X20*0.41))))</f>
        <v>9366.63</v>
      </c>
      <c r="Z20" s="65">
        <f>[1]袁勇君!$T$36</f>
        <v>0</v>
      </c>
      <c r="AA20" s="66">
        <f>P22+Q22+S22+Y20+Z20+U22+T22</f>
        <v>9936.63</v>
      </c>
      <c r="AB20" s="59">
        <v>273.01</v>
      </c>
      <c r="AC20" s="86">
        <v>150</v>
      </c>
      <c r="AD20" s="83">
        <v>0</v>
      </c>
      <c r="AE20" s="68">
        <f>AA20-AB20-AC20-AD20</f>
        <v>9513.62</v>
      </c>
      <c r="AF20" s="69"/>
      <c r="AG20" s="31"/>
      <c r="AH20" s="31"/>
    </row>
    <row r="21" s="1" customFormat="1" ht="21" customHeight="1" spans="1:34">
      <c r="A21" s="14"/>
      <c r="B21" s="15">
        <f>B20*168</f>
        <v>11508</v>
      </c>
      <c r="C21" s="15">
        <f>C20*150</f>
        <v>0</v>
      </c>
      <c r="D21" s="15">
        <f>D20*228</f>
        <v>1824</v>
      </c>
      <c r="E21" s="15">
        <f>E20*168</f>
        <v>0</v>
      </c>
      <c r="F21" s="15">
        <f>F20*78</f>
        <v>0</v>
      </c>
      <c r="G21" s="15">
        <f>G20*68</f>
        <v>0</v>
      </c>
      <c r="H21" s="20">
        <f>H20*338</f>
        <v>1014</v>
      </c>
      <c r="I21" s="15">
        <f>I20*50</f>
        <v>8000</v>
      </c>
      <c r="J21" s="15">
        <f>J20*48</f>
        <v>48</v>
      </c>
      <c r="K21" s="42">
        <f>K20*95</f>
        <v>1615</v>
      </c>
      <c r="L21" s="42">
        <f>L20*140</f>
        <v>0</v>
      </c>
      <c r="M21" s="38">
        <f>M20*572</f>
        <v>0</v>
      </c>
      <c r="N21" s="38">
        <f>N20*88</f>
        <v>176</v>
      </c>
      <c r="O21" s="38">
        <f>O20*150</f>
        <v>0</v>
      </c>
      <c r="P21" s="15">
        <f>P20*160</f>
        <v>0</v>
      </c>
      <c r="Q21" s="15">
        <f>Q20*120</f>
        <v>0</v>
      </c>
      <c r="R21" s="15">
        <f>R20*120</f>
        <v>0</v>
      </c>
      <c r="S21" s="20">
        <f>S20*50</f>
        <v>1500</v>
      </c>
      <c r="T21" s="20">
        <f>T20*160</f>
        <v>0</v>
      </c>
      <c r="U21" s="20"/>
      <c r="V21" s="60"/>
      <c r="W21" s="60"/>
      <c r="X21" s="60"/>
      <c r="Y21" s="60"/>
      <c r="Z21" s="70"/>
      <c r="AA21" s="71"/>
      <c r="AB21" s="60"/>
      <c r="AC21" s="87"/>
      <c r="AD21" s="84"/>
      <c r="AE21" s="73"/>
      <c r="AF21" s="74"/>
      <c r="AG21" s="31"/>
      <c r="AH21" s="31"/>
    </row>
    <row r="22" s="1" customFormat="1" ht="21" customHeight="1" spans="1:36">
      <c r="A22" s="16"/>
      <c r="B22" s="17" t="s">
        <v>40</v>
      </c>
      <c r="C22" s="18"/>
      <c r="D22" s="18"/>
      <c r="E22" s="18"/>
      <c r="F22" s="18"/>
      <c r="G22" s="18"/>
      <c r="H22" s="19"/>
      <c r="I22" s="18"/>
      <c r="J22" s="21"/>
      <c r="K22" s="45"/>
      <c r="L22" s="46"/>
      <c r="M22" s="47"/>
      <c r="N22" s="19"/>
      <c r="O22" s="19"/>
      <c r="P22" s="41">
        <f>P20*53</f>
        <v>0</v>
      </c>
      <c r="Q22" s="41">
        <f>Q20*48</f>
        <v>0</v>
      </c>
      <c r="R22" s="41"/>
      <c r="S22" s="19">
        <f>S20*15</f>
        <v>450</v>
      </c>
      <c r="T22" s="19">
        <f>T20*65</f>
        <v>0</v>
      </c>
      <c r="U22" s="19">
        <f>U20*60</f>
        <v>120</v>
      </c>
      <c r="V22" s="61"/>
      <c r="W22" s="61"/>
      <c r="X22" s="61"/>
      <c r="Y22" s="61"/>
      <c r="Z22" s="75"/>
      <c r="AA22" s="76"/>
      <c r="AB22" s="61"/>
      <c r="AC22" s="88"/>
      <c r="AD22" s="85"/>
      <c r="AE22" s="78"/>
      <c r="AF22" s="79"/>
      <c r="AG22" s="31"/>
      <c r="AH22" s="31"/>
      <c r="AJ22" s="91"/>
    </row>
    <row r="23" s="1" customFormat="1" ht="21" customHeight="1" spans="1:34">
      <c r="A23" s="12" t="s">
        <v>41</v>
      </c>
      <c r="B23" s="13">
        <f>[1]柳常青!$B$34</f>
        <v>44</v>
      </c>
      <c r="C23" s="13">
        <f>[1]柳常青!$C$34</f>
        <v>0</v>
      </c>
      <c r="D23" s="13">
        <f>[1]柳常青!$D$34</f>
        <v>29</v>
      </c>
      <c r="E23" s="13">
        <f>[1]柳常青!$E$34</f>
        <v>0</v>
      </c>
      <c r="F23" s="13">
        <f>[1]柳常青!$F$34</f>
        <v>0</v>
      </c>
      <c r="G23" s="13">
        <f>[1]柳常青!$G$34</f>
        <v>0</v>
      </c>
      <c r="H23" s="13">
        <f>[1]柳常青!$H$34</f>
        <v>0</v>
      </c>
      <c r="I23" s="13">
        <f>[1]柳常青!$I$34</f>
        <v>73</v>
      </c>
      <c r="J23" s="13">
        <f>[1]柳常青!$J$34</f>
        <v>0</v>
      </c>
      <c r="K23" s="13">
        <f>[1]柳常青!$K$34</f>
        <v>13</v>
      </c>
      <c r="L23" s="13">
        <f>[1]柳常青!$L$34</f>
        <v>0</v>
      </c>
      <c r="M23" s="13">
        <f>[1]柳常青!$M$34</f>
        <v>0</v>
      </c>
      <c r="N23" s="13">
        <f>[1]柳常青!$R$34</f>
        <v>2</v>
      </c>
      <c r="O23" s="13">
        <f>[1]柳常青!$S$34</f>
        <v>0</v>
      </c>
      <c r="P23" s="13">
        <f>[1]柳常青!$N$34</f>
        <v>1</v>
      </c>
      <c r="Q23" s="13">
        <f>[1]柳常青!$O$34</f>
        <v>2</v>
      </c>
      <c r="R23" s="13">
        <f>[1]柳常青!$V$34</f>
        <v>0</v>
      </c>
      <c r="S23" s="13">
        <f>[1]柳常青!$P$34</f>
        <v>26</v>
      </c>
      <c r="T23" s="13">
        <f>[1]柳常青!$Q$34</f>
        <v>1</v>
      </c>
      <c r="U23" s="13">
        <f>[1]柳常青!$U$34</f>
        <v>3</v>
      </c>
      <c r="V23" s="59">
        <f>SUM(B24:U24)</f>
        <v>20925</v>
      </c>
      <c r="W23" s="59">
        <f>SUM(B24:O24,R24)</f>
        <v>19065</v>
      </c>
      <c r="X23" s="59">
        <f>W23-168</f>
        <v>18897</v>
      </c>
      <c r="Y23" s="59">
        <f>IF(V23&lt;15000,X23*0.3,IF(V23&lt;20000,X23*0.35,IF(V23&lt;25000,X23*0.37,IF(V23&lt;30000,X23*0.39,X23*0.41))))</f>
        <v>6991.89</v>
      </c>
      <c r="Z23" s="65">
        <f>[1]柳常青!$T$36</f>
        <v>15</v>
      </c>
      <c r="AA23" s="66">
        <f>P25+Q25+S25+Y23+Z23+U25+T25</f>
        <v>7790.89</v>
      </c>
      <c r="AB23" s="59">
        <v>273.01</v>
      </c>
      <c r="AC23" s="86">
        <v>150</v>
      </c>
      <c r="AD23" s="83">
        <v>0</v>
      </c>
      <c r="AE23" s="68">
        <f>AA23-AB23-AC23-AD23</f>
        <v>7367.88</v>
      </c>
      <c r="AF23" s="69"/>
      <c r="AG23" s="31"/>
      <c r="AH23" s="31"/>
    </row>
    <row r="24" s="1" customFormat="1" ht="21" customHeight="1" spans="1:34">
      <c r="A24" s="14"/>
      <c r="B24" s="15">
        <f>B23*168</f>
        <v>7392</v>
      </c>
      <c r="C24" s="15">
        <f>C23*128</f>
        <v>0</v>
      </c>
      <c r="D24" s="15">
        <f>D23*228</f>
        <v>6612</v>
      </c>
      <c r="E24" s="15">
        <f>E23*168</f>
        <v>0</v>
      </c>
      <c r="F24" s="15">
        <f>F23*78</f>
        <v>0</v>
      </c>
      <c r="G24" s="15">
        <f>G23*68</f>
        <v>0</v>
      </c>
      <c r="H24" s="20">
        <f>H23*338</f>
        <v>0</v>
      </c>
      <c r="I24" s="15">
        <f>I23*50</f>
        <v>3650</v>
      </c>
      <c r="J24" s="15">
        <f>J23*48</f>
        <v>0</v>
      </c>
      <c r="K24" s="42">
        <f>K23*95</f>
        <v>1235</v>
      </c>
      <c r="L24" s="42">
        <f>L23*140</f>
        <v>0</v>
      </c>
      <c r="M24" s="38">
        <f>M23*572</f>
        <v>0</v>
      </c>
      <c r="N24" s="38">
        <f>N23*88</f>
        <v>176</v>
      </c>
      <c r="O24" s="38">
        <f>O23*150</f>
        <v>0</v>
      </c>
      <c r="P24" s="15">
        <f>P23*160</f>
        <v>160</v>
      </c>
      <c r="Q24" s="15">
        <f>Q23*120</f>
        <v>240</v>
      </c>
      <c r="R24" s="15">
        <f>R23*120</f>
        <v>0</v>
      </c>
      <c r="S24" s="20">
        <f>S23*50</f>
        <v>1300</v>
      </c>
      <c r="T24" s="20">
        <f>T23*160</f>
        <v>160</v>
      </c>
      <c r="U24" s="20"/>
      <c r="V24" s="60"/>
      <c r="W24" s="60"/>
      <c r="X24" s="60"/>
      <c r="Y24" s="60"/>
      <c r="Z24" s="70"/>
      <c r="AA24" s="71"/>
      <c r="AB24" s="60"/>
      <c r="AC24" s="87"/>
      <c r="AD24" s="84"/>
      <c r="AE24" s="73"/>
      <c r="AF24" s="74"/>
      <c r="AG24" s="31"/>
      <c r="AH24" s="31"/>
    </row>
    <row r="25" s="1" customFormat="1" ht="21" customHeight="1" spans="1:34">
      <c r="A25" s="16"/>
      <c r="B25" s="17" t="s">
        <v>40</v>
      </c>
      <c r="C25" s="18"/>
      <c r="D25" s="18"/>
      <c r="E25" s="18"/>
      <c r="F25" s="18"/>
      <c r="G25" s="18"/>
      <c r="H25" s="19"/>
      <c r="I25" s="18"/>
      <c r="J25" s="43"/>
      <c r="K25" s="48"/>
      <c r="L25" s="49"/>
      <c r="M25" s="50"/>
      <c r="N25" s="19"/>
      <c r="O25" s="19"/>
      <c r="P25" s="41">
        <f>P23*53</f>
        <v>53</v>
      </c>
      <c r="Q25" s="41">
        <f>Q23*48</f>
        <v>96</v>
      </c>
      <c r="R25" s="41"/>
      <c r="S25" s="19">
        <f>S23*15</f>
        <v>390</v>
      </c>
      <c r="T25" s="19">
        <f>T23*65</f>
        <v>65</v>
      </c>
      <c r="U25" s="19">
        <f>U23*60</f>
        <v>180</v>
      </c>
      <c r="V25" s="61"/>
      <c r="W25" s="61"/>
      <c r="X25" s="61"/>
      <c r="Y25" s="61"/>
      <c r="Z25" s="75"/>
      <c r="AA25" s="76"/>
      <c r="AB25" s="61"/>
      <c r="AC25" s="88"/>
      <c r="AD25" s="85"/>
      <c r="AE25" s="78"/>
      <c r="AF25" s="79"/>
      <c r="AG25" s="31"/>
      <c r="AH25" s="31"/>
    </row>
    <row r="26" s="1" customFormat="1" customHeight="1" spans="1:34">
      <c r="A26" s="22"/>
      <c r="B26" s="23"/>
      <c r="C26" s="23"/>
      <c r="D26" s="23"/>
      <c r="E26" s="23"/>
      <c r="F26" s="23"/>
      <c r="G26" s="23"/>
      <c r="H26" s="22"/>
      <c r="I26" s="23"/>
      <c r="J26" s="23"/>
      <c r="K26" s="51"/>
      <c r="L26" s="51"/>
      <c r="M26" s="22"/>
      <c r="N26" s="52"/>
      <c r="O26" s="52"/>
      <c r="P26" s="52" t="s">
        <v>56</v>
      </c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31"/>
      <c r="AH26" s="91"/>
    </row>
    <row r="27" s="1" customFormat="1" ht="36" customHeight="1" spans="1:34">
      <c r="A27" s="24" t="s">
        <v>51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51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31"/>
      <c r="AH27" s="31"/>
    </row>
    <row r="28" s="1" customFormat="1" ht="19" customHeight="1" spans="1:34">
      <c r="A28" s="25" t="s">
        <v>1</v>
      </c>
      <c r="B28" s="10" t="s">
        <v>2</v>
      </c>
      <c r="C28" s="10"/>
      <c r="D28" s="10" t="s">
        <v>3</v>
      </c>
      <c r="E28" s="10"/>
      <c r="F28" s="10" t="s">
        <v>4</v>
      </c>
      <c r="G28" s="10"/>
      <c r="H28" s="10" t="s">
        <v>5</v>
      </c>
      <c r="I28" s="10" t="s">
        <v>6</v>
      </c>
      <c r="J28" s="10" t="s">
        <v>57</v>
      </c>
      <c r="K28" s="25" t="s">
        <v>8</v>
      </c>
      <c r="L28" s="25" t="s">
        <v>9</v>
      </c>
      <c r="M28" s="25" t="s">
        <v>10</v>
      </c>
      <c r="N28" s="34" t="s">
        <v>52</v>
      </c>
      <c r="O28" s="33" t="s">
        <v>18</v>
      </c>
      <c r="P28" s="10" t="s">
        <v>11</v>
      </c>
      <c r="Q28" s="10" t="s">
        <v>12</v>
      </c>
      <c r="R28" s="10"/>
      <c r="S28" s="25" t="s">
        <v>13</v>
      </c>
      <c r="T28" s="25" t="s">
        <v>14</v>
      </c>
      <c r="U28" s="5" t="s">
        <v>53</v>
      </c>
      <c r="V28" s="25" t="s">
        <v>19</v>
      </c>
      <c r="W28" s="25" t="s">
        <v>20</v>
      </c>
      <c r="X28" s="25" t="s">
        <v>21</v>
      </c>
      <c r="Y28" s="25" t="s">
        <v>22</v>
      </c>
      <c r="Z28" s="89" t="s">
        <v>23</v>
      </c>
      <c r="AA28" s="25" t="s">
        <v>24</v>
      </c>
      <c r="AB28" s="10" t="s">
        <v>25</v>
      </c>
      <c r="AC28" s="25" t="s">
        <v>26</v>
      </c>
      <c r="AD28" s="25" t="s">
        <v>27</v>
      </c>
      <c r="AE28" s="25" t="s">
        <v>28</v>
      </c>
      <c r="AF28" s="10" t="s">
        <v>29</v>
      </c>
      <c r="AG28" s="31"/>
      <c r="AH28" s="31"/>
    </row>
    <row r="29" s="1" customFormat="1" ht="21" customHeight="1" spans="1:34">
      <c r="A29" s="25"/>
      <c r="B29" s="10" t="s">
        <v>31</v>
      </c>
      <c r="C29" s="10" t="s">
        <v>32</v>
      </c>
      <c r="D29" s="10" t="s">
        <v>31</v>
      </c>
      <c r="E29" s="10" t="s">
        <v>32</v>
      </c>
      <c r="F29" s="10" t="s">
        <v>31</v>
      </c>
      <c r="G29" s="10" t="s">
        <v>32</v>
      </c>
      <c r="H29" s="10"/>
      <c r="I29" s="10"/>
      <c r="J29" s="10"/>
      <c r="K29" s="25"/>
      <c r="L29" s="25"/>
      <c r="M29" s="25"/>
      <c r="N29" s="53"/>
      <c r="O29" s="37"/>
      <c r="P29" s="10"/>
      <c r="Q29" s="58" t="s">
        <v>54</v>
      </c>
      <c r="R29" s="58" t="s">
        <v>55</v>
      </c>
      <c r="S29" s="25"/>
      <c r="T29" s="25"/>
      <c r="U29" s="35"/>
      <c r="V29" s="25"/>
      <c r="W29" s="25"/>
      <c r="X29" s="25"/>
      <c r="Y29" s="25"/>
      <c r="Z29" s="89"/>
      <c r="AA29" s="25"/>
      <c r="AB29" s="10"/>
      <c r="AC29" s="25"/>
      <c r="AD29" s="25"/>
      <c r="AE29" s="25"/>
      <c r="AF29" s="10"/>
      <c r="AG29" s="31"/>
      <c r="AH29" s="31"/>
    </row>
    <row r="30" s="1" customFormat="1" ht="21" customHeight="1" spans="1:34">
      <c r="A30" s="12" t="s">
        <v>43</v>
      </c>
      <c r="B30" s="13">
        <f>[1]吴建兵!$B$34</f>
        <v>97</v>
      </c>
      <c r="C30" s="13">
        <f>[1]吴建兵!$C$34</f>
        <v>0</v>
      </c>
      <c r="D30" s="13">
        <f>[1]吴建兵!$D$34</f>
        <v>6</v>
      </c>
      <c r="E30" s="13">
        <f>[1]吴建兵!$E$34</f>
        <v>0</v>
      </c>
      <c r="F30" s="13">
        <f>[1]吴建兵!$F$34</f>
        <v>1</v>
      </c>
      <c r="G30" s="13">
        <f>[1]吴建兵!$G$34</f>
        <v>0</v>
      </c>
      <c r="H30" s="13">
        <f>[1]吴建兵!$H$34</f>
        <v>0</v>
      </c>
      <c r="I30" s="13">
        <f>[1]吴建兵!$I$34</f>
        <v>111</v>
      </c>
      <c r="J30" s="13">
        <f>[1]吴建兵!$J$34</f>
        <v>6</v>
      </c>
      <c r="K30" s="13">
        <f>[1]吴建兵!$K$34</f>
        <v>14</v>
      </c>
      <c r="L30" s="13">
        <f>[1]吴建兵!$L$34</f>
        <v>0</v>
      </c>
      <c r="M30" s="13">
        <f>[1]吴建兵!$M$34</f>
        <v>0</v>
      </c>
      <c r="N30" s="13">
        <f>[1]吴建兵!$R$34</f>
        <v>0</v>
      </c>
      <c r="O30" s="13">
        <f>[1]吴建兵!$S$34</f>
        <v>0</v>
      </c>
      <c r="P30" s="13">
        <f>[1]吴建兵!$N$34</f>
        <v>0</v>
      </c>
      <c r="Q30" s="13">
        <f>[1]吴建兵!$O$34</f>
        <v>3</v>
      </c>
      <c r="R30" s="13">
        <f>[1]吴建兵!$V$34</f>
        <v>0</v>
      </c>
      <c r="S30" s="13">
        <f>[1]吴建兵!$P$34</f>
        <v>2</v>
      </c>
      <c r="T30" s="13">
        <f>[1]吴建兵!$Q$34</f>
        <v>0</v>
      </c>
      <c r="U30" s="13"/>
      <c r="V30" s="59">
        <f>SUM(B31:U31)</f>
        <v>25370</v>
      </c>
      <c r="W30" s="59">
        <f>SUM(B31:O31,R31)</f>
        <v>24910</v>
      </c>
      <c r="X30" s="59">
        <f>W30-168</f>
        <v>24742</v>
      </c>
      <c r="Y30" s="59">
        <f>IF(V30&lt;15000,X30*0.3,IF(V30&lt;20000,X30*0.35,IF(V30&lt;25000,X30*0.37,IF(V30&lt;30000,X30*0.39,X30*0.41))))</f>
        <v>9649.38</v>
      </c>
      <c r="Z30" s="65">
        <f>[1]吴建兵!$T$36</f>
        <v>60</v>
      </c>
      <c r="AA30" s="66">
        <f>P32+Q32+S32+Y30+Z30+U32+T32</f>
        <v>9883.38</v>
      </c>
      <c r="AB30" s="59">
        <v>0</v>
      </c>
      <c r="AC30" s="86">
        <v>0</v>
      </c>
      <c r="AD30" s="67">
        <v>0</v>
      </c>
      <c r="AE30" s="68">
        <f>AA30-AB30-AC30-AD30</f>
        <v>9883.38</v>
      </c>
      <c r="AF30" s="69"/>
      <c r="AG30" s="31"/>
      <c r="AH30" s="31"/>
    </row>
    <row r="31" s="1" customFormat="1" ht="21" customHeight="1" spans="1:34">
      <c r="A31" s="14"/>
      <c r="B31" s="15">
        <f>B30*168</f>
        <v>16296</v>
      </c>
      <c r="C31" s="15">
        <f>C30*128</f>
        <v>0</v>
      </c>
      <c r="D31" s="15">
        <f>D30*228</f>
        <v>1368</v>
      </c>
      <c r="E31" s="15">
        <f>E30*168</f>
        <v>0</v>
      </c>
      <c r="F31" s="15">
        <f>F30*78</f>
        <v>78</v>
      </c>
      <c r="G31" s="15">
        <f>G30*68</f>
        <v>0</v>
      </c>
      <c r="H31" s="20">
        <f>H30*338</f>
        <v>0</v>
      </c>
      <c r="I31" s="15">
        <f>I30*50</f>
        <v>5550</v>
      </c>
      <c r="J31" s="15">
        <f>J30*48</f>
        <v>288</v>
      </c>
      <c r="K31" s="42">
        <f>K30*95</f>
        <v>1330</v>
      </c>
      <c r="L31" s="42">
        <f>L30*140</f>
        <v>0</v>
      </c>
      <c r="M31" s="38">
        <f>M30*572</f>
        <v>0</v>
      </c>
      <c r="N31" s="38">
        <f>N30*88</f>
        <v>0</v>
      </c>
      <c r="O31" s="38">
        <f>O30*150</f>
        <v>0</v>
      </c>
      <c r="P31" s="15">
        <f>P30*160</f>
        <v>0</v>
      </c>
      <c r="Q31" s="15">
        <f>Q30*120</f>
        <v>360</v>
      </c>
      <c r="R31" s="15">
        <f>R30*120</f>
        <v>0</v>
      </c>
      <c r="S31" s="20">
        <f>S30*50</f>
        <v>100</v>
      </c>
      <c r="T31" s="20">
        <f>T30*160</f>
        <v>0</v>
      </c>
      <c r="U31" s="20"/>
      <c r="V31" s="60"/>
      <c r="W31" s="60"/>
      <c r="X31" s="60"/>
      <c r="Y31" s="60"/>
      <c r="Z31" s="70"/>
      <c r="AA31" s="71"/>
      <c r="AB31" s="60"/>
      <c r="AC31" s="87"/>
      <c r="AD31" s="72"/>
      <c r="AE31" s="73"/>
      <c r="AF31" s="74"/>
      <c r="AG31" s="31"/>
      <c r="AH31" s="31"/>
    </row>
    <row r="32" s="1" customFormat="1" ht="21" customHeight="1" spans="1:34">
      <c r="A32" s="16"/>
      <c r="B32" s="17" t="s">
        <v>34</v>
      </c>
      <c r="C32" s="18"/>
      <c r="D32" s="18"/>
      <c r="E32" s="18"/>
      <c r="F32" s="18"/>
      <c r="G32" s="18"/>
      <c r="H32" s="19"/>
      <c r="I32" s="18"/>
      <c r="J32" s="43"/>
      <c r="K32" s="44"/>
      <c r="L32" s="39"/>
      <c r="M32" s="40"/>
      <c r="N32" s="19"/>
      <c r="O32" s="19"/>
      <c r="P32" s="41">
        <f>P30*53</f>
        <v>0</v>
      </c>
      <c r="Q32" s="41">
        <f>Q30*48</f>
        <v>144</v>
      </c>
      <c r="R32" s="41"/>
      <c r="S32" s="19">
        <f>S30*15</f>
        <v>30</v>
      </c>
      <c r="T32" s="19">
        <f>T30*65</f>
        <v>0</v>
      </c>
      <c r="U32" s="19">
        <f>U30*60</f>
        <v>0</v>
      </c>
      <c r="V32" s="61"/>
      <c r="W32" s="61"/>
      <c r="X32" s="61"/>
      <c r="Y32" s="61"/>
      <c r="Z32" s="75"/>
      <c r="AA32" s="76"/>
      <c r="AB32" s="61"/>
      <c r="AC32" s="88"/>
      <c r="AD32" s="77"/>
      <c r="AE32" s="78"/>
      <c r="AF32" s="79"/>
      <c r="AG32" s="31"/>
      <c r="AH32" s="31"/>
    </row>
    <row r="33" s="1" customFormat="1" ht="21" customHeight="1" spans="1:34">
      <c r="A33" s="12" t="s">
        <v>44</v>
      </c>
      <c r="B33" s="10">
        <f>[1]刘晓玲!$B$34</f>
        <v>59</v>
      </c>
      <c r="C33" s="10">
        <f>[1]刘晓玲!$C$34</f>
        <v>0</v>
      </c>
      <c r="D33" s="10">
        <f>[1]刘晓玲!$D$34</f>
        <v>26</v>
      </c>
      <c r="E33" s="10">
        <f>[1]刘晓玲!$E$34</f>
        <v>0</v>
      </c>
      <c r="F33" s="10">
        <f>[1]刘晓玲!$F$34</f>
        <v>0</v>
      </c>
      <c r="G33" s="10">
        <f>[1]刘晓玲!$G$34</f>
        <v>0</v>
      </c>
      <c r="H33" s="10">
        <f>[1]刘晓玲!$H$34</f>
        <v>1</v>
      </c>
      <c r="I33" s="10">
        <f>[1]刘晓玲!$I$34</f>
        <v>140</v>
      </c>
      <c r="J33" s="10">
        <f>[1]刘晓玲!$J$34</f>
        <v>4</v>
      </c>
      <c r="K33" s="10">
        <f>[1]刘晓玲!$K$34</f>
        <v>10</v>
      </c>
      <c r="L33" s="10">
        <f>[1]刘晓玲!$L$34</f>
        <v>0</v>
      </c>
      <c r="M33" s="10">
        <f>[1]刘晓玲!$M$34</f>
        <v>0</v>
      </c>
      <c r="N33" s="10">
        <f>[1]刘晓玲!$R$34</f>
        <v>0</v>
      </c>
      <c r="O33" s="10">
        <f>[1]刘晓玲!$S$34</f>
        <v>0</v>
      </c>
      <c r="P33" s="10">
        <f>[1]刘晓玲!$N$34</f>
        <v>0</v>
      </c>
      <c r="Q33" s="10">
        <f>[1]刘晓玲!$O$34</f>
        <v>0</v>
      </c>
      <c r="R33" s="10">
        <f>[1]刘晓玲!$V$34</f>
        <v>0</v>
      </c>
      <c r="S33" s="10">
        <f>[1]刘晓玲!$P$34</f>
        <v>13</v>
      </c>
      <c r="T33" s="10">
        <f>[1]刘晓玲!$Q$34</f>
        <v>1</v>
      </c>
      <c r="U33" s="10">
        <f>[1]刘晓玲!$U$34</f>
        <v>2</v>
      </c>
      <c r="V33" s="59">
        <f>SUM(B34:U34)</f>
        <v>25130</v>
      </c>
      <c r="W33" s="59">
        <f>SUM(B34:O34,R34)</f>
        <v>24320</v>
      </c>
      <c r="X33" s="59">
        <f>W33-168</f>
        <v>24152</v>
      </c>
      <c r="Y33" s="59">
        <f>IF(V33&lt;15000,X33*0.3,IF(V33&lt;20000,X33*0.35,IF(V33&lt;25000,X33*0.37,IF(V33&lt;30000,X33*0.39,X33*0.41))))</f>
        <v>9419.28</v>
      </c>
      <c r="Z33" s="65">
        <f>[1]刘晓玲!$T$36</f>
        <v>255</v>
      </c>
      <c r="AA33" s="66">
        <f>P35+Q35+S35+Y33+Z33+U35+T35</f>
        <v>10054.28</v>
      </c>
      <c r="AB33" s="59">
        <v>273.01</v>
      </c>
      <c r="AC33" s="86">
        <v>150</v>
      </c>
      <c r="AD33" s="83">
        <v>0</v>
      </c>
      <c r="AE33" s="68">
        <f>AA33-AB33-AC33-AD33</f>
        <v>9631.27</v>
      </c>
      <c r="AF33" s="69"/>
      <c r="AG33" s="31"/>
      <c r="AH33" s="31"/>
    </row>
    <row r="34" s="1" customFormat="1" ht="21" customHeight="1" spans="1:34">
      <c r="A34" s="14"/>
      <c r="B34" s="15">
        <f>B33*168</f>
        <v>9912</v>
      </c>
      <c r="C34" s="15">
        <f>C33*128</f>
        <v>0</v>
      </c>
      <c r="D34" s="15">
        <f>D33*228</f>
        <v>5928</v>
      </c>
      <c r="E34" s="15">
        <f>E33*168</f>
        <v>0</v>
      </c>
      <c r="F34" s="15">
        <f>F33*78</f>
        <v>0</v>
      </c>
      <c r="G34" s="15">
        <f>G33*68</f>
        <v>0</v>
      </c>
      <c r="H34" s="20">
        <f>H33*338</f>
        <v>338</v>
      </c>
      <c r="I34" s="15">
        <f>I33*50</f>
        <v>7000</v>
      </c>
      <c r="J34" s="15">
        <f>J33*48</f>
        <v>192</v>
      </c>
      <c r="K34" s="42">
        <f>K33*95</f>
        <v>950</v>
      </c>
      <c r="L34" s="42">
        <f>L33*140</f>
        <v>0</v>
      </c>
      <c r="M34" s="38">
        <f>M33*572</f>
        <v>0</v>
      </c>
      <c r="N34" s="38">
        <f>N33*88</f>
        <v>0</v>
      </c>
      <c r="O34" s="38">
        <f>O33*150</f>
        <v>0</v>
      </c>
      <c r="P34" s="15">
        <f>P33*160</f>
        <v>0</v>
      </c>
      <c r="Q34" s="15">
        <f>Q33*120</f>
        <v>0</v>
      </c>
      <c r="R34" s="15">
        <f>R33*120</f>
        <v>0</v>
      </c>
      <c r="S34" s="20">
        <f>S33*50</f>
        <v>650</v>
      </c>
      <c r="T34" s="20">
        <f>T33*160</f>
        <v>160</v>
      </c>
      <c r="U34" s="20"/>
      <c r="V34" s="60"/>
      <c r="W34" s="60"/>
      <c r="X34" s="60"/>
      <c r="Y34" s="60"/>
      <c r="Z34" s="70"/>
      <c r="AA34" s="71"/>
      <c r="AB34" s="60"/>
      <c r="AC34" s="87"/>
      <c r="AD34" s="84"/>
      <c r="AE34" s="73"/>
      <c r="AF34" s="74"/>
      <c r="AG34" s="31"/>
      <c r="AH34" s="31"/>
    </row>
    <row r="35" s="1" customFormat="1" ht="21" customHeight="1" spans="1:34">
      <c r="A35" s="16"/>
      <c r="B35" s="17" t="s">
        <v>34</v>
      </c>
      <c r="C35" s="21"/>
      <c r="D35" s="21"/>
      <c r="E35" s="21"/>
      <c r="F35" s="21"/>
      <c r="G35" s="21"/>
      <c r="H35" s="19"/>
      <c r="I35" s="21"/>
      <c r="J35" s="21"/>
      <c r="K35" s="41"/>
      <c r="L35" s="41"/>
      <c r="M35" s="19"/>
      <c r="N35" s="19"/>
      <c r="O35" s="19"/>
      <c r="P35" s="41">
        <f>P33*53</f>
        <v>0</v>
      </c>
      <c r="Q35" s="41">
        <f>Q33*48</f>
        <v>0</v>
      </c>
      <c r="R35" s="41"/>
      <c r="S35" s="19">
        <f>S33*15</f>
        <v>195</v>
      </c>
      <c r="T35" s="19">
        <f>T33*65</f>
        <v>65</v>
      </c>
      <c r="U35" s="19">
        <f>U33*60</f>
        <v>120</v>
      </c>
      <c r="V35" s="61"/>
      <c r="W35" s="61"/>
      <c r="X35" s="61"/>
      <c r="Y35" s="61"/>
      <c r="Z35" s="75"/>
      <c r="AA35" s="76"/>
      <c r="AB35" s="61"/>
      <c r="AC35" s="88"/>
      <c r="AD35" s="85"/>
      <c r="AE35" s="78"/>
      <c r="AF35" s="79"/>
      <c r="AG35" s="31"/>
      <c r="AH35" s="31"/>
    </row>
    <row r="36" s="1" customFormat="1" ht="21" customHeight="1" spans="1:34">
      <c r="A36" s="12" t="s">
        <v>45</v>
      </c>
      <c r="B36" s="10">
        <f>[1]李拥华!$B$34</f>
        <v>49.5</v>
      </c>
      <c r="C36" s="10">
        <f>[1]李拥华!$C$34</f>
        <v>0</v>
      </c>
      <c r="D36" s="10">
        <f>[1]李拥华!$D$34</f>
        <v>11</v>
      </c>
      <c r="E36" s="10">
        <f>[1]李拥华!$E$34</f>
        <v>0</v>
      </c>
      <c r="F36" s="10">
        <f>[1]李拥华!$F$34</f>
        <v>0</v>
      </c>
      <c r="G36" s="10">
        <f>[1]李拥华!$G$34</f>
        <v>0</v>
      </c>
      <c r="H36" s="10">
        <f>[1]李拥华!$H$34</f>
        <v>1</v>
      </c>
      <c r="I36" s="10">
        <f>[1]李拥华!$I$34</f>
        <v>65</v>
      </c>
      <c r="J36" s="10">
        <f>[1]李拥华!$J$34</f>
        <v>4</v>
      </c>
      <c r="K36" s="10">
        <f>[1]李拥华!$K$34</f>
        <v>9</v>
      </c>
      <c r="L36" s="10">
        <f>[1]李拥华!$L$34</f>
        <v>0</v>
      </c>
      <c r="M36" s="10">
        <f>[1]李拥华!$M$34</f>
        <v>0</v>
      </c>
      <c r="N36" s="10">
        <f>[1]李拥华!$R$34</f>
        <v>3</v>
      </c>
      <c r="O36" s="10">
        <f>[1]李拥华!$S$34</f>
        <v>0</v>
      </c>
      <c r="P36" s="10">
        <f>[1]李拥华!$N$34</f>
        <v>1</v>
      </c>
      <c r="Q36" s="10">
        <f>[1]李拥华!$O$34</f>
        <v>0</v>
      </c>
      <c r="R36" s="10">
        <f>[1]李拥华!$V$34</f>
        <v>0</v>
      </c>
      <c r="S36" s="10">
        <f>[1]李拥华!$P$34</f>
        <v>11</v>
      </c>
      <c r="T36" s="10">
        <f>[1]李拥华!$U$34</f>
        <v>2</v>
      </c>
      <c r="U36" s="10">
        <f>[1]李拥华!$W$34</f>
        <v>0</v>
      </c>
      <c r="V36" s="59">
        <f>SUM(B37:U37)</f>
        <v>16753</v>
      </c>
      <c r="W36" s="59">
        <f>SUM(B37:O37,R37)</f>
        <v>15723</v>
      </c>
      <c r="X36" s="59">
        <f>W36-168</f>
        <v>15555</v>
      </c>
      <c r="Y36" s="59">
        <f>IF(V36&lt;15000,X36*0.3,IF(V36&lt;20000,X36*0.35,IF(V36&lt;25000,X36*0.37,IF(V36&lt;30000,X36*0.39,X36*0.41))))</f>
        <v>5444.25</v>
      </c>
      <c r="Z36" s="65">
        <f>[1]李拥华!$T$36</f>
        <v>80</v>
      </c>
      <c r="AA36" s="66">
        <f>P38+Q38+S38+Y36+Z36+U38+T38</f>
        <v>5872.25</v>
      </c>
      <c r="AB36" s="59">
        <v>402.64</v>
      </c>
      <c r="AC36" s="86">
        <v>400</v>
      </c>
      <c r="AD36" s="83">
        <v>250</v>
      </c>
      <c r="AE36" s="68">
        <f>AA36-AB36-AC36-AD36</f>
        <v>4819.61</v>
      </c>
      <c r="AF36" s="69"/>
      <c r="AG36" s="31"/>
      <c r="AH36" s="31"/>
    </row>
    <row r="37" s="1" customFormat="1" ht="21" customHeight="1" spans="1:34">
      <c r="A37" s="14"/>
      <c r="B37" s="15">
        <f>B36*168</f>
        <v>8316</v>
      </c>
      <c r="C37" s="15">
        <f>C36*128</f>
        <v>0</v>
      </c>
      <c r="D37" s="15">
        <f>D36*228</f>
        <v>2508</v>
      </c>
      <c r="E37" s="15">
        <f>E36*168</f>
        <v>0</v>
      </c>
      <c r="F37" s="15">
        <f>F36*78</f>
        <v>0</v>
      </c>
      <c r="G37" s="15">
        <f>G36*68</f>
        <v>0</v>
      </c>
      <c r="H37" s="20">
        <f>H36*338</f>
        <v>338</v>
      </c>
      <c r="I37" s="15">
        <f>I36*50</f>
        <v>3250</v>
      </c>
      <c r="J37" s="15">
        <f>J36*48</f>
        <v>192</v>
      </c>
      <c r="K37" s="42">
        <f>K36*95</f>
        <v>855</v>
      </c>
      <c r="L37" s="42">
        <f>L36*140</f>
        <v>0</v>
      </c>
      <c r="M37" s="38">
        <f>M36*572</f>
        <v>0</v>
      </c>
      <c r="N37" s="38">
        <f>N36*88</f>
        <v>264</v>
      </c>
      <c r="O37" s="38">
        <f>O36*150</f>
        <v>0</v>
      </c>
      <c r="P37" s="15">
        <f>P36*160</f>
        <v>160</v>
      </c>
      <c r="Q37" s="15">
        <f>Q36*120</f>
        <v>0</v>
      </c>
      <c r="R37" s="15">
        <f>R36*120</f>
        <v>0</v>
      </c>
      <c r="S37" s="20">
        <f>S36*50</f>
        <v>550</v>
      </c>
      <c r="T37" s="20">
        <f>T36*160</f>
        <v>320</v>
      </c>
      <c r="U37" s="20"/>
      <c r="V37" s="60"/>
      <c r="W37" s="60"/>
      <c r="X37" s="60"/>
      <c r="Y37" s="60"/>
      <c r="Z37" s="70"/>
      <c r="AA37" s="71"/>
      <c r="AB37" s="60"/>
      <c r="AC37" s="87"/>
      <c r="AD37" s="84"/>
      <c r="AE37" s="73"/>
      <c r="AF37" s="74"/>
      <c r="AG37" s="31"/>
      <c r="AH37" s="31"/>
    </row>
    <row r="38" s="1" customFormat="1" ht="21" customHeight="1" spans="1:34">
      <c r="A38" s="16"/>
      <c r="B38" s="17" t="s">
        <v>34</v>
      </c>
      <c r="C38" s="21"/>
      <c r="D38" s="21"/>
      <c r="E38" s="21"/>
      <c r="F38" s="21"/>
      <c r="G38" s="21"/>
      <c r="H38" s="19"/>
      <c r="I38" s="21"/>
      <c r="J38" s="21"/>
      <c r="K38" s="41"/>
      <c r="L38" s="41"/>
      <c r="M38" s="19"/>
      <c r="N38" s="19"/>
      <c r="O38" s="19"/>
      <c r="P38" s="41">
        <f>P36*53</f>
        <v>53</v>
      </c>
      <c r="Q38" s="41">
        <f>Q36*48</f>
        <v>0</v>
      </c>
      <c r="R38" s="41"/>
      <c r="S38" s="19">
        <f>S36*15</f>
        <v>165</v>
      </c>
      <c r="T38" s="19">
        <f>T36*65</f>
        <v>130</v>
      </c>
      <c r="U38" s="19">
        <f>U36*60</f>
        <v>0</v>
      </c>
      <c r="V38" s="61"/>
      <c r="W38" s="61"/>
      <c r="X38" s="61"/>
      <c r="Y38" s="61"/>
      <c r="Z38" s="75"/>
      <c r="AA38" s="76"/>
      <c r="AB38" s="61"/>
      <c r="AC38" s="88"/>
      <c r="AD38" s="85"/>
      <c r="AE38" s="78"/>
      <c r="AF38" s="79"/>
      <c r="AG38" s="31"/>
      <c r="AH38" s="31"/>
    </row>
    <row r="39" s="1" customFormat="1" ht="21" customHeight="1" spans="1:34">
      <c r="A39" s="12" t="s">
        <v>46</v>
      </c>
      <c r="B39" s="10">
        <f>[1]彭凤英!$B$34</f>
        <v>43</v>
      </c>
      <c r="C39" s="10">
        <f>[1]彭凤英!$C$34</f>
        <v>0</v>
      </c>
      <c r="D39" s="10">
        <f>[1]彭凤英!$D$34</f>
        <v>41.5</v>
      </c>
      <c r="E39" s="10">
        <f>[1]彭凤英!$E$34</f>
        <v>0</v>
      </c>
      <c r="F39" s="10">
        <f>[1]彭凤英!$F$34</f>
        <v>0</v>
      </c>
      <c r="G39" s="10">
        <f>[1]彭凤英!$G$34</f>
        <v>0</v>
      </c>
      <c r="H39" s="10">
        <f>[1]彭凤英!$H$34</f>
        <v>8</v>
      </c>
      <c r="I39" s="10">
        <f>[1]彭凤英!$I$34</f>
        <v>121</v>
      </c>
      <c r="J39" s="10">
        <f>[1]彭凤英!$J$34</f>
        <v>1</v>
      </c>
      <c r="K39" s="10">
        <f>[1]彭凤英!$K$34</f>
        <v>7</v>
      </c>
      <c r="L39" s="10">
        <f>[1]彭凤英!$L$34</f>
        <v>0</v>
      </c>
      <c r="M39" s="10">
        <f>[1]彭凤英!$M$34</f>
        <v>0</v>
      </c>
      <c r="N39" s="10">
        <f>[1]彭凤英!$R$34</f>
        <v>1</v>
      </c>
      <c r="O39" s="10">
        <f>[1]彭凤英!$S$34</f>
        <v>0</v>
      </c>
      <c r="P39" s="10">
        <f>[1]彭凤英!$N$34</f>
        <v>2</v>
      </c>
      <c r="Q39" s="10">
        <f>[1]彭凤英!$O$34</f>
        <v>2</v>
      </c>
      <c r="R39" s="10">
        <f>[1]彭凤英!$V$34</f>
        <v>0</v>
      </c>
      <c r="S39" s="10">
        <f>[1]彭凤英!$P$34</f>
        <v>8</v>
      </c>
      <c r="T39" s="10">
        <f>[1]彭凤英!$Q$34</f>
        <v>1</v>
      </c>
      <c r="U39" s="10">
        <f>[1]彭凤英!$U$34</f>
        <v>1</v>
      </c>
      <c r="V39" s="59">
        <f>SUM(B40:U40)</f>
        <v>27361</v>
      </c>
      <c r="W39" s="59">
        <f>SUM(B40:O40,R40)</f>
        <v>26241</v>
      </c>
      <c r="X39" s="59">
        <f>W39-168</f>
        <v>26073</v>
      </c>
      <c r="Y39" s="59">
        <f>IF(V39&lt;15000,X39*0.3,IF(V39&lt;20000,X39*0.35,IF(V39&lt;25000,X39*0.37,IF(V39&lt;30000,X39*0.39,X39*0.41))))</f>
        <v>10168.47</v>
      </c>
      <c r="Z39" s="65">
        <f>[1]彭凤英!$T$36</f>
        <v>150</v>
      </c>
      <c r="AA39" s="66">
        <f>P41+Q41+S41+Y39+Z39+U41+T41</f>
        <v>10765.47</v>
      </c>
      <c r="AB39" s="59">
        <v>273.01</v>
      </c>
      <c r="AC39" s="86">
        <v>150</v>
      </c>
      <c r="AD39" s="83">
        <v>0</v>
      </c>
      <c r="AE39" s="68">
        <f>AA39-AB39-AC39-AD39</f>
        <v>10342.46</v>
      </c>
      <c r="AF39" s="69"/>
      <c r="AG39" s="31"/>
      <c r="AH39" s="31"/>
    </row>
    <row r="40" s="1" customFormat="1" ht="21" customHeight="1" spans="1:34">
      <c r="A40" s="14"/>
      <c r="B40" s="15">
        <f>B39*168</f>
        <v>7224</v>
      </c>
      <c r="C40" s="15">
        <f>C39*128</f>
        <v>0</v>
      </c>
      <c r="D40" s="15">
        <f>D39*228</f>
        <v>9462</v>
      </c>
      <c r="E40" s="15">
        <f>E39*168</f>
        <v>0</v>
      </c>
      <c r="F40" s="15">
        <f>F39*78</f>
        <v>0</v>
      </c>
      <c r="G40" s="15">
        <f>G39*68</f>
        <v>0</v>
      </c>
      <c r="H40" s="20">
        <f>H39*338</f>
        <v>2704</v>
      </c>
      <c r="I40" s="15">
        <f>I39*50</f>
        <v>6050</v>
      </c>
      <c r="J40" s="15">
        <f>J39*48</f>
        <v>48</v>
      </c>
      <c r="K40" s="42">
        <f>K39*95</f>
        <v>665</v>
      </c>
      <c r="L40" s="42">
        <f>L39*140</f>
        <v>0</v>
      </c>
      <c r="M40" s="38">
        <f>M39*572</f>
        <v>0</v>
      </c>
      <c r="N40" s="38">
        <f>N39*88</f>
        <v>88</v>
      </c>
      <c r="O40" s="38">
        <f>O39*150</f>
        <v>0</v>
      </c>
      <c r="P40" s="15">
        <f>P39*160</f>
        <v>320</v>
      </c>
      <c r="Q40" s="15">
        <f>Q39*120</f>
        <v>240</v>
      </c>
      <c r="R40" s="15">
        <f>R39*120</f>
        <v>0</v>
      </c>
      <c r="S40" s="20">
        <f>S39*50</f>
        <v>400</v>
      </c>
      <c r="T40" s="20">
        <f>T39*160</f>
        <v>160</v>
      </c>
      <c r="U40" s="20"/>
      <c r="V40" s="60"/>
      <c r="W40" s="60"/>
      <c r="X40" s="60"/>
      <c r="Y40" s="60"/>
      <c r="Z40" s="70"/>
      <c r="AA40" s="71"/>
      <c r="AB40" s="60"/>
      <c r="AC40" s="87"/>
      <c r="AD40" s="84"/>
      <c r="AE40" s="73"/>
      <c r="AF40" s="74"/>
      <c r="AG40" s="31"/>
      <c r="AH40" s="31"/>
    </row>
    <row r="41" s="1" customFormat="1" ht="21" customHeight="1" spans="1:34">
      <c r="A41" s="16"/>
      <c r="B41" s="17" t="s">
        <v>34</v>
      </c>
      <c r="C41" s="21"/>
      <c r="D41" s="21"/>
      <c r="E41" s="21"/>
      <c r="F41" s="21"/>
      <c r="G41" s="21"/>
      <c r="H41" s="19"/>
      <c r="I41" s="21"/>
      <c r="J41" s="21"/>
      <c r="K41" s="41"/>
      <c r="L41" s="41"/>
      <c r="M41" s="19"/>
      <c r="N41" s="19"/>
      <c r="O41" s="19"/>
      <c r="P41" s="41">
        <f>P39*53</f>
        <v>106</v>
      </c>
      <c r="Q41" s="41">
        <f>Q39*48</f>
        <v>96</v>
      </c>
      <c r="R41" s="41"/>
      <c r="S41" s="19">
        <f>S39*15</f>
        <v>120</v>
      </c>
      <c r="T41" s="19">
        <f>T39*65</f>
        <v>65</v>
      </c>
      <c r="U41" s="19">
        <f>U39*60</f>
        <v>60</v>
      </c>
      <c r="V41" s="61"/>
      <c r="W41" s="61"/>
      <c r="X41" s="61"/>
      <c r="Y41" s="61"/>
      <c r="Z41" s="75"/>
      <c r="AA41" s="76"/>
      <c r="AB41" s="61"/>
      <c r="AC41" s="88"/>
      <c r="AD41" s="85"/>
      <c r="AE41" s="78"/>
      <c r="AF41" s="79"/>
      <c r="AG41" s="31"/>
      <c r="AH41" s="31"/>
    </row>
    <row r="42" s="1" customFormat="1" ht="21" customHeight="1" spans="1:34">
      <c r="A42" s="12" t="s">
        <v>47</v>
      </c>
      <c r="B42" s="10">
        <f>[1]甘金华!$B$34</f>
        <v>52.5</v>
      </c>
      <c r="C42" s="10">
        <f>[1]甘金华!$C$34</f>
        <v>0</v>
      </c>
      <c r="D42" s="10">
        <f>[1]甘金华!$D$34</f>
        <v>2</v>
      </c>
      <c r="E42" s="10">
        <f>[1]甘金华!$E$34</f>
        <v>0</v>
      </c>
      <c r="F42" s="10">
        <f>[1]甘金华!$F$34</f>
        <v>0</v>
      </c>
      <c r="G42" s="10">
        <f>[1]甘金华!$G$34</f>
        <v>0</v>
      </c>
      <c r="H42" s="10">
        <f>[1]甘金华!$H$34</f>
        <v>1</v>
      </c>
      <c r="I42" s="10">
        <f>[1]甘金华!$I$34</f>
        <v>25</v>
      </c>
      <c r="J42" s="10">
        <f>[1]甘金华!$J$34</f>
        <v>4</v>
      </c>
      <c r="K42" s="10">
        <f>[1]甘金华!$K$34</f>
        <v>38</v>
      </c>
      <c r="L42" s="10">
        <f>[1]甘金华!$L$34</f>
        <v>0</v>
      </c>
      <c r="M42" s="10">
        <f>[1]甘金华!$M$34</f>
        <v>0</v>
      </c>
      <c r="N42" s="10">
        <f>[1]甘金华!$R$34</f>
        <v>3</v>
      </c>
      <c r="O42" s="10">
        <f>[1]甘金华!$S$34</f>
        <v>0</v>
      </c>
      <c r="P42" s="10">
        <f>[1]甘金华!$N$34</f>
        <v>1</v>
      </c>
      <c r="Q42" s="10">
        <f>[1]甘金华!$O$34</f>
        <v>1</v>
      </c>
      <c r="R42" s="10">
        <f>[1]甘金华!$V$34</f>
        <v>0</v>
      </c>
      <c r="S42" s="10">
        <f>[1]甘金华!$P$34</f>
        <v>7</v>
      </c>
      <c r="T42" s="10">
        <f>[1]甘金华!$Q$34</f>
        <v>1</v>
      </c>
      <c r="U42" s="10">
        <f>[1]甘金华!$U$34</f>
        <v>0</v>
      </c>
      <c r="V42" s="59">
        <f>SUM(B43:U43)</f>
        <v>15720</v>
      </c>
      <c r="W42" s="59">
        <f>SUM(B43:O43,R43)</f>
        <v>14930</v>
      </c>
      <c r="X42" s="59">
        <f>W42-168</f>
        <v>14762</v>
      </c>
      <c r="Y42" s="59">
        <f>IF(V42&lt;15000,X42*0.3,IF(V42&lt;20000,X42*0.35,IF(V42&lt;25000,X42*0.37,IF(V42&lt;30000,X42*0.39,X42*0.41))))</f>
        <v>5166.7</v>
      </c>
      <c r="Z42" s="65">
        <f>[1]甘金华!$T$36</f>
        <v>75</v>
      </c>
      <c r="AA42" s="66">
        <f>P44+Q44+S44+Y42+Z42+U44+T44</f>
        <v>5512.7</v>
      </c>
      <c r="AB42" s="59">
        <v>221.81</v>
      </c>
      <c r="AC42" s="86">
        <v>150</v>
      </c>
      <c r="AD42" s="83">
        <v>0</v>
      </c>
      <c r="AE42" s="68">
        <f>AA42-AB42-AC42-AD42</f>
        <v>5140.89</v>
      </c>
      <c r="AF42" s="69"/>
      <c r="AG42" s="31"/>
      <c r="AH42" s="31"/>
    </row>
    <row r="43" s="1" customFormat="1" ht="21" customHeight="1" spans="1:34">
      <c r="A43" s="14"/>
      <c r="B43" s="15">
        <f>B42*168</f>
        <v>8820</v>
      </c>
      <c r="C43" s="15">
        <f>C42*128</f>
        <v>0</v>
      </c>
      <c r="D43" s="15">
        <f>D42*228</f>
        <v>456</v>
      </c>
      <c r="E43" s="15">
        <f>E42*168</f>
        <v>0</v>
      </c>
      <c r="F43" s="15">
        <f>F42*78</f>
        <v>0</v>
      </c>
      <c r="G43" s="15">
        <f>G42*68</f>
        <v>0</v>
      </c>
      <c r="H43" s="20">
        <f>H42*338</f>
        <v>338</v>
      </c>
      <c r="I43" s="15">
        <f>I42*50</f>
        <v>1250</v>
      </c>
      <c r="J43" s="15">
        <f>J42*48</f>
        <v>192</v>
      </c>
      <c r="K43" s="42">
        <f>K42*95</f>
        <v>3610</v>
      </c>
      <c r="L43" s="42">
        <f>L42*140</f>
        <v>0</v>
      </c>
      <c r="M43" s="38">
        <f>M42*572</f>
        <v>0</v>
      </c>
      <c r="N43" s="38">
        <f>N42*88</f>
        <v>264</v>
      </c>
      <c r="O43" s="38">
        <f>O42*150</f>
        <v>0</v>
      </c>
      <c r="P43" s="15">
        <f>P42*160</f>
        <v>160</v>
      </c>
      <c r="Q43" s="15">
        <f>Q42*120</f>
        <v>120</v>
      </c>
      <c r="R43" s="15">
        <f>R42*120</f>
        <v>0</v>
      </c>
      <c r="S43" s="20">
        <f>S42*50</f>
        <v>350</v>
      </c>
      <c r="T43" s="20">
        <f>T42*160</f>
        <v>160</v>
      </c>
      <c r="U43" s="20"/>
      <c r="V43" s="60"/>
      <c r="W43" s="60"/>
      <c r="X43" s="60"/>
      <c r="Y43" s="60"/>
      <c r="Z43" s="70"/>
      <c r="AA43" s="71"/>
      <c r="AB43" s="60"/>
      <c r="AC43" s="87"/>
      <c r="AD43" s="84"/>
      <c r="AE43" s="73"/>
      <c r="AF43" s="74"/>
      <c r="AG43" s="31"/>
      <c r="AH43" s="31"/>
    </row>
    <row r="44" s="1" customFormat="1" ht="18" customHeight="1" spans="1:34">
      <c r="A44" s="16"/>
      <c r="B44" s="17" t="s">
        <v>34</v>
      </c>
      <c r="C44" s="21"/>
      <c r="D44" s="21"/>
      <c r="E44" s="21"/>
      <c r="F44" s="21"/>
      <c r="G44" s="21"/>
      <c r="H44" s="19"/>
      <c r="I44" s="21"/>
      <c r="J44" s="21"/>
      <c r="K44" s="41"/>
      <c r="L44" s="41"/>
      <c r="M44" s="19"/>
      <c r="N44" s="19"/>
      <c r="O44" s="19"/>
      <c r="P44" s="41">
        <f>P42*53</f>
        <v>53</v>
      </c>
      <c r="Q44" s="41">
        <f>Q42*48</f>
        <v>48</v>
      </c>
      <c r="R44" s="41"/>
      <c r="S44" s="19">
        <f>S42*15</f>
        <v>105</v>
      </c>
      <c r="T44" s="19">
        <f>T42*65</f>
        <v>65</v>
      </c>
      <c r="U44" s="19">
        <f>U42*60</f>
        <v>0</v>
      </c>
      <c r="V44" s="61"/>
      <c r="W44" s="61"/>
      <c r="X44" s="61"/>
      <c r="Y44" s="61"/>
      <c r="Z44" s="75"/>
      <c r="AA44" s="76"/>
      <c r="AB44" s="61"/>
      <c r="AC44" s="88"/>
      <c r="AD44" s="85"/>
      <c r="AE44" s="78"/>
      <c r="AF44" s="79"/>
      <c r="AG44" s="31"/>
      <c r="AH44" s="31"/>
    </row>
    <row r="45" s="1" customFormat="1" ht="21" customHeight="1" spans="1:34">
      <c r="A45" s="12" t="s">
        <v>48</v>
      </c>
      <c r="B45" s="10">
        <f>[1]颜晓琴!$B$34</f>
        <v>49.5</v>
      </c>
      <c r="C45" s="10">
        <f>[1]颜晓琴!$C$34</f>
        <v>0</v>
      </c>
      <c r="D45" s="10">
        <f>[1]颜晓琴!$D$34</f>
        <v>17</v>
      </c>
      <c r="E45" s="10">
        <f>[1]颜晓琴!$E$34</f>
        <v>0</v>
      </c>
      <c r="F45" s="10">
        <f>[1]颜晓琴!$F$34</f>
        <v>0</v>
      </c>
      <c r="G45" s="10">
        <f>[1]颜晓琴!$G$34</f>
        <v>0</v>
      </c>
      <c r="H45" s="10">
        <f>[1]颜晓琴!$H$34</f>
        <v>1</v>
      </c>
      <c r="I45" s="10">
        <f>[1]颜晓琴!$I$34</f>
        <v>36</v>
      </c>
      <c r="J45" s="10">
        <f>[1]颜晓琴!$J$34</f>
        <v>4</v>
      </c>
      <c r="K45" s="10">
        <f>[1]颜晓琴!$K$34</f>
        <v>17</v>
      </c>
      <c r="L45" s="10">
        <f>[1]颜晓琴!$L$34</f>
        <v>0</v>
      </c>
      <c r="M45" s="10">
        <f>[1]颜晓琴!$M$34</f>
        <v>0</v>
      </c>
      <c r="N45" s="10">
        <f>[1]颜晓琴!$R$34</f>
        <v>2</v>
      </c>
      <c r="O45" s="10">
        <f>[1]颜晓琴!$S$34</f>
        <v>0</v>
      </c>
      <c r="P45" s="10">
        <f>[1]颜晓琴!$N$34</f>
        <v>1</v>
      </c>
      <c r="Q45" s="10">
        <f>[1]颜晓琴!$O$34</f>
        <v>1</v>
      </c>
      <c r="R45" s="10">
        <f>[1]颜晓琴!$V$34</f>
        <v>0</v>
      </c>
      <c r="S45" s="10">
        <f>[1]颜晓琴!$P$34</f>
        <v>6</v>
      </c>
      <c r="T45" s="10">
        <f>[1]颜晓琴!$Q$34</f>
        <v>0</v>
      </c>
      <c r="U45" s="10">
        <f>[1]颜晓琴!$U$34</f>
        <v>2</v>
      </c>
      <c r="V45" s="59">
        <f>SUM(B46:U46)</f>
        <v>16893</v>
      </c>
      <c r="W45" s="59">
        <f>SUM(B46:O46,R46)</f>
        <v>16313</v>
      </c>
      <c r="X45" s="59">
        <f>W45-168</f>
        <v>16145</v>
      </c>
      <c r="Y45" s="59">
        <f>IF(V45&lt;15000,X45*0.3,IF(V45&lt;20000,X45*0.35,IF(V45&lt;25000,X45*0.37,IF(V45&lt;30000,X45*0.39,X45*0.41))))</f>
        <v>5650.75</v>
      </c>
      <c r="Z45" s="65">
        <f>[1]颜晓琴!$T$36</f>
        <v>40</v>
      </c>
      <c r="AA45" s="66">
        <f>P47+Q47+S47+Y45+Z45+U47+T47</f>
        <v>6001.75</v>
      </c>
      <c r="AB45" s="59">
        <v>221.81</v>
      </c>
      <c r="AC45" s="86">
        <v>150</v>
      </c>
      <c r="AD45" s="83">
        <v>0</v>
      </c>
      <c r="AE45" s="68">
        <f>AA45-AB45-AC45-AD45</f>
        <v>5629.94</v>
      </c>
      <c r="AF45" s="69"/>
      <c r="AG45" s="31"/>
      <c r="AH45" s="31"/>
    </row>
    <row r="46" s="1" customFormat="1" ht="21" customHeight="1" spans="1:34">
      <c r="A46" s="14"/>
      <c r="B46" s="15">
        <f>B45*168</f>
        <v>8316</v>
      </c>
      <c r="C46" s="15">
        <f>C45*128</f>
        <v>0</v>
      </c>
      <c r="D46" s="15">
        <f>D45*228</f>
        <v>3876</v>
      </c>
      <c r="E46" s="15">
        <f>E45*168</f>
        <v>0</v>
      </c>
      <c r="F46" s="15">
        <f>F45*78</f>
        <v>0</v>
      </c>
      <c r="G46" s="15">
        <f>G45*68</f>
        <v>0</v>
      </c>
      <c r="H46" s="20">
        <f>H45*338</f>
        <v>338</v>
      </c>
      <c r="I46" s="15">
        <f>I45*50</f>
        <v>1800</v>
      </c>
      <c r="J46" s="15">
        <f>J45*48</f>
        <v>192</v>
      </c>
      <c r="K46" s="42">
        <f>K45*95</f>
        <v>1615</v>
      </c>
      <c r="L46" s="42">
        <f>L45*140</f>
        <v>0</v>
      </c>
      <c r="M46" s="38">
        <f>M45*572</f>
        <v>0</v>
      </c>
      <c r="N46" s="38">
        <f>N45*88</f>
        <v>176</v>
      </c>
      <c r="O46" s="38">
        <f>O45*150</f>
        <v>0</v>
      </c>
      <c r="P46" s="15">
        <f>P45*160</f>
        <v>160</v>
      </c>
      <c r="Q46" s="15">
        <f>Q45*120</f>
        <v>120</v>
      </c>
      <c r="R46" s="15">
        <f>R45*120</f>
        <v>0</v>
      </c>
      <c r="S46" s="20">
        <f>S45*50</f>
        <v>300</v>
      </c>
      <c r="T46" s="20">
        <f>T45*160</f>
        <v>0</v>
      </c>
      <c r="U46" s="20"/>
      <c r="V46" s="60"/>
      <c r="W46" s="60"/>
      <c r="X46" s="60"/>
      <c r="Y46" s="60"/>
      <c r="Z46" s="70"/>
      <c r="AA46" s="71"/>
      <c r="AB46" s="60"/>
      <c r="AC46" s="87"/>
      <c r="AD46" s="84"/>
      <c r="AE46" s="73"/>
      <c r="AF46" s="74"/>
      <c r="AG46" s="31"/>
      <c r="AH46" s="31"/>
    </row>
    <row r="47" s="1" customFormat="1" ht="18" customHeight="1" spans="1:34">
      <c r="A47" s="16"/>
      <c r="B47" s="17" t="s">
        <v>34</v>
      </c>
      <c r="C47" s="21"/>
      <c r="D47" s="21"/>
      <c r="E47" s="21"/>
      <c r="F47" s="21"/>
      <c r="G47" s="21"/>
      <c r="H47" s="19"/>
      <c r="I47" s="21"/>
      <c r="J47" s="21"/>
      <c r="K47" s="41"/>
      <c r="L47" s="41"/>
      <c r="M47" s="19"/>
      <c r="N47" s="19"/>
      <c r="O47" s="19"/>
      <c r="P47" s="41">
        <f>P45*53</f>
        <v>53</v>
      </c>
      <c r="Q47" s="41">
        <f>Q45*48</f>
        <v>48</v>
      </c>
      <c r="R47" s="41"/>
      <c r="S47" s="19">
        <f>S45*15</f>
        <v>90</v>
      </c>
      <c r="T47" s="19">
        <f>T45*65</f>
        <v>0</v>
      </c>
      <c r="U47" s="19">
        <f>U45*60</f>
        <v>120</v>
      </c>
      <c r="V47" s="61"/>
      <c r="W47" s="61"/>
      <c r="X47" s="61"/>
      <c r="Y47" s="61"/>
      <c r="Z47" s="75"/>
      <c r="AA47" s="76"/>
      <c r="AB47" s="61"/>
      <c r="AC47" s="88"/>
      <c r="AD47" s="85"/>
      <c r="AE47" s="78"/>
      <c r="AF47" s="79"/>
      <c r="AG47" s="31"/>
      <c r="AH47" s="31"/>
    </row>
    <row r="48" s="1" customFormat="1" ht="21" customHeight="1" spans="1:34">
      <c r="A48" s="12" t="s">
        <v>58</v>
      </c>
      <c r="B48" s="10">
        <f>[1]王岚生!$B$34</f>
        <v>39.5</v>
      </c>
      <c r="C48" s="10">
        <f>[1]王岚生!$C$34</f>
        <v>1</v>
      </c>
      <c r="D48" s="10">
        <f>[1]王岚生!$D$34</f>
        <v>0</v>
      </c>
      <c r="E48" s="10">
        <f>[1]王岚生!$E$34</f>
        <v>0</v>
      </c>
      <c r="F48" s="10">
        <f>[1]王岚生!$F$34</f>
        <v>0</v>
      </c>
      <c r="G48" s="10">
        <f>[1]王岚生!$G$34</f>
        <v>0</v>
      </c>
      <c r="H48" s="10">
        <f>[1]王岚生!$H$34</f>
        <v>0</v>
      </c>
      <c r="I48" s="10">
        <f>[1]王岚生!$I$34</f>
        <v>52</v>
      </c>
      <c r="J48" s="10">
        <f>[1]王岚生!$J$34</f>
        <v>6</v>
      </c>
      <c r="K48" s="10">
        <f>[1]王岚生!$K$34</f>
        <v>14</v>
      </c>
      <c r="L48" s="10">
        <f>[1]王岚生!$L$34</f>
        <v>0</v>
      </c>
      <c r="M48" s="10">
        <f>[1]王岚生!$M$34</f>
        <v>0</v>
      </c>
      <c r="N48" s="10">
        <f>[1]王岚生!$R$34</f>
        <v>5</v>
      </c>
      <c r="O48" s="10">
        <f>[1]王岚生!$S$34</f>
        <v>0</v>
      </c>
      <c r="P48" s="10">
        <f>[1]王岚生!$N$34</f>
        <v>2</v>
      </c>
      <c r="Q48" s="10">
        <f>[1]王岚生!$O$34</f>
        <v>2</v>
      </c>
      <c r="R48" s="10">
        <f>[1]王岚生!$V$34</f>
        <v>0</v>
      </c>
      <c r="S48" s="10">
        <f>[1]王岚生!$P$34</f>
        <v>7</v>
      </c>
      <c r="T48" s="10">
        <f>[1]王岚生!$Q$34</f>
        <v>0</v>
      </c>
      <c r="U48" s="10">
        <f>[1]陈丽琴!$U$34</f>
        <v>0</v>
      </c>
      <c r="V48" s="59">
        <f>SUM(B49:U49)</f>
        <v>12332</v>
      </c>
      <c r="W48" s="59">
        <f>SUM(B49:O49,R49)</f>
        <v>11422</v>
      </c>
      <c r="X48" s="59">
        <f>W48-0</f>
        <v>11422</v>
      </c>
      <c r="Y48" s="59">
        <f>IF(V48&lt;15000,X48*0.3,IF(V48&lt;20000,X48*0.35,IF(V48&lt;25000,X48*0.37,IF(V48&lt;30000,X48*0.39,X48*0.41))))</f>
        <v>3426.6</v>
      </c>
      <c r="Z48" s="65">
        <f>[1]王岚生!$T$36</f>
        <v>20</v>
      </c>
      <c r="AA48" s="66">
        <f>P50+Q50+S50+Y48+Z48+U50+T50</f>
        <v>3753.6</v>
      </c>
      <c r="AB48" s="59">
        <v>0</v>
      </c>
      <c r="AC48" s="86">
        <v>0</v>
      </c>
      <c r="AD48" s="83">
        <v>0</v>
      </c>
      <c r="AE48" s="68">
        <f>AA48-AB48-AC48-AD48</f>
        <v>3753.6</v>
      </c>
      <c r="AF48" s="69"/>
      <c r="AG48" s="31"/>
      <c r="AH48" s="31"/>
    </row>
    <row r="49" s="1" customFormat="1" ht="21" customHeight="1" spans="1:34">
      <c r="A49" s="14"/>
      <c r="B49" s="15">
        <f>B48*168</f>
        <v>6636</v>
      </c>
      <c r="C49" s="15">
        <f>C48*128</f>
        <v>128</v>
      </c>
      <c r="D49" s="15">
        <f>D48*228</f>
        <v>0</v>
      </c>
      <c r="E49" s="15">
        <f>E48*168</f>
        <v>0</v>
      </c>
      <c r="F49" s="15">
        <f>F48*78</f>
        <v>0</v>
      </c>
      <c r="G49" s="15">
        <f>G48*68</f>
        <v>0</v>
      </c>
      <c r="H49" s="20">
        <f>H48*338</f>
        <v>0</v>
      </c>
      <c r="I49" s="15">
        <f>I48*50</f>
        <v>2600</v>
      </c>
      <c r="J49" s="15">
        <f>J48*48</f>
        <v>288</v>
      </c>
      <c r="K49" s="42">
        <f>K48*95</f>
        <v>1330</v>
      </c>
      <c r="L49" s="42">
        <f>L48*140</f>
        <v>0</v>
      </c>
      <c r="M49" s="38">
        <f>M48*572</f>
        <v>0</v>
      </c>
      <c r="N49" s="38">
        <f>N48*88</f>
        <v>440</v>
      </c>
      <c r="O49" s="38">
        <f>O48*150</f>
        <v>0</v>
      </c>
      <c r="P49" s="15">
        <f>P48*160</f>
        <v>320</v>
      </c>
      <c r="Q49" s="15">
        <f>Q48*120</f>
        <v>240</v>
      </c>
      <c r="R49" s="15">
        <f>R48*120</f>
        <v>0</v>
      </c>
      <c r="S49" s="20">
        <f>S48*50</f>
        <v>350</v>
      </c>
      <c r="T49" s="20">
        <f>T48*160</f>
        <v>0</v>
      </c>
      <c r="U49" s="20"/>
      <c r="V49" s="60"/>
      <c r="W49" s="60"/>
      <c r="X49" s="60"/>
      <c r="Y49" s="60"/>
      <c r="Z49" s="70"/>
      <c r="AA49" s="71"/>
      <c r="AB49" s="60"/>
      <c r="AC49" s="87"/>
      <c r="AD49" s="84"/>
      <c r="AE49" s="73"/>
      <c r="AF49" s="74"/>
      <c r="AG49" s="31"/>
      <c r="AH49" s="31"/>
    </row>
    <row r="50" s="1" customFormat="1" ht="18" customHeight="1" spans="1:34">
      <c r="A50" s="16"/>
      <c r="B50" s="17" t="s">
        <v>34</v>
      </c>
      <c r="C50" s="21"/>
      <c r="D50" s="21"/>
      <c r="E50" s="21"/>
      <c r="F50" s="21"/>
      <c r="G50" s="21"/>
      <c r="H50" s="19"/>
      <c r="I50" s="21"/>
      <c r="J50" s="21"/>
      <c r="K50" s="41"/>
      <c r="L50" s="41"/>
      <c r="M50" s="19"/>
      <c r="N50" s="19"/>
      <c r="O50" s="19"/>
      <c r="P50" s="41">
        <f>P48*53</f>
        <v>106</v>
      </c>
      <c r="Q50" s="41">
        <f>Q48*48</f>
        <v>96</v>
      </c>
      <c r="R50" s="41"/>
      <c r="S50" s="19">
        <f>S48*15</f>
        <v>105</v>
      </c>
      <c r="T50" s="19">
        <f>T48*65</f>
        <v>0</v>
      </c>
      <c r="U50" s="19">
        <f>U48*60</f>
        <v>0</v>
      </c>
      <c r="V50" s="61"/>
      <c r="W50" s="61"/>
      <c r="X50" s="61"/>
      <c r="Y50" s="61"/>
      <c r="Z50" s="75"/>
      <c r="AA50" s="76"/>
      <c r="AB50" s="61"/>
      <c r="AC50" s="88"/>
      <c r="AD50" s="85"/>
      <c r="AE50" s="78"/>
      <c r="AF50" s="79"/>
      <c r="AG50" s="31"/>
      <c r="AH50" s="31"/>
    </row>
    <row r="51" s="1" customFormat="1" ht="21" customHeight="1" spans="1:34">
      <c r="A51" s="26" t="s">
        <v>49</v>
      </c>
      <c r="B51" s="27">
        <f t="shared" ref="B51:U51" si="0">B6+B9+B12+B15+B18+B21+B24+B31+B34+B40+B37+B43+B49+B46</f>
        <v>126168</v>
      </c>
      <c r="C51" s="27">
        <f t="shared" si="0"/>
        <v>128</v>
      </c>
      <c r="D51" s="27">
        <f t="shared" si="0"/>
        <v>46740</v>
      </c>
      <c r="E51" s="27">
        <f t="shared" si="0"/>
        <v>0</v>
      </c>
      <c r="F51" s="27">
        <f t="shared" si="0"/>
        <v>78</v>
      </c>
      <c r="G51" s="27">
        <f t="shared" si="0"/>
        <v>0</v>
      </c>
      <c r="H51" s="27">
        <f t="shared" si="0"/>
        <v>5746</v>
      </c>
      <c r="I51" s="27">
        <f t="shared" si="0"/>
        <v>53200</v>
      </c>
      <c r="J51" s="27">
        <f t="shared" si="0"/>
        <v>1728</v>
      </c>
      <c r="K51" s="27">
        <f t="shared" si="0"/>
        <v>20235</v>
      </c>
      <c r="L51" s="27">
        <f t="shared" si="0"/>
        <v>0</v>
      </c>
      <c r="M51" s="27">
        <f t="shared" si="0"/>
        <v>572</v>
      </c>
      <c r="N51" s="27">
        <f t="shared" si="0"/>
        <v>2112</v>
      </c>
      <c r="O51" s="27">
        <f t="shared" si="0"/>
        <v>0</v>
      </c>
      <c r="P51" s="27">
        <f t="shared" si="0"/>
        <v>1440</v>
      </c>
      <c r="Q51" s="27">
        <f t="shared" si="0"/>
        <v>2400</v>
      </c>
      <c r="R51" s="27">
        <f t="shared" si="0"/>
        <v>0</v>
      </c>
      <c r="S51" s="27">
        <f t="shared" si="0"/>
        <v>6450</v>
      </c>
      <c r="T51" s="27">
        <f t="shared" si="0"/>
        <v>1440</v>
      </c>
      <c r="U51" s="27">
        <f t="shared" si="0"/>
        <v>0</v>
      </c>
      <c r="V51" s="62">
        <f t="shared" ref="V51:AE51" si="1">V5+V8+V11+V30+V33+V17+V14+V20+V23+V39+V36+V42+V48+V45</f>
        <v>268437</v>
      </c>
      <c r="W51" s="62">
        <f t="shared" si="1"/>
        <v>256707</v>
      </c>
      <c r="X51" s="62">
        <f t="shared" si="1"/>
        <v>254523</v>
      </c>
      <c r="Y51" s="62">
        <f t="shared" si="1"/>
        <v>94134.79</v>
      </c>
      <c r="Z51" s="62">
        <f t="shared" si="1"/>
        <v>880</v>
      </c>
      <c r="AA51" s="62">
        <f t="shared" si="1"/>
        <v>99931.79</v>
      </c>
      <c r="AB51" s="62">
        <f t="shared" si="1"/>
        <v>3030.34</v>
      </c>
      <c r="AC51" s="62">
        <f t="shared" si="1"/>
        <v>1900</v>
      </c>
      <c r="AD51" s="62">
        <f t="shared" si="1"/>
        <v>250</v>
      </c>
      <c r="AE51" s="62">
        <f t="shared" si="1"/>
        <v>94751.45</v>
      </c>
      <c r="AF51" s="90"/>
      <c r="AG51" s="31"/>
      <c r="AH51" s="31"/>
    </row>
    <row r="52" s="1" customFormat="1" ht="18" customHeight="1" spans="1:34">
      <c r="A52" s="28"/>
      <c r="B52" s="29"/>
      <c r="C52" s="29"/>
      <c r="D52" s="29"/>
      <c r="E52" s="29"/>
      <c r="F52" s="29"/>
      <c r="G52" s="29"/>
      <c r="H52" s="30"/>
      <c r="I52" s="29"/>
      <c r="J52" s="29"/>
      <c r="K52" s="30"/>
      <c r="L52" s="30"/>
      <c r="M52" s="54"/>
      <c r="N52" s="55"/>
      <c r="O52" s="55"/>
      <c r="P52" s="55" t="s">
        <v>59</v>
      </c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31"/>
      <c r="AH52" s="31"/>
    </row>
    <row r="53" s="1" customFormat="1" customHeight="1" spans="1:34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</row>
    <row r="57" s="2" customFormat="1" customHeight="1" spans="2:21">
      <c r="B57" s="32">
        <f t="shared" ref="B57:U57" si="2">B5+B8+B11+B14+B17+B20+B23+B30+B33+B39+B36+B42+B48+B45</f>
        <v>751</v>
      </c>
      <c r="C57" s="32">
        <f t="shared" si="2"/>
        <v>1</v>
      </c>
      <c r="D57" s="32">
        <f t="shared" si="2"/>
        <v>205</v>
      </c>
      <c r="E57" s="2">
        <f t="shared" si="2"/>
        <v>0</v>
      </c>
      <c r="F57" s="32">
        <f t="shared" si="2"/>
        <v>1</v>
      </c>
      <c r="G57" s="2">
        <f t="shared" si="2"/>
        <v>0</v>
      </c>
      <c r="H57" s="32">
        <f t="shared" si="2"/>
        <v>17</v>
      </c>
      <c r="I57" s="32">
        <f t="shared" si="2"/>
        <v>1064</v>
      </c>
      <c r="J57" s="32">
        <f t="shared" si="2"/>
        <v>36</v>
      </c>
      <c r="K57" s="32">
        <f t="shared" si="2"/>
        <v>213</v>
      </c>
      <c r="L57" s="2">
        <f t="shared" si="2"/>
        <v>0</v>
      </c>
      <c r="M57" s="2">
        <f t="shared" si="2"/>
        <v>1</v>
      </c>
      <c r="N57" s="32">
        <f t="shared" si="2"/>
        <v>24</v>
      </c>
      <c r="O57" s="2">
        <f t="shared" si="2"/>
        <v>0</v>
      </c>
      <c r="P57" s="32">
        <f t="shared" si="2"/>
        <v>9</v>
      </c>
      <c r="Q57" s="32">
        <f t="shared" si="2"/>
        <v>20</v>
      </c>
      <c r="R57" s="2">
        <f t="shared" si="2"/>
        <v>0</v>
      </c>
      <c r="S57" s="32">
        <f t="shared" si="2"/>
        <v>129</v>
      </c>
      <c r="T57" s="32">
        <f t="shared" si="2"/>
        <v>9</v>
      </c>
      <c r="U57" s="2">
        <f t="shared" si="2"/>
        <v>16</v>
      </c>
    </row>
    <row r="58" s="1" customFormat="1" customHeight="1" spans="2:19">
      <c r="B58" s="1" t="s">
        <v>60</v>
      </c>
      <c r="K58" s="1" t="s">
        <v>61</v>
      </c>
      <c r="S58" s="1" t="s">
        <v>62</v>
      </c>
    </row>
  </sheetData>
  <mergeCells count="214">
    <mergeCell ref="B3:C3"/>
    <mergeCell ref="D3:E3"/>
    <mergeCell ref="F3:G3"/>
    <mergeCell ref="Q3:R3"/>
    <mergeCell ref="P26:AF26"/>
    <mergeCell ref="A27:AF27"/>
    <mergeCell ref="B28:C28"/>
    <mergeCell ref="D28:E28"/>
    <mergeCell ref="F28:G28"/>
    <mergeCell ref="Q28:R28"/>
    <mergeCell ref="P52:AF52"/>
    <mergeCell ref="A3:A4"/>
    <mergeCell ref="A5:A7"/>
    <mergeCell ref="A8:A10"/>
    <mergeCell ref="A11:A13"/>
    <mergeCell ref="A14:A16"/>
    <mergeCell ref="A17:A19"/>
    <mergeCell ref="A20:A22"/>
    <mergeCell ref="A23:A25"/>
    <mergeCell ref="A28:A29"/>
    <mergeCell ref="A30:A32"/>
    <mergeCell ref="A33:A35"/>
    <mergeCell ref="A36:A38"/>
    <mergeCell ref="A39:A41"/>
    <mergeCell ref="A42:A44"/>
    <mergeCell ref="A45:A47"/>
    <mergeCell ref="A48:A50"/>
    <mergeCell ref="H3:H4"/>
    <mergeCell ref="H28:H29"/>
    <mergeCell ref="I3:I4"/>
    <mergeCell ref="I28:I29"/>
    <mergeCell ref="J3:J4"/>
    <mergeCell ref="J28:J29"/>
    <mergeCell ref="K3:K4"/>
    <mergeCell ref="K28:K29"/>
    <mergeCell ref="L3:L4"/>
    <mergeCell ref="L28:L29"/>
    <mergeCell ref="M3:M4"/>
    <mergeCell ref="M28:M29"/>
    <mergeCell ref="N3:N4"/>
    <mergeCell ref="N28:N29"/>
    <mergeCell ref="O3:O4"/>
    <mergeCell ref="O28:O29"/>
    <mergeCell ref="P3:P4"/>
    <mergeCell ref="P28:P29"/>
    <mergeCell ref="S3:S4"/>
    <mergeCell ref="S28:S29"/>
    <mergeCell ref="T3:T4"/>
    <mergeCell ref="T28:T29"/>
    <mergeCell ref="U3:U4"/>
    <mergeCell ref="U28:U29"/>
    <mergeCell ref="V3:V4"/>
    <mergeCell ref="V5:V7"/>
    <mergeCell ref="V8:V10"/>
    <mergeCell ref="V11:V13"/>
    <mergeCell ref="V14:V16"/>
    <mergeCell ref="V17:V19"/>
    <mergeCell ref="V20:V22"/>
    <mergeCell ref="V23:V25"/>
    <mergeCell ref="V28:V29"/>
    <mergeCell ref="V30:V32"/>
    <mergeCell ref="V33:V35"/>
    <mergeCell ref="V36:V38"/>
    <mergeCell ref="V39:V41"/>
    <mergeCell ref="V42:V44"/>
    <mergeCell ref="V45:V47"/>
    <mergeCell ref="V48:V50"/>
    <mergeCell ref="W3:W4"/>
    <mergeCell ref="W5:W7"/>
    <mergeCell ref="W8:W10"/>
    <mergeCell ref="W11:W13"/>
    <mergeCell ref="W14:W16"/>
    <mergeCell ref="W17:W19"/>
    <mergeCell ref="W20:W22"/>
    <mergeCell ref="W23:W25"/>
    <mergeCell ref="W28:W29"/>
    <mergeCell ref="W30:W32"/>
    <mergeCell ref="W33:W35"/>
    <mergeCell ref="W36:W38"/>
    <mergeCell ref="W39:W41"/>
    <mergeCell ref="W42:W44"/>
    <mergeCell ref="W45:W47"/>
    <mergeCell ref="W48:W50"/>
    <mergeCell ref="X3:X4"/>
    <mergeCell ref="X5:X7"/>
    <mergeCell ref="X8:X10"/>
    <mergeCell ref="X11:X13"/>
    <mergeCell ref="X14:X16"/>
    <mergeCell ref="X17:X19"/>
    <mergeCell ref="X20:X22"/>
    <mergeCell ref="X23:X25"/>
    <mergeCell ref="X28:X29"/>
    <mergeCell ref="X30:X32"/>
    <mergeCell ref="X33:X35"/>
    <mergeCell ref="X36:X38"/>
    <mergeCell ref="X39:X41"/>
    <mergeCell ref="X42:X44"/>
    <mergeCell ref="X45:X47"/>
    <mergeCell ref="X48:X50"/>
    <mergeCell ref="Y3:Y4"/>
    <mergeCell ref="Y5:Y7"/>
    <mergeCell ref="Y8:Y10"/>
    <mergeCell ref="Y11:Y13"/>
    <mergeCell ref="Y14:Y16"/>
    <mergeCell ref="Y17:Y19"/>
    <mergeCell ref="Y20:Y22"/>
    <mergeCell ref="Y23:Y25"/>
    <mergeCell ref="Y28:Y29"/>
    <mergeCell ref="Y30:Y32"/>
    <mergeCell ref="Y33:Y35"/>
    <mergeCell ref="Y36:Y38"/>
    <mergeCell ref="Y39:Y41"/>
    <mergeCell ref="Y42:Y44"/>
    <mergeCell ref="Y45:Y47"/>
    <mergeCell ref="Y48:Y50"/>
    <mergeCell ref="Z3:Z4"/>
    <mergeCell ref="Z5:Z7"/>
    <mergeCell ref="Z8:Z10"/>
    <mergeCell ref="Z11:Z13"/>
    <mergeCell ref="Z14:Z16"/>
    <mergeCell ref="Z17:Z19"/>
    <mergeCell ref="Z20:Z22"/>
    <mergeCell ref="Z23:Z25"/>
    <mergeCell ref="Z28:Z29"/>
    <mergeCell ref="Z30:Z32"/>
    <mergeCell ref="Z33:Z35"/>
    <mergeCell ref="Z36:Z38"/>
    <mergeCell ref="Z39:Z41"/>
    <mergeCell ref="Z42:Z44"/>
    <mergeCell ref="Z45:Z47"/>
    <mergeCell ref="Z48:Z50"/>
    <mergeCell ref="AA3:AA4"/>
    <mergeCell ref="AA5:AA7"/>
    <mergeCell ref="AA8:AA10"/>
    <mergeCell ref="AA11:AA13"/>
    <mergeCell ref="AA14:AA16"/>
    <mergeCell ref="AA17:AA19"/>
    <mergeCell ref="AA20:AA22"/>
    <mergeCell ref="AA23:AA25"/>
    <mergeCell ref="AA28:AA29"/>
    <mergeCell ref="AA30:AA32"/>
    <mergeCell ref="AA33:AA35"/>
    <mergeCell ref="AA36:AA38"/>
    <mergeCell ref="AA39:AA41"/>
    <mergeCell ref="AA42:AA44"/>
    <mergeCell ref="AA45:AA47"/>
    <mergeCell ref="AA48:AA50"/>
    <mergeCell ref="AB3:AB4"/>
    <mergeCell ref="AB5:AB7"/>
    <mergeCell ref="AB8:AB10"/>
    <mergeCell ref="AB11:AB13"/>
    <mergeCell ref="AB14:AB16"/>
    <mergeCell ref="AB17:AB19"/>
    <mergeCell ref="AB20:AB22"/>
    <mergeCell ref="AB23:AB25"/>
    <mergeCell ref="AB28:AB29"/>
    <mergeCell ref="AB30:AB32"/>
    <mergeCell ref="AB33:AB35"/>
    <mergeCell ref="AB36:AB38"/>
    <mergeCell ref="AB39:AB41"/>
    <mergeCell ref="AB42:AB44"/>
    <mergeCell ref="AB45:AB47"/>
    <mergeCell ref="AB48:AB50"/>
    <mergeCell ref="AC3:AC4"/>
    <mergeCell ref="AC5:AC7"/>
    <mergeCell ref="AC8:AC10"/>
    <mergeCell ref="AC11:AC13"/>
    <mergeCell ref="AC14:AC16"/>
    <mergeCell ref="AC17:AC19"/>
    <mergeCell ref="AC20:AC22"/>
    <mergeCell ref="AC23:AC25"/>
    <mergeCell ref="AC28:AC29"/>
    <mergeCell ref="AC30:AC32"/>
    <mergeCell ref="AC33:AC35"/>
    <mergeCell ref="AC36:AC38"/>
    <mergeCell ref="AC39:AC41"/>
    <mergeCell ref="AC42:AC44"/>
    <mergeCell ref="AC45:AC47"/>
    <mergeCell ref="AC48:AC50"/>
    <mergeCell ref="AD3:AD4"/>
    <mergeCell ref="AD5:AD7"/>
    <mergeCell ref="AD8:AD10"/>
    <mergeCell ref="AD11:AD13"/>
    <mergeCell ref="AD14:AD16"/>
    <mergeCell ref="AD17:AD19"/>
    <mergeCell ref="AD20:AD22"/>
    <mergeCell ref="AD23:AD25"/>
    <mergeCell ref="AD28:AD29"/>
    <mergeCell ref="AD30:AD32"/>
    <mergeCell ref="AD33:AD35"/>
    <mergeCell ref="AD36:AD38"/>
    <mergeCell ref="AD39:AD41"/>
    <mergeCell ref="AD42:AD44"/>
    <mergeCell ref="AD45:AD47"/>
    <mergeCell ref="AD48:AD50"/>
    <mergeCell ref="AE3:AE4"/>
    <mergeCell ref="AE5:AE7"/>
    <mergeCell ref="AE8:AE10"/>
    <mergeCell ref="AE11:AE13"/>
    <mergeCell ref="AE14:AE16"/>
    <mergeCell ref="AE17:AE19"/>
    <mergeCell ref="AE20:AE22"/>
    <mergeCell ref="AE23:AE25"/>
    <mergeCell ref="AE28:AE29"/>
    <mergeCell ref="AE30:AE32"/>
    <mergeCell ref="AE33:AE35"/>
    <mergeCell ref="AE36:AE38"/>
    <mergeCell ref="AE39:AE41"/>
    <mergeCell ref="AE42:AE44"/>
    <mergeCell ref="AE45:AE47"/>
    <mergeCell ref="AE48:AE50"/>
    <mergeCell ref="AF3:AF4"/>
    <mergeCell ref="AF28:AF29"/>
    <mergeCell ref="A1:AF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WPS_1528192790</cp:lastModifiedBy>
  <dcterms:created xsi:type="dcterms:W3CDTF">2022-06-09T07:52:00Z</dcterms:created>
  <dcterms:modified xsi:type="dcterms:W3CDTF">2024-02-04T08:17:01Z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F129AB3C1FA84FAA810964A158C50C83_13</vt:lpwstr>
  </property>
  <property fmtid="{D5CDD505-2E9C-101B-9397-08002B2CF9AE}" pid="3" name="KSOProductBuildVer">
    <vt:lpwstr>2052-12.1.0.16120</vt:lpwstr>
  </property>
</Properties>
</file>